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A3E35568-4FEA-42FF-AA28-098C58974412}" xr6:coauthVersionLast="47" xr6:coauthVersionMax="47" xr10:uidLastSave="{00000000-0000-0000-0000-000000000000}"/>
  <bookViews>
    <workbookView xWindow="28680" yWindow="-120" windowWidth="29040" windowHeight="15720" tabRatio="780" firstSheet="2" activeTab="9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P&amp;L'!$A$11:$AD$44</definedName>
    <definedName name="_xlnm._FilterDatabase" localSheetId="8" hidden="1">Options!$A$3:$BD$29</definedName>
    <definedName name="_xlnm._FilterDatabase" localSheetId="17" hidden="1">Precificação!$A$1:$X$192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 iterate="1" iterateCount="10000"/>
  <pivotCaches>
    <pivotCache cacheId="38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1" i="2"/>
  <c r="AI18" i="1"/>
  <c r="AB18" i="1"/>
  <c r="I18" i="1" a="1"/>
  <c r="AC18" i="1"/>
  <c r="AG18" i="1"/>
  <c r="AF18" i="1"/>
  <c r="L18" i="1"/>
  <c r="AG40" i="1"/>
  <c r="AG43" i="1"/>
  <c r="AG25" i="1"/>
  <c r="AG24" i="1"/>
  <c r="AG23" i="1"/>
  <c r="AG31" i="1"/>
  <c r="AG35" i="1"/>
  <c r="AG32" i="1"/>
  <c r="AG15" i="1"/>
  <c r="AG12" i="1"/>
  <c r="AG29" i="1"/>
  <c r="AC30" i="1" a="1"/>
  <c r="I18" i="1" l="1"/>
  <c r="K18" i="1" s="1"/>
  <c r="AC30" i="1"/>
  <c r="AI27" i="1"/>
  <c r="AI28" i="1"/>
  <c r="E5" i="1"/>
  <c r="AF43" i="1"/>
  <c r="AF30" i="1"/>
  <c r="AB22" i="1"/>
  <c r="AC28" i="1"/>
  <c r="AI30" i="1"/>
  <c r="AF29" i="1"/>
  <c r="AF27" i="1"/>
  <c r="AI23" i="1"/>
  <c r="AC22" i="1" a="1"/>
  <c r="N18" i="1" l="1"/>
  <c r="J18" i="1"/>
  <c r="AC22" i="1"/>
  <c r="K22" i="1"/>
  <c r="AC43" i="1"/>
  <c r="K43" i="1"/>
  <c r="AI43" i="1"/>
  <c r="AC23" i="1" a="1"/>
  <c r="T18" i="1" l="1"/>
  <c r="O18" i="1"/>
  <c r="P18" i="1"/>
  <c r="AC23" i="1"/>
  <c r="K29" i="1"/>
  <c r="AB43" i="1"/>
  <c r="K27" i="1"/>
  <c r="AF22" i="1"/>
  <c r="AB30" i="1"/>
  <c r="AI29" i="1"/>
  <c r="K28" i="1"/>
  <c r="AB23" i="1"/>
  <c r="AB27" i="1"/>
  <c r="AC29" i="1"/>
  <c r="AF16" i="1"/>
  <c r="AC16" i="1"/>
  <c r="AB29" i="1"/>
  <c r="AB28" i="1"/>
  <c r="K30" i="1"/>
  <c r="AF23" i="1"/>
  <c r="AI16" i="1"/>
  <c r="AC27" i="1"/>
  <c r="K23" i="1"/>
  <c r="AB16" i="1"/>
  <c r="N7" i="1"/>
  <c r="AF28" i="1"/>
  <c r="AI22" i="1"/>
  <c r="J6" i="1"/>
  <c r="J9" i="1"/>
  <c r="J5" i="1"/>
  <c r="J1" i="1"/>
  <c r="J10" i="1"/>
  <c r="E7" i="1"/>
  <c r="J4" i="1"/>
  <c r="N9" i="1"/>
  <c r="N2" i="1"/>
  <c r="N1" i="1"/>
  <c r="K33" i="1"/>
  <c r="K39" i="1"/>
  <c r="AB20" i="1"/>
  <c r="AF12" i="1"/>
  <c r="K20" i="1"/>
  <c r="AI14" i="1"/>
  <c r="K35" i="1"/>
  <c r="AF36" i="1"/>
  <c r="AF14" i="1"/>
  <c r="AI12" i="1"/>
  <c r="AF42" i="1"/>
  <c r="K37" i="1"/>
  <c r="AF38" i="1"/>
  <c r="AB42" i="1"/>
  <c r="AI20" i="1"/>
  <c r="AF33" i="1"/>
  <c r="AB38" i="1"/>
  <c r="AF35" i="1"/>
  <c r="AI39" i="1"/>
  <c r="K38" i="1"/>
  <c r="AB36" i="1"/>
  <c r="AI33" i="1"/>
  <c r="AI35" i="1"/>
  <c r="K42" i="1"/>
  <c r="AB35" i="1"/>
  <c r="AB33" i="1"/>
  <c r="AF37" i="1"/>
  <c r="K14" i="1"/>
  <c r="AF20" i="1"/>
  <c r="AB14" i="1"/>
  <c r="AB39" i="1"/>
  <c r="AI36" i="1"/>
  <c r="AF39" i="1"/>
  <c r="AI37" i="1"/>
  <c r="K12" i="1"/>
  <c r="AB37" i="1"/>
  <c r="AI42" i="1"/>
  <c r="AI38" i="1"/>
  <c r="AB12" i="1"/>
  <c r="K36" i="1"/>
  <c r="AB26" i="1"/>
  <c r="AF40" i="1"/>
  <c r="AF25" i="1"/>
  <c r="AF24" i="1"/>
  <c r="AF41" i="1"/>
  <c r="K26" i="1"/>
  <c r="AI25" i="1"/>
  <c r="AI24" i="1"/>
  <c r="K24" i="1"/>
  <c r="AI26" i="1"/>
  <c r="AB25" i="1"/>
  <c r="AB24" i="1"/>
  <c r="AB13" i="1"/>
  <c r="K13" i="1"/>
  <c r="AI40" i="1"/>
  <c r="AB41" i="1"/>
  <c r="AI41" i="1"/>
  <c r="AF26" i="1"/>
  <c r="K40" i="1"/>
  <c r="AI13" i="1"/>
  <c r="K41" i="1"/>
  <c r="AF13" i="1"/>
  <c r="AB40" i="1"/>
  <c r="AG34" i="1"/>
  <c r="AG39" i="1"/>
  <c r="AG27" i="1"/>
  <c r="AG41" i="1"/>
  <c r="AG36" i="1"/>
  <c r="AG20" i="1"/>
  <c r="AG26" i="1"/>
  <c r="AG38" i="1"/>
  <c r="AG21" i="1"/>
  <c r="AG42" i="1"/>
  <c r="AG14" i="1"/>
  <c r="AG30" i="1"/>
  <c r="AG37" i="1"/>
  <c r="AG28" i="1"/>
  <c r="AG44" i="1"/>
  <c r="AG22" i="1"/>
  <c r="AG16" i="1"/>
  <c r="AG13" i="1"/>
  <c r="AG33" i="1"/>
  <c r="N3" i="1"/>
  <c r="E8" i="1"/>
  <c r="J7" i="1"/>
  <c r="N8" i="1"/>
  <c r="J3" i="1"/>
  <c r="N5" i="1"/>
  <c r="J8" i="1"/>
  <c r="J2" i="1"/>
  <c r="E4" i="1"/>
  <c r="N4" i="1"/>
  <c r="X3" i="1"/>
  <c r="E9" i="1"/>
  <c r="E2" i="1"/>
  <c r="N6" i="1"/>
  <c r="K31" i="1"/>
  <c r="K21" i="1"/>
  <c r="K34" i="1"/>
  <c r="AI15" i="1"/>
  <c r="AI31" i="1"/>
  <c r="AI34" i="1"/>
  <c r="E3" i="1"/>
  <c r="AI21" i="1"/>
  <c r="K15" i="1"/>
  <c r="L29" i="1"/>
  <c r="L28" i="1"/>
  <c r="L27" i="1"/>
  <c r="L26" i="1"/>
  <c r="L30" i="1"/>
  <c r="E1" i="1"/>
  <c r="K32" i="1"/>
  <c r="AI32" i="1"/>
  <c r="AB32" i="1"/>
  <c r="AB19" i="1"/>
  <c r="AB17" i="1"/>
  <c r="AI19" i="1"/>
  <c r="AI17" i="1"/>
  <c r="AC19" i="1"/>
  <c r="AC17" i="1"/>
  <c r="AF19" i="1"/>
  <c r="AF17" i="1"/>
  <c r="AG19" i="1"/>
  <c r="AG17" i="1"/>
  <c r="K17" i="1"/>
  <c r="E6" i="1"/>
  <c r="K44" i="1"/>
  <c r="AC44" i="1"/>
  <c r="AI44" i="1"/>
  <c r="AF44" i="1"/>
  <c r="N10" i="1"/>
  <c r="E10" i="1"/>
  <c r="AF10" i="1"/>
  <c r="AB2" i="1" a="1"/>
  <c r="AD18" i="1" l="1"/>
  <c r="V18" i="1"/>
  <c r="F18" i="1"/>
  <c r="AH18" i="1"/>
  <c r="U18" i="1"/>
  <c r="AB2" i="1"/>
  <c r="AD2" i="1" a="1"/>
  <c r="Y18" i="1" l="1"/>
  <c r="Z18" i="1"/>
  <c r="AD2" i="1"/>
  <c r="AC2" i="1" a="1"/>
  <c r="AC2" i="1"/>
  <c r="AC20" i="1"/>
  <c r="AC40" i="1"/>
  <c r="AC25" i="1"/>
  <c r="AC24" i="1"/>
  <c r="AC32" i="1"/>
  <c r="AC35" i="1"/>
  <c r="AC14" i="1"/>
  <c r="AC13" i="1"/>
  <c r="AC38" i="1"/>
  <c r="AC33" i="1"/>
  <c r="AC26" i="1"/>
  <c r="AC36" i="1"/>
  <c r="AC15" i="1"/>
  <c r="AC41" i="1"/>
  <c r="AC12" i="1"/>
  <c r="AC37" i="1"/>
  <c r="AC39" i="1"/>
  <c r="AC42" i="1"/>
  <c r="C1" i="1" a="1"/>
  <c r="C1" i="1"/>
  <c r="H1" i="1" a="1"/>
  <c r="H1" i="1"/>
  <c r="L1" i="1" a="1"/>
  <c r="L1" i="1"/>
  <c r="AI1" i="1"/>
  <c r="AG1" i="1"/>
  <c r="C2" i="1" a="1"/>
  <c r="C2" i="1"/>
  <c r="H2" i="1" a="1"/>
  <c r="H2" i="1"/>
  <c r="L2" i="1" a="1"/>
  <c r="L2" i="1"/>
  <c r="C3" i="1" a="1"/>
  <c r="C3" i="1"/>
  <c r="H3" i="1" a="1"/>
  <c r="H3" i="1"/>
  <c r="L3" i="1" a="1"/>
  <c r="L3" i="1"/>
  <c r="AC3" i="1" a="1"/>
  <c r="AC3" i="1"/>
  <c r="C4" i="1" a="1"/>
  <c r="C4" i="1"/>
  <c r="H4" i="1" a="1"/>
  <c r="H4" i="1"/>
  <c r="L4" i="1" a="1"/>
  <c r="L4" i="1"/>
  <c r="C5" i="1" a="1"/>
  <c r="C5" i="1"/>
  <c r="H5" i="1" a="1"/>
  <c r="H5" i="1"/>
  <c r="L5" i="1" a="1"/>
  <c r="L5" i="1"/>
  <c r="C6" i="1" a="1"/>
  <c r="C6" i="1"/>
  <c r="H6" i="1" a="1"/>
  <c r="H6" i="1"/>
  <c r="L6" i="1" a="1"/>
  <c r="L6" i="1"/>
  <c r="C7" i="1" a="1"/>
  <c r="C7" i="1"/>
  <c r="H7" i="1" a="1"/>
  <c r="H7" i="1"/>
  <c r="L7" i="1" a="1"/>
  <c r="L7" i="1"/>
  <c r="C8" i="1" a="1"/>
  <c r="C8" i="1"/>
  <c r="H8" i="1" a="1"/>
  <c r="H8" i="1"/>
  <c r="L8" i="1" a="1"/>
  <c r="L8" i="1"/>
  <c r="C9" i="1" a="1"/>
  <c r="C9" i="1"/>
  <c r="H9" i="1" a="1"/>
  <c r="H9" i="1"/>
  <c r="L9" i="1" a="1"/>
  <c r="L9" i="1"/>
  <c r="C10" i="1" a="1"/>
  <c r="C10" i="1"/>
  <c r="H10" i="1" a="1"/>
  <c r="H10" i="1"/>
  <c r="L10" i="1" a="1"/>
  <c r="L10" i="1"/>
  <c r="I12" i="1" a="1"/>
  <c r="I12" i="1"/>
  <c r="I13" i="1" a="1"/>
  <c r="I13" i="1"/>
  <c r="I14" i="1" a="1"/>
  <c r="I14" i="1"/>
  <c r="I15" i="1" a="1"/>
  <c r="I15" i="1"/>
  <c r="I20" i="1" a="1"/>
  <c r="I20" i="1"/>
  <c r="I21" i="1" a="1"/>
  <c r="I21" i="1"/>
  <c r="I22" i="1" a="1"/>
  <c r="I22" i="1"/>
  <c r="I23" i="1" a="1"/>
  <c r="I23" i="1"/>
  <c r="I26" i="1" a="1"/>
  <c r="I26" i="1"/>
  <c r="I27" i="1" a="1"/>
  <c r="I27" i="1"/>
  <c r="I28" i="1" a="1"/>
  <c r="I28" i="1"/>
  <c r="I29" i="1" a="1"/>
  <c r="I29" i="1"/>
  <c r="I30" i="1" a="1"/>
  <c r="I30" i="1"/>
  <c r="I31" i="1" a="1"/>
  <c r="I31" i="1"/>
  <c r="I32" i="1" a="1"/>
  <c r="I32" i="1"/>
  <c r="I33" i="1" a="1"/>
  <c r="I33" i="1"/>
  <c r="I34" i="1" a="1"/>
  <c r="I34" i="1"/>
  <c r="I35" i="1" a="1"/>
  <c r="I35" i="1"/>
  <c r="I36" i="1" a="1"/>
  <c r="I36" i="1"/>
  <c r="I37" i="1" a="1"/>
  <c r="I37" i="1"/>
  <c r="I38" i="1" a="1"/>
  <c r="I38" i="1"/>
  <c r="I39" i="1" a="1"/>
  <c r="I39" i="1"/>
  <c r="I40" i="1" a="1"/>
  <c r="I40" i="1"/>
  <c r="I41" i="1" a="1"/>
  <c r="I41" i="1"/>
  <c r="I42" i="1" a="1"/>
  <c r="I42" i="1"/>
  <c r="I43" i="1" a="1"/>
  <c r="I43" i="1"/>
  <c r="I44" i="1" a="1"/>
  <c r="I44" i="1"/>
  <c r="I25" i="1" a="1"/>
  <c r="I25" i="1"/>
  <c r="I19" i="1" a="1"/>
  <c r="I19" i="1"/>
  <c r="I16" i="1" a="1"/>
  <c r="I16" i="1"/>
  <c r="K16" i="1" s="1"/>
  <c r="E96" i="89" a="1"/>
  <c r="E96" i="89"/>
  <c r="D96" i="89" a="1"/>
  <c r="D96" i="89"/>
  <c r="AQ23" i="2" a="1"/>
  <c r="AQ23" i="2"/>
  <c r="AQ22" i="2" a="1"/>
  <c r="AQ22" i="2"/>
  <c r="AQ21" i="2" a="1"/>
  <c r="AQ21" i="2"/>
  <c r="AB14" i="89" a="1"/>
  <c r="AB14" i="89"/>
  <c r="AB13" i="89" a="1"/>
  <c r="AB13" i="89"/>
  <c r="AC9" i="2" a="1"/>
  <c r="AC9" i="2"/>
  <c r="AC8" i="2" a="1"/>
  <c r="AC8" i="2"/>
  <c r="AC18" i="2" a="1"/>
  <c r="AC18" i="2"/>
  <c r="AC17" i="2" a="1"/>
  <c r="AC17" i="2"/>
  <c r="AQ15" i="2" a="1"/>
  <c r="AQ15" i="2"/>
  <c r="AQ14" i="2" a="1"/>
  <c r="AQ14" i="2"/>
  <c r="AB8" i="89" a="1"/>
  <c r="AB8" i="89"/>
  <c r="AB7" i="89" a="1"/>
  <c r="AB7" i="89"/>
  <c r="AC23" i="2" a="1"/>
  <c r="AC23" i="2"/>
  <c r="AC22" i="2" a="1"/>
  <c r="AC22" i="2"/>
  <c r="AC21" i="2" a="1"/>
  <c r="AC21" i="2"/>
  <c r="AC20" i="2" a="1"/>
  <c r="AC20" i="2"/>
  <c r="AC19" i="2" a="1"/>
  <c r="AC19" i="2"/>
  <c r="AQ7" i="2" a="1"/>
  <c r="AQ7" i="2"/>
  <c r="AQ6" i="2" a="1"/>
  <c r="AQ6" i="2"/>
  <c r="AC7" i="2" a="1"/>
  <c r="AC7" i="2"/>
  <c r="AC6" i="2" a="1"/>
  <c r="AC6" i="2"/>
  <c r="AQ20" i="2" a="1"/>
  <c r="AQ20" i="2"/>
  <c r="AQ19" i="2" a="1"/>
  <c r="AQ19" i="2"/>
  <c r="AQ5" i="2" a="1"/>
  <c r="AQ5" i="2"/>
  <c r="AQ4" i="2" a="1"/>
  <c r="AQ4" i="2"/>
  <c r="AB105" i="89" a="1"/>
  <c r="AB105" i="89"/>
  <c r="AC12" i="2" a="1"/>
  <c r="AC12" i="2"/>
  <c r="AC11" i="2" a="1"/>
  <c r="AC11" i="2"/>
  <c r="AC10" i="2" a="1"/>
  <c r="AC10" i="2"/>
  <c r="AC15" i="2" a="1"/>
  <c r="AC15" i="2"/>
  <c r="AC14" i="2" a="1"/>
  <c r="AC14" i="2"/>
  <c r="AC5" i="2" a="1"/>
  <c r="AC5" i="2"/>
  <c r="AC4" i="2" a="1"/>
  <c r="AC4" i="2"/>
  <c r="AB44" i="89" a="1"/>
  <c r="AB44" i="89"/>
  <c r="AB43" i="89" a="1"/>
  <c r="AB43" i="89"/>
  <c r="AQ9" i="2" a="1"/>
  <c r="AQ9" i="2"/>
  <c r="AQ8" i="2" a="1"/>
  <c r="AQ8" i="2"/>
  <c r="AQ16" i="2" a="1"/>
  <c r="AQ16" i="2"/>
  <c r="AB88" i="89" a="1"/>
  <c r="AB88" i="89"/>
  <c r="AB79" i="89" a="1"/>
  <c r="AB79" i="89"/>
  <c r="AB78" i="89" a="1"/>
  <c r="AB78" i="89"/>
  <c r="AB77" i="89" a="1"/>
  <c r="AB77" i="89"/>
  <c r="AQ18" i="2" a="1"/>
  <c r="AQ18" i="2"/>
  <c r="AQ17" i="2" a="1"/>
  <c r="AQ17" i="2"/>
  <c r="AQ12" i="2" a="1"/>
  <c r="AQ12" i="2"/>
  <c r="AQ11" i="2" a="1"/>
  <c r="AQ11" i="2"/>
  <c r="AQ10" i="2" a="1"/>
  <c r="AQ10" i="2"/>
  <c r="AC16" i="2" a="1"/>
  <c r="AC16" i="2"/>
  <c r="AB61" i="89" a="1"/>
  <c r="AB61" i="89"/>
  <c r="R53" i="89" a="1"/>
  <c r="R53" i="89"/>
  <c r="R52" i="89" a="1"/>
  <c r="R52" i="89"/>
  <c r="AB68" i="89" a="1"/>
  <c r="AB68" i="89"/>
  <c r="AB53" i="89" a="1"/>
  <c r="AB53" i="89"/>
  <c r="AB52" i="89" a="1"/>
  <c r="AB52" i="89"/>
  <c r="AB103" i="89" a="1"/>
  <c r="AB103" i="89"/>
  <c r="AB36" i="89" a="1"/>
  <c r="AB36" i="89"/>
  <c r="AB104" i="89" a="1"/>
  <c r="AB104" i="89"/>
  <c r="AB37" i="89" a="1"/>
  <c r="AB37" i="89"/>
  <c r="AC28" i="2" a="1"/>
  <c r="AC28" i="2"/>
  <c r="AC27" i="2" a="1"/>
  <c r="AC27" i="2"/>
  <c r="AC13" i="2" a="1"/>
  <c r="AC13" i="2"/>
  <c r="AQ13" i="2" a="1"/>
  <c r="AQ13" i="2"/>
  <c r="AB31" i="89" a="1"/>
  <c r="AB31" i="89"/>
  <c r="AB30" i="89" a="1"/>
  <c r="AB30" i="89"/>
  <c r="AB20" i="89" a="1"/>
  <c r="AB20" i="89"/>
  <c r="AB19" i="89" a="1"/>
  <c r="AB19" i="89"/>
  <c r="AQ28" i="2" a="1"/>
  <c r="AQ28" i="2"/>
  <c r="AQ27" i="2" a="1"/>
  <c r="AQ27" i="2"/>
  <c r="S68" i="89" a="1"/>
  <c r="S68" i="89"/>
  <c r="R68" i="89" a="1"/>
  <c r="S53" i="89" a="1"/>
  <c r="R68" i="89" l="1"/>
  <c r="S53" i="89"/>
  <c r="S61" i="89" a="1"/>
  <c r="S61" i="89"/>
  <c r="R61" i="89" a="1"/>
  <c r="Z20" i="2"/>
  <c r="AV20" i="2" s="1" a="1"/>
  <c r="S37" i="89" a="1"/>
  <c r="AV20" i="2" l="1"/>
  <c r="R61" i="89"/>
  <c r="S37" i="89"/>
  <c r="R37" i="89" a="1"/>
  <c r="Z28" i="2"/>
  <c r="AV28" i="2" s="1" a="1"/>
  <c r="S103" i="89"/>
  <c r="R103" i="89" s="1" a="1"/>
  <c r="S104" i="89"/>
  <c r="R104" i="89" s="1" a="1"/>
  <c r="S14" i="89" a="1"/>
  <c r="R104" i="89" l="1"/>
  <c r="R103" i="89"/>
  <c r="AV28" i="2"/>
  <c r="R37" i="89"/>
  <c r="S14" i="89"/>
  <c r="R14" i="89" a="1"/>
  <c r="S88" i="89" a="1"/>
  <c r="R14" i="89" l="1"/>
  <c r="S88" i="89"/>
  <c r="R88" i="89" a="1"/>
  <c r="S36" i="89" a="1"/>
  <c r="R88" i="89" l="1"/>
  <c r="S36" i="89"/>
  <c r="R36" i="89" a="1"/>
  <c r="Z13" i="2"/>
  <c r="AV13" i="2" s="1" a="1"/>
  <c r="S105" i="89" a="1"/>
  <c r="R36" i="89" l="1"/>
  <c r="AV13" i="2"/>
  <c r="S105" i="89"/>
  <c r="R105" i="89" a="1"/>
  <c r="Z18" i="2"/>
  <c r="AV18" i="2" s="1" a="1"/>
  <c r="Z7" i="2"/>
  <c r="AV7" i="2" s="1" a="1"/>
  <c r="Z9" i="2"/>
  <c r="AV9" i="2" s="1" a="1"/>
  <c r="Z12" i="2"/>
  <c r="AV12" i="2" s="1" a="1"/>
  <c r="Z15" i="2"/>
  <c r="AV15" i="2" s="1" a="1"/>
  <c r="D68" i="89" a="1"/>
  <c r="AV7" i="2" l="1"/>
  <c r="AV18" i="2"/>
  <c r="AV15" i="2"/>
  <c r="AV12" i="2"/>
  <c r="AV9" i="2"/>
  <c r="R105" i="89"/>
  <c r="D68" i="89"/>
  <c r="C61" i="89" a="1"/>
  <c r="C61" i="89"/>
  <c r="E53" i="89" a="1"/>
  <c r="E53" i="89"/>
  <c r="V52" i="89" a="1"/>
  <c r="V52" i="89"/>
  <c r="D53" i="89" a="1"/>
  <c r="D53" i="89"/>
  <c r="Z61" i="89" a="1"/>
  <c r="Z61" i="89"/>
  <c r="AA61" i="89" a="1"/>
  <c r="AA61" i="89"/>
  <c r="E68" i="89" a="1"/>
  <c r="E68" i="89"/>
  <c r="T68" i="89" a="1"/>
  <c r="T68" i="89"/>
  <c r="Z53" i="89" a="1"/>
  <c r="Z53" i="89"/>
  <c r="AA53" i="89" a="1"/>
  <c r="AA53" i="89"/>
  <c r="C68" i="89" a="1"/>
  <c r="C68" i="89"/>
  <c r="E61" i="89" a="1"/>
  <c r="E61" i="89"/>
  <c r="T61" i="89" a="1"/>
  <c r="T61" i="89"/>
  <c r="C53" i="89" a="1"/>
  <c r="C53" i="89"/>
  <c r="V53" i="89" a="1"/>
  <c r="V53" i="89"/>
  <c r="D52" i="89" a="1"/>
  <c r="D52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Z68" i="89" a="1"/>
  <c r="Z68" i="89"/>
  <c r="AA68" i="89" a="1"/>
  <c r="AA68" i="89"/>
  <c r="V61" i="89" a="1"/>
  <c r="V61" i="89"/>
  <c r="X10" i="338" a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C7" i="89" a="1"/>
  <c r="C7" i="89"/>
  <c r="C37" i="89" a="1"/>
  <c r="C37" i="89"/>
  <c r="C8" i="89" a="1"/>
  <c r="C8" i="89"/>
  <c r="V7" i="89" a="1"/>
  <c r="V7" i="89"/>
  <c r="T78" i="89" a="1"/>
  <c r="T78" i="89"/>
  <c r="V8" i="89" a="1"/>
  <c r="V8" i="89"/>
  <c r="O37" i="89" a="1"/>
  <c r="O37" i="89"/>
  <c r="Z37" i="89" a="1"/>
  <c r="C103" i="89" a="1"/>
  <c r="Z37" i="89" l="1"/>
  <c r="C103" i="89"/>
  <c r="C77" i="89" a="1"/>
  <c r="C77" i="89"/>
  <c r="T77" i="89" a="1"/>
  <c r="T77" i="89"/>
  <c r="O77" i="89" a="1"/>
  <c r="O77" i="89"/>
  <c r="C31" i="89" a="1"/>
  <c r="C31" i="89"/>
  <c r="C78" i="89" a="1"/>
  <c r="C78" i="89"/>
  <c r="C30" i="89" a="1"/>
  <c r="C30" i="89"/>
  <c r="AA104" i="89" a="1"/>
  <c r="AA104" i="89"/>
  <c r="V103" i="89" a="1"/>
  <c r="V103" i="89"/>
  <c r="O8" i="89" a="1"/>
  <c r="O8" i="89"/>
  <c r="O96" i="89" a="1"/>
  <c r="O96" i="89"/>
  <c r="O103" i="89" a="1"/>
  <c r="O103" i="89"/>
  <c r="V31" i="89" a="1"/>
  <c r="V31" i="89" l="1"/>
  <c r="O104" i="89" a="1"/>
  <c r="O104" i="89"/>
  <c r="Z104" i="89" a="1"/>
  <c r="V37" i="89" a="1"/>
  <c r="Z104" i="89" l="1"/>
  <c r="V37" i="89"/>
  <c r="V104" i="89" a="1"/>
  <c r="V104" i="89"/>
  <c r="C96" i="89" a="1"/>
  <c r="C96" i="89"/>
  <c r="AB96" i="89" a="1"/>
  <c r="T31" i="89" a="1"/>
  <c r="AB96" i="89" l="1"/>
  <c r="T31" i="89"/>
  <c r="O31" i="89" a="1"/>
  <c r="O31" i="89"/>
  <c r="T96" i="89" a="1"/>
  <c r="T96" i="89"/>
  <c r="T8" i="89" a="1"/>
  <c r="T8" i="89"/>
  <c r="T30" i="89" a="1"/>
  <c r="T30" i="89"/>
  <c r="V77" i="89" a="1"/>
  <c r="V77" i="89"/>
  <c r="V78" i="89" a="1"/>
  <c r="V78" i="89"/>
  <c r="O78" i="89" a="1"/>
  <c r="O78" i="89"/>
  <c r="V96" i="89" a="1"/>
  <c r="V96" i="89" l="1"/>
  <c r="Z31" i="89" a="1"/>
  <c r="Z31" i="89"/>
  <c r="O30" i="89" a="1"/>
  <c r="O30" i="89"/>
  <c r="Z30" i="89" a="1"/>
  <c r="Z30" i="89"/>
  <c r="T37" i="89" a="1"/>
  <c r="T37" i="89"/>
  <c r="T104" i="89" a="1"/>
  <c r="T104" i="89"/>
  <c r="T103" i="89" a="1"/>
  <c r="T103" i="89"/>
  <c r="C104" i="89" a="1"/>
  <c r="C104" i="89"/>
  <c r="T7" i="89" a="1"/>
  <c r="T7" i="89"/>
  <c r="O7" i="89" a="1"/>
  <c r="O7" i="89"/>
  <c r="V30" i="89" a="1"/>
  <c r="V30" i="89"/>
  <c r="E78" i="89" a="1"/>
  <c r="E78" i="89"/>
  <c r="E79" i="89" a="1"/>
  <c r="E79" i="89"/>
  <c r="E88" i="89" a="1"/>
  <c r="E88" i="89"/>
  <c r="E77" i="89" a="1"/>
  <c r="E77" i="89"/>
  <c r="F10" i="446" a="1"/>
  <c r="F10" i="446"/>
  <c r="F16" i="446" a="1"/>
  <c r="F16" i="446"/>
  <c r="G19" i="446" a="1"/>
  <c r="G19" i="446"/>
  <c r="F12" i="446" a="1"/>
  <c r="F12" i="446"/>
  <c r="F14" i="446" a="1"/>
  <c r="F14" i="446"/>
  <c r="F19" i="446" a="1"/>
  <c r="F19" i="446"/>
  <c r="G11" i="446" a="1"/>
  <c r="G11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G14" i="446" a="1"/>
  <c r="G14" i="446"/>
  <c r="F25" i="446" a="1"/>
  <c r="F25" i="446"/>
  <c r="F11" i="446" a="1"/>
  <c r="F11" i="446"/>
  <c r="G20" i="446" a="1"/>
  <c r="G20" i="446"/>
  <c r="E16" i="2" a="1"/>
  <c r="E16" i="2"/>
  <c r="AR11" i="2" a="1"/>
  <c r="AR11" i="2"/>
  <c r="AR13" i="2" a="1"/>
  <c r="AR13" i="2"/>
  <c r="T21" i="2" a="1"/>
  <c r="T21" i="2"/>
  <c r="AA16" i="2" a="1"/>
  <c r="AA16" i="2"/>
  <c r="AA11" i="2" a="1"/>
  <c r="AA11" i="2"/>
  <c r="C6" i="2" a="1"/>
  <c r="C6" i="2"/>
  <c r="C13" i="2" a="1"/>
  <c r="C13" i="2"/>
  <c r="E15" i="2" a="1"/>
  <c r="E15" i="2"/>
  <c r="F15" i="2" a="1"/>
  <c r="F15" i="2"/>
  <c r="C15" i="2" a="1"/>
  <c r="C15" i="2"/>
  <c r="AA19" i="2" a="1"/>
  <c r="AA19" i="2"/>
  <c r="AD9" i="2" a="1"/>
  <c r="AD9" i="2"/>
  <c r="AR15" i="2" a="1"/>
  <c r="AR15" i="2"/>
  <c r="D13" i="2" a="1"/>
  <c r="D13" i="2"/>
  <c r="T19" i="2" a="1"/>
  <c r="T19" i="2"/>
  <c r="D19" i="2" a="1"/>
  <c r="D19" i="2"/>
  <c r="F21" i="2" a="1"/>
  <c r="F21" i="2"/>
  <c r="C9" i="2" a="1"/>
  <c r="C9" i="2"/>
  <c r="E9" i="2" a="1"/>
  <c r="E9" i="2"/>
  <c r="AR21" i="2" a="1"/>
  <c r="AR21" i="2"/>
  <c r="D21" i="2" a="1"/>
  <c r="D21" i="2"/>
  <c r="F8" i="2" a="1"/>
  <c r="F8" i="2"/>
  <c r="AR19" i="2" a="1"/>
  <c r="AR19" i="2"/>
  <c r="F11" i="2" a="1"/>
  <c r="F11" i="2"/>
  <c r="AD28" i="2" a="1"/>
  <c r="AD28" i="2"/>
  <c r="AA6" i="2" a="1"/>
  <c r="AA6" i="2"/>
  <c r="E21" i="2" a="1"/>
  <c r="E21" i="2"/>
  <c r="AR28" i="2" a="1"/>
  <c r="AR28" i="2"/>
  <c r="D15" i="2" a="1"/>
  <c r="D15" i="2"/>
  <c r="E6" i="2" a="1"/>
  <c r="E6" i="2"/>
  <c r="C28" i="2" a="1"/>
  <c r="C28" i="2"/>
  <c r="F6" i="2" a="1"/>
  <c r="F6" i="2"/>
  <c r="E8" i="2" a="1"/>
  <c r="E8" i="2"/>
  <c r="AR9" i="2" a="1"/>
  <c r="AR9" i="2"/>
  <c r="T8" i="2" a="1"/>
  <c r="T8" i="2"/>
  <c r="C11" i="2" a="1"/>
  <c r="C11" i="2"/>
  <c r="E28" i="2" a="1"/>
  <c r="E28" i="2"/>
  <c r="AD16" i="2" a="1"/>
  <c r="AD16" i="2"/>
  <c r="AA13" i="2" a="1"/>
  <c r="AA13" i="2"/>
  <c r="D9" i="2" a="1"/>
  <c r="D9" i="2"/>
  <c r="E19" i="2" a="1"/>
  <c r="E19" i="2"/>
  <c r="AA15" i="2" a="1"/>
  <c r="AA15" i="2"/>
  <c r="T11" i="2" a="1"/>
  <c r="T11" i="2"/>
  <c r="C21" i="2" a="1"/>
  <c r="C21" i="2"/>
  <c r="AD8" i="2" a="1"/>
  <c r="AD8" i="2"/>
  <c r="T9" i="2" a="1"/>
  <c r="T9" i="2"/>
  <c r="E13" i="2" a="1"/>
  <c r="E13" i="2"/>
  <c r="C16" i="2" a="1"/>
  <c r="C16" i="2"/>
  <c r="C19" i="2" a="1"/>
  <c r="C19" i="2"/>
  <c r="T16" i="2" a="1"/>
  <c r="T16" i="2"/>
  <c r="AA8" i="2" a="1"/>
  <c r="AA8" i="2"/>
  <c r="T6" i="2" a="1"/>
  <c r="T6" i="2"/>
  <c r="AR8" i="2" a="1"/>
  <c r="AR8" i="2"/>
  <c r="AD11" i="2" a="1"/>
  <c r="AD11" i="2"/>
  <c r="AA9" i="2" a="1"/>
  <c r="AA9" i="2"/>
  <c r="F19" i="2" a="1"/>
  <c r="F19" i="2"/>
  <c r="D28" i="2" a="1"/>
  <c r="D28" i="2"/>
  <c r="T15" i="2" a="1"/>
  <c r="T15" i="2"/>
  <c r="F28" i="2" a="1"/>
  <c r="F28" i="2"/>
  <c r="AD6" i="2" a="1"/>
  <c r="AD6" i="2"/>
  <c r="D8" i="2" a="1"/>
  <c r="D8" i="2"/>
  <c r="AA21" i="2" a="1"/>
  <c r="AA21" i="2"/>
  <c r="AD15" i="2" a="1"/>
  <c r="AD15" i="2"/>
  <c r="D16" i="2" a="1"/>
  <c r="D16" i="2"/>
  <c r="AR16" i="2" a="1"/>
  <c r="AR16" i="2"/>
  <c r="AD21" i="2" a="1"/>
  <c r="AD21" i="2"/>
  <c r="D11" i="2" a="1"/>
  <c r="D11" i="2"/>
  <c r="T13" i="2" a="1"/>
  <c r="T13" i="2"/>
  <c r="E11" i="2" a="1"/>
  <c r="E11" i="2"/>
  <c r="AR6" i="2" a="1"/>
  <c r="AR6" i="2"/>
  <c r="AA28" i="2" a="1"/>
  <c r="AA28" i="2"/>
  <c r="C8" i="2" a="1"/>
  <c r="C8" i="2"/>
  <c r="AD19" i="2" a="1"/>
  <c r="AD19" i="2"/>
  <c r="F9" i="2" a="1"/>
  <c r="F9" i="2"/>
  <c r="D6" i="2" a="1"/>
  <c r="D6" i="2"/>
  <c r="F13" i="2" a="1"/>
  <c r="F13" i="2"/>
  <c r="F16" i="2" a="1"/>
  <c r="F16" i="2"/>
  <c r="AD13" i="2" a="1"/>
  <c r="AD13" i="2"/>
  <c r="T28" i="2" a="1"/>
  <c r="T28" i="2"/>
  <c r="AR5" i="2" a="1"/>
  <c r="AR5" i="2"/>
  <c r="T23" i="2" a="1"/>
  <c r="T23" i="2"/>
  <c r="O14" i="89" a="1"/>
  <c r="O14" i="89"/>
  <c r="E22" i="2" a="1"/>
  <c r="E22" i="2"/>
  <c r="AD23" i="2" a="1"/>
  <c r="AD23" i="2"/>
  <c r="V14" i="89" a="1"/>
  <c r="V14" i="89"/>
  <c r="AR24" i="2" a="1"/>
  <c r="AR24" i="2"/>
  <c r="AA22" i="2" a="1"/>
  <c r="AA22" i="2"/>
  <c r="T13" i="89" a="1"/>
  <c r="T13" i="89"/>
  <c r="F24" i="2" a="1"/>
  <c r="F24" i="2"/>
  <c r="T25" i="2" a="1"/>
  <c r="T25" i="2"/>
  <c r="O19" i="89"/>
  <c r="T5" i="2" a="1"/>
  <c r="T5" i="2"/>
  <c r="O105" i="89" a="1"/>
  <c r="O105" i="89"/>
  <c r="T22" i="2" a="1"/>
  <c r="T22" i="2"/>
  <c r="O13" i="89" a="1"/>
  <c r="O13" i="89"/>
  <c r="D24" i="2" a="1"/>
  <c r="D24" i="2"/>
  <c r="Z24" i="2"/>
  <c r="AC24" i="2" a="1"/>
  <c r="AQ24" i="2" a="1"/>
  <c r="C44" i="89" a="1"/>
  <c r="AQ24" i="2" l="1"/>
  <c r="AC24" i="2"/>
  <c r="C44" i="89"/>
  <c r="T24" i="2" a="1"/>
  <c r="T24" i="2"/>
  <c r="O44" i="89" a="1"/>
  <c r="O44" i="89"/>
  <c r="D22" i="2" a="1"/>
  <c r="D22" i="2"/>
  <c r="C13" i="89" a="1"/>
  <c r="C13" i="89"/>
  <c r="Z14" i="89" a="1"/>
  <c r="Z14" i="89"/>
  <c r="AD25" i="2" a="1"/>
  <c r="AD25" i="2"/>
  <c r="V19" i="89"/>
  <c r="E5" i="2" a="1"/>
  <c r="E5" i="2"/>
  <c r="C22" i="2" a="1"/>
  <c r="C22" i="2"/>
  <c r="E23" i="2" a="1"/>
  <c r="E23" i="2"/>
  <c r="C25" i="2" a="1"/>
  <c r="C25" i="2"/>
  <c r="AR22" i="2" a="1"/>
  <c r="AR22" i="2"/>
  <c r="AA25" i="2" a="1"/>
  <c r="AA25" i="2"/>
  <c r="T19" i="89"/>
  <c r="D25" i="2" a="1"/>
  <c r="D25" i="2"/>
  <c r="Z25" i="2"/>
  <c r="AV25" i="2" s="1" a="1"/>
  <c r="AC25" i="2" a="1"/>
  <c r="AQ25" i="2" a="1"/>
  <c r="C19" i="89"/>
  <c r="AA5" i="2" a="1"/>
  <c r="AQ25" i="2" l="1"/>
  <c r="AC25" i="2"/>
  <c r="AV25" i="2"/>
  <c r="AA5" i="2"/>
  <c r="T105" i="89" a="1"/>
  <c r="T105" i="89"/>
  <c r="Z105" i="89" a="1"/>
  <c r="Z105" i="89"/>
  <c r="F23" i="2" a="1"/>
  <c r="F23" i="2"/>
  <c r="AR23" i="2" a="1"/>
  <c r="AR23" i="2"/>
  <c r="Z13" i="89" a="1"/>
  <c r="Z13" i="89"/>
  <c r="AD24" i="2" a="1"/>
  <c r="AD24" i="2"/>
  <c r="V44" i="89" a="1"/>
  <c r="V44" i="89"/>
  <c r="C23" i="2" a="1"/>
  <c r="C23" i="2"/>
  <c r="F5" i="2" a="1"/>
  <c r="F5" i="2"/>
  <c r="AA23" i="2" a="1"/>
  <c r="AA23" i="2"/>
  <c r="T14" i="89" a="1"/>
  <c r="T14" i="89"/>
  <c r="C24" i="2" a="1"/>
  <c r="C24" i="2"/>
  <c r="AD22" i="2" a="1"/>
  <c r="AD22" i="2"/>
  <c r="V13" i="89" a="1"/>
  <c r="V13" i="89"/>
  <c r="E25" i="2" a="1"/>
  <c r="E25" i="2"/>
  <c r="F22" i="2" a="1"/>
  <c r="F22" i="2"/>
  <c r="AR25" i="2" a="1"/>
  <c r="AR25" i="2"/>
  <c r="E24" i="2" a="1"/>
  <c r="E24" i="2"/>
  <c r="Z19" i="89" a="1"/>
  <c r="Z19" i="89"/>
  <c r="AD5" i="2" a="1"/>
  <c r="AD5" i="2"/>
  <c r="V105" i="89" a="1"/>
  <c r="V105" i="89"/>
  <c r="C5" i="2" a="1"/>
  <c r="C5" i="2"/>
  <c r="D5" i="2" a="1"/>
  <c r="D5" i="2"/>
  <c r="C105" i="89" a="1"/>
  <c r="C105" i="89"/>
  <c r="AA24" i="2" a="1"/>
  <c r="AA24" i="2"/>
  <c r="AV24" i="2" a="1"/>
  <c r="T44" i="89" a="1"/>
  <c r="AV24" i="2" l="1"/>
  <c r="T44" i="89"/>
  <c r="D23" i="2" a="1"/>
  <c r="D23" i="2"/>
  <c r="C14" i="89" a="1"/>
  <c r="C14" i="89"/>
  <c r="F25" i="2" a="1"/>
  <c r="F25" i="2"/>
  <c r="AR10" i="2" a="1"/>
  <c r="AR10" i="2"/>
  <c r="AA14" i="2" a="1"/>
  <c r="AA14" i="2"/>
  <c r="T27" i="2" a="1"/>
  <c r="T27" i="2"/>
  <c r="AR20" i="2" a="1"/>
  <c r="AR20" i="2"/>
  <c r="AD7" i="2" a="1"/>
  <c r="AD7" i="2"/>
  <c r="AA7" i="2" a="1"/>
  <c r="AA7" i="2"/>
  <c r="D4" i="2" a="1"/>
  <c r="D4" i="2"/>
  <c r="AR26" i="2" a="1"/>
  <c r="AR26" i="2"/>
  <c r="E10" i="2" a="1"/>
  <c r="E10" i="2"/>
  <c r="AA17" i="2" a="1"/>
  <c r="AA17" i="2"/>
  <c r="T12" i="2" a="1"/>
  <c r="T12" i="2"/>
  <c r="C26" i="2" a="1"/>
  <c r="C26" i="2"/>
  <c r="C12" i="2" a="1"/>
  <c r="C12" i="2"/>
  <c r="AR27" i="2" a="1"/>
  <c r="AR27" i="2"/>
  <c r="F14" i="2" a="1"/>
  <c r="F14" i="2"/>
  <c r="AR4" i="2" a="1"/>
  <c r="AR4" i="2"/>
  <c r="AA26" i="2" a="1"/>
  <c r="AA26" i="2"/>
  <c r="D26" i="2" a="1"/>
  <c r="D26" i="2"/>
  <c r="AC26" i="2" a="1"/>
  <c r="AQ26" i="2" a="1"/>
  <c r="AA4" i="2" a="1"/>
  <c r="AQ26" i="2" l="1"/>
  <c r="AC26" i="2"/>
  <c r="AA4" i="2"/>
  <c r="F26" i="2" a="1"/>
  <c r="F26" i="2"/>
  <c r="D17" i="2" a="1"/>
  <c r="D17" i="2"/>
  <c r="E14" i="2" a="1"/>
  <c r="E14" i="2"/>
  <c r="D12" i="2" a="1"/>
  <c r="D12" i="2"/>
  <c r="F20" i="2" a="1"/>
  <c r="F20" i="2"/>
  <c r="F4" i="2" a="1"/>
  <c r="F4" i="2"/>
  <c r="F12" i="2" a="1"/>
  <c r="F12" i="2"/>
  <c r="D10" i="2" a="1"/>
  <c r="D10" i="2"/>
  <c r="F10" i="2" a="1"/>
  <c r="F10" i="2"/>
  <c r="AD12" i="2" a="1"/>
  <c r="AD12" i="2"/>
  <c r="AR18" i="2" a="1"/>
  <c r="AR18" i="2"/>
  <c r="AD14" i="2" a="1"/>
  <c r="AD14" i="2"/>
  <c r="F17" i="2" a="1"/>
  <c r="F17" i="2"/>
  <c r="E18" i="2" a="1"/>
  <c r="E18" i="2"/>
  <c r="C18" i="2" a="1"/>
  <c r="C18" i="2"/>
  <c r="AD18" i="2" a="1"/>
  <c r="AD18" i="2"/>
  <c r="AD27" i="2" a="1"/>
  <c r="AD27" i="2"/>
  <c r="AR14" i="2" a="1"/>
  <c r="AR14" i="2"/>
  <c r="E17" i="2" a="1"/>
  <c r="E17" i="2"/>
  <c r="C7" i="2" a="1"/>
  <c r="C7" i="2"/>
  <c r="AA20" i="2" a="1"/>
  <c r="AA20" i="2"/>
  <c r="T4" i="2" a="1"/>
  <c r="T4" i="2"/>
  <c r="F18" i="2" a="1"/>
  <c r="F18" i="2"/>
  <c r="AR12" i="2" a="1"/>
  <c r="AR12" i="2"/>
  <c r="C27" i="2" a="1"/>
  <c r="C27" i="2"/>
  <c r="E27" i="2" a="1"/>
  <c r="E27" i="2"/>
  <c r="F7" i="2" a="1"/>
  <c r="F7" i="2"/>
  <c r="AD20" i="2" a="1"/>
  <c r="AD20" i="2"/>
  <c r="T7" i="2" a="1"/>
  <c r="T7" i="2"/>
  <c r="AA18" i="2" a="1"/>
  <c r="AA18" i="2"/>
  <c r="E26" i="2" a="1"/>
  <c r="E26" i="2"/>
  <c r="T10" i="2" a="1"/>
  <c r="T10" i="2"/>
  <c r="AA27" i="2" a="1"/>
  <c r="AA27" i="2"/>
  <c r="AD17" i="2" a="1"/>
  <c r="AD17" i="2"/>
  <c r="D14" i="2" a="1"/>
  <c r="D14" i="2"/>
  <c r="E12" i="2" a="1"/>
  <c r="E12" i="2"/>
  <c r="AR17" i="2" a="1"/>
  <c r="AR17" i="2"/>
  <c r="C4" i="2" a="1"/>
  <c r="C4" i="2"/>
  <c r="E20" i="2" a="1"/>
  <c r="E20" i="2"/>
  <c r="D7" i="2" a="1"/>
  <c r="D7" i="2"/>
  <c r="AR7" i="2" a="1"/>
  <c r="AR7" i="2"/>
  <c r="AA10" i="2" a="1"/>
  <c r="AA10" i="2"/>
  <c r="T20" i="2" a="1"/>
  <c r="T20" i="2"/>
  <c r="AD26" i="2" a="1"/>
  <c r="AD26" i="2"/>
  <c r="D20" i="2" a="1"/>
  <c r="D20" i="2"/>
  <c r="AD4" i="2" a="1"/>
  <c r="AD4" i="2"/>
  <c r="C17" i="2" a="1"/>
  <c r="C17" i="2"/>
  <c r="F27" i="2" a="1"/>
  <c r="F27" i="2"/>
  <c r="T18" i="2" a="1"/>
  <c r="T18" i="2"/>
  <c r="C10" i="2" a="1"/>
  <c r="C10" i="2"/>
  <c r="AD10" i="2" a="1"/>
  <c r="AD10" i="2"/>
  <c r="E7" i="2" a="1"/>
  <c r="E7" i="2"/>
  <c r="AA12" i="2" a="1"/>
  <c r="AA12" i="2"/>
  <c r="C14" i="2" a="1"/>
  <c r="C14" i="2"/>
  <c r="T14" i="2" a="1"/>
  <c r="T14" i="2"/>
  <c r="D27" i="2" a="1"/>
  <c r="D27" i="2"/>
  <c r="D18" i="2" a="1"/>
  <c r="D18" i="2"/>
  <c r="T17" i="2" a="1"/>
  <c r="T17" i="2"/>
  <c r="T26" i="2" a="1"/>
  <c r="T26" i="2"/>
  <c r="C20" i="2" a="1"/>
  <c r="C20" i="2"/>
  <c r="E4" i="2" a="1"/>
  <c r="E4" i="2"/>
  <c r="AI8" i="338" a="1"/>
  <c r="AI8" i="338"/>
  <c r="AK8" i="338" a="1"/>
  <c r="AK8" i="338"/>
  <c r="AG8" i="338"/>
  <c r="G9" i="446" a="1"/>
  <c r="G9" i="446"/>
  <c r="F9" i="446" a="1"/>
  <c r="F9" i="446"/>
  <c r="V95" i="89" a="1"/>
  <c r="V95" i="89"/>
  <c r="C88" i="89" a="1"/>
  <c r="C88" i="89"/>
  <c r="O36" i="89" a="1"/>
  <c r="O36" i="89"/>
  <c r="V88" i="89" a="1"/>
  <c r="V88" i="89"/>
  <c r="V79" i="89" a="1"/>
  <c r="V79" i="89"/>
  <c r="T79" i="89" a="1"/>
  <c r="T79" i="89"/>
  <c r="T88" i="89" a="1"/>
  <c r="T88" i="89"/>
  <c r="V20" i="89" a="1"/>
  <c r="V20" i="89"/>
  <c r="O95" i="89" a="1"/>
  <c r="O95" i="89"/>
  <c r="T20" i="89" a="1"/>
  <c r="T20" i="89"/>
  <c r="O88" i="89" a="1"/>
  <c r="O88" i="89"/>
  <c r="O79" i="89" a="1"/>
  <c r="O79" i="89"/>
  <c r="V43" i="89" a="1"/>
  <c r="V43" i="89" l="1"/>
  <c r="O20" i="89" a="1"/>
  <c r="O20" i="89"/>
  <c r="Z20" i="89" a="1"/>
  <c r="C36" i="89" a="1"/>
  <c r="Z20" i="89" l="1"/>
  <c r="C36" i="89"/>
  <c r="T95" i="89" a="1"/>
  <c r="T95" i="89"/>
  <c r="G37" i="446" a="1"/>
  <c r="G37" i="446"/>
  <c r="T43" i="89" a="1"/>
  <c r="T43" i="89"/>
  <c r="C79" i="89" a="1"/>
  <c r="C79" i="89"/>
  <c r="G27" i="446" a="1"/>
  <c r="G27" i="446"/>
  <c r="F37" i="446" a="1"/>
  <c r="F37" i="446"/>
  <c r="C95" i="89" a="1"/>
  <c r="C95" i="89"/>
  <c r="S95" i="89"/>
  <c r="R95" i="89" s="1" a="1"/>
  <c r="AB95" i="89" a="1"/>
  <c r="F27" i="446" a="1"/>
  <c r="AB95" i="89" l="1"/>
  <c r="R95" i="89"/>
  <c r="F27" i="446"/>
  <c r="D27" i="446" a="1"/>
  <c r="D27" i="446"/>
  <c r="C20" i="89" a="1"/>
  <c r="C20" i="89"/>
  <c r="D30" i="446" a="1"/>
  <c r="D30" i="446"/>
  <c r="V36" i="89" a="1"/>
  <c r="V36" i="89"/>
  <c r="G30" i="446" a="1"/>
  <c r="G30" i="446"/>
  <c r="T36" i="89" a="1"/>
  <c r="T36" i="89"/>
  <c r="D37" i="446" a="1"/>
  <c r="D37" i="446"/>
  <c r="C43" i="89" a="1"/>
  <c r="C43" i="89"/>
  <c r="Z36" i="89" a="1"/>
  <c r="Z36" i="89"/>
  <c r="F30" i="446" a="1"/>
  <c r="F30" i="446"/>
  <c r="O43" i="89" a="1"/>
  <c r="O43" i="89"/>
  <c r="D36" i="89" a="1"/>
  <c r="D36" i="89"/>
  <c r="E8" i="89" a="1"/>
  <c r="E8" i="89"/>
  <c r="D30" i="89" a="1"/>
  <c r="D30" i="89"/>
  <c r="D105" i="89" a="1"/>
  <c r="D105" i="89"/>
  <c r="D95" i="89" a="1"/>
  <c r="D95" i="89"/>
  <c r="E44" i="89" a="1"/>
  <c r="E44" i="89"/>
  <c r="E95" i="89" a="1"/>
  <c r="E95" i="89"/>
  <c r="E37" i="89" a="1"/>
  <c r="E37" i="89"/>
  <c r="D19" i="89"/>
  <c r="D7" i="89"/>
  <c r="D44" i="89" a="1"/>
  <c r="D44" i="89"/>
  <c r="D8" i="89" a="1"/>
  <c r="D8" i="89"/>
  <c r="E7" i="89"/>
  <c r="E30" i="89" a="1"/>
  <c r="E30" i="89"/>
  <c r="E105" i="89" a="1"/>
  <c r="E105" i="89"/>
  <c r="E19" i="89"/>
  <c r="E36" i="89" a="1"/>
  <c r="E36" i="89"/>
  <c r="D37" i="89" a="1"/>
  <c r="D37" i="89"/>
  <c r="G22" i="446" a="1"/>
  <c r="G22" i="446"/>
  <c r="F24" i="446" a="1"/>
  <c r="F24" i="446"/>
  <c r="F22" i="446" a="1"/>
  <c r="F22" i="446"/>
  <c r="F17" i="446" a="1"/>
  <c r="F17" i="446"/>
  <c r="F15" i="446" a="1"/>
  <c r="F15" i="446"/>
  <c r="F21" i="446" a="1"/>
  <c r="F21" i="446"/>
  <c r="G15" i="446" a="1"/>
  <c r="G15" i="446"/>
  <c r="G21" i="446" a="1"/>
  <c r="G21" i="446"/>
  <c r="G24" i="446" a="1"/>
  <c r="G24" i="446"/>
  <c r="G17" i="446" a="1"/>
  <c r="G17" i="446"/>
  <c r="F39" i="446" a="1"/>
  <c r="F39" i="446"/>
  <c r="D39" i="446" a="1"/>
  <c r="D39" i="446"/>
  <c r="G34" i="446" a="1"/>
  <c r="G34" i="446"/>
  <c r="F34" i="446" a="1"/>
  <c r="F34" i="446"/>
  <c r="F41" i="446" a="1"/>
  <c r="F41" i="446"/>
  <c r="F42" i="446" a="1"/>
  <c r="F42" i="446"/>
  <c r="G41" i="446" a="1"/>
  <c r="G41" i="446"/>
  <c r="G44" i="446" a="1"/>
  <c r="G44" i="446"/>
  <c r="D40" i="446" a="1"/>
  <c r="D40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D45" i="446" a="1"/>
  <c r="D45" i="446"/>
  <c r="G40" i="446" a="1"/>
  <c r="G40" i="446"/>
  <c r="F44" i="446" a="1"/>
  <c r="F44" i="446"/>
  <c r="D41" i="446" a="1"/>
  <c r="D41" i="446"/>
  <c r="D31" i="446" a="1"/>
  <c r="D31" i="446"/>
  <c r="D44" i="446" a="1"/>
  <c r="D44" i="446"/>
  <c r="G45" i="446" a="1"/>
  <c r="G45" i="446"/>
  <c r="F43" i="446" a="1"/>
  <c r="F43" i="446"/>
  <c r="E20" i="89" a="1"/>
  <c r="E20" i="89"/>
  <c r="D20" i="89" a="1"/>
  <c r="D20" i="89"/>
  <c r="E14" i="89" a="1"/>
  <c r="E14" i="89"/>
  <c r="D14" i="89" a="1"/>
  <c r="D14" i="89"/>
  <c r="E43" i="89" a="1"/>
  <c r="E43" i="89"/>
  <c r="E104" i="89" a="1"/>
  <c r="E104" i="89"/>
  <c r="D103" i="89" a="1"/>
  <c r="D103" i="89"/>
  <c r="D31" i="89" a="1"/>
  <c r="D31" i="89"/>
  <c r="E103" i="89" a="1"/>
  <c r="E103" i="89"/>
  <c r="D43" i="89" a="1"/>
  <c r="D43" i="89"/>
  <c r="D13" i="89" a="1"/>
  <c r="D13" i="89"/>
  <c r="E13" i="89" a="1"/>
  <c r="E13" i="89"/>
  <c r="E31" i="89" a="1"/>
  <c r="E31" i="89"/>
  <c r="D104" i="89" a="1"/>
  <c r="D104" i="89"/>
  <c r="AK9" i="338" a="1"/>
  <c r="AK9" i="338"/>
  <c r="AB15" i="1"/>
  <c r="F23" i="446" a="1"/>
  <c r="F23" i="446"/>
  <c r="AJ11" i="338" a="1"/>
  <c r="AJ11" i="338"/>
  <c r="AH11" i="338" a="1"/>
  <c r="AH11" i="338"/>
  <c r="AF9" i="338"/>
  <c r="AF21" i="1"/>
  <c r="AH9" i="338" a="1"/>
  <c r="AH9" i="338"/>
  <c r="G36" i="446" a="1"/>
  <c r="G36" i="446"/>
  <c r="AI9" i="338" a="1"/>
  <c r="AI9" i="338"/>
  <c r="AF11" i="338"/>
  <c r="AF34" i="1"/>
  <c r="G26" i="446" a="1"/>
  <c r="G26" i="446"/>
  <c r="AB21" i="1"/>
  <c r="F26" i="446" a="1"/>
  <c r="F26" i="446"/>
  <c r="G23" i="446" a="1"/>
  <c r="G23" i="446"/>
  <c r="AF10" i="338"/>
  <c r="AF31" i="1"/>
  <c r="AJ10" i="338" a="1"/>
  <c r="AJ10" i="338"/>
  <c r="AG9" i="338"/>
  <c r="AF15" i="1"/>
  <c r="AJ9" i="338" a="1"/>
  <c r="AJ9" i="338"/>
  <c r="G35" i="446" a="1"/>
  <c r="G35" i="446"/>
  <c r="AB34" i="1"/>
  <c r="F36" i="446" a="1"/>
  <c r="F36" i="446"/>
  <c r="AH10" i="338" a="1"/>
  <c r="AH10" i="338"/>
  <c r="AB31" i="1"/>
  <c r="F35" i="446" a="1"/>
  <c r="F35" i="446"/>
  <c r="AH8" i="338" a="1"/>
  <c r="AH8" i="338"/>
  <c r="AJ8" i="338" a="1"/>
  <c r="AJ8" i="338"/>
  <c r="AF8" i="338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29" i="446" a="1"/>
  <c r="D29" i="446"/>
  <c r="D33" i="446" a="1"/>
  <c r="D33" i="446"/>
  <c r="L42" i="1" a="1"/>
  <c r="L42" i="1"/>
  <c r="S27" i="2" a="1"/>
  <c r="S27" i="2"/>
  <c r="S19" i="2" a="1"/>
  <c r="S19" i="2"/>
  <c r="S18" i="2" a="1"/>
  <c r="S18" i="2"/>
  <c r="S14" i="2" a="1"/>
  <c r="S14" i="2"/>
  <c r="S11" i="2" a="1"/>
  <c r="S11" i="2"/>
  <c r="S10" i="2" a="1"/>
  <c r="S10" i="2"/>
  <c r="N68" i="89" a="1"/>
  <c r="N68" i="89"/>
  <c r="L44" i="1"/>
  <c r="L43" i="1"/>
  <c r="L41" i="1"/>
  <c r="L40" i="1"/>
  <c r="L39" i="1"/>
  <c r="L38" i="1"/>
  <c r="L37" i="1"/>
  <c r="L36" i="1"/>
  <c r="L35" i="1"/>
  <c r="L34" i="1"/>
  <c r="L33" i="1"/>
  <c r="L32" i="1"/>
  <c r="L31" i="1"/>
  <c r="L25" i="1"/>
  <c r="L24" i="1"/>
  <c r="L23" i="1"/>
  <c r="L22" i="1"/>
  <c r="L21" i="1"/>
  <c r="L20" i="1"/>
  <c r="L19" i="1"/>
  <c r="L17" i="1"/>
  <c r="L16" i="1"/>
  <c r="L15" i="1"/>
  <c r="L14" i="1"/>
  <c r="L13" i="1"/>
  <c r="L12" i="1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AJ12" i="338" a="1"/>
  <c r="AJ12" i="338"/>
  <c r="AH12" i="338" a="1"/>
  <c r="AH12" i="338"/>
  <c r="AF12" i="338"/>
  <c r="AF32" i="1"/>
  <c r="G6" i="446" a="1"/>
  <c r="G6" i="446"/>
  <c r="G5" i="446" a="1"/>
  <c r="G5" i="446"/>
  <c r="AB44" i="1"/>
  <c r="F6" i="446" a="1"/>
  <c r="F6" i="446"/>
  <c r="F5" i="446" a="1"/>
  <c r="F5" i="446"/>
  <c r="G13" i="446" a="1"/>
  <c r="G13" i="446"/>
  <c r="F13" i="446" a="1"/>
  <c r="F13" i="446"/>
  <c r="V87" i="89" a="1"/>
  <c r="V87" i="89"/>
  <c r="C87" i="89" a="1"/>
  <c r="C87" i="89"/>
  <c r="Z62" i="89" a="1"/>
  <c r="Z62" i="89"/>
  <c r="O86" i="89" a="1"/>
  <c r="O86" i="89"/>
  <c r="T62" i="89" a="1"/>
  <c r="T62" i="89"/>
  <c r="Z87" i="89" a="1"/>
  <c r="Z87" i="89"/>
  <c r="J1" i="24" a="1"/>
  <c r="J1" i="24"/>
  <c r="C62" i="89" a="1"/>
  <c r="C62" i="89"/>
  <c r="E86" i="89" a="1"/>
  <c r="E86" i="89"/>
  <c r="D62" i="89" a="1"/>
  <c r="D62" i="89"/>
  <c r="T86" i="89" a="1"/>
  <c r="T86" i="89"/>
  <c r="V62" i="89" a="1"/>
  <c r="V62" i="89"/>
  <c r="BB24" i="2" l="1"/>
  <c r="BA24" i="2"/>
  <c r="D35" i="446" a="1"/>
  <c r="AC34" i="1" a="1"/>
  <c r="D36" i="446" a="1"/>
  <c r="AC21" i="1" a="1"/>
  <c r="D26" i="446" a="1"/>
  <c r="AC31" i="1" a="1"/>
  <c r="Q24" i="2" a="1"/>
  <c r="AN24" i="2" a="1"/>
  <c r="L24" i="2" a="1"/>
  <c r="P24" i="2" a="1"/>
  <c r="G24" i="2" a="1"/>
  <c r="AF24" i="2" a="1"/>
  <c r="AC31" i="1" l="1"/>
  <c r="D26" i="446"/>
  <c r="AC21" i="1"/>
  <c r="D36" i="446"/>
  <c r="AC34" i="1"/>
  <c r="D35" i="446"/>
  <c r="Q24" i="2"/>
  <c r="AF24" i="2"/>
  <c r="P24" i="2"/>
  <c r="G24" i="2"/>
  <c r="L24" i="2"/>
  <c r="AN24" i="2"/>
  <c r="BC24" i="2"/>
  <c r="S24" i="2" a="1"/>
  <c r="J16" i="1" l="1"/>
  <c r="N16" i="1"/>
  <c r="R24" i="2"/>
  <c r="S24" i="2"/>
  <c r="U24" i="2" s="1"/>
  <c r="O24" i="2"/>
  <c r="AP24" i="2"/>
  <c r="AE24" i="2" l="1"/>
  <c r="AO24" i="2"/>
  <c r="AL24" i="2"/>
  <c r="AT24" i="2"/>
  <c r="AS24" i="2"/>
  <c r="AB24" i="2"/>
  <c r="X24" i="2"/>
  <c r="Y24" i="2" s="1"/>
  <c r="M24" i="2"/>
  <c r="AM24" i="2"/>
  <c r="BA25" i="2" l="1"/>
  <c r="BB25" i="2"/>
  <c r="BC25" i="2" s="1"/>
  <c r="L25" i="2" a="1"/>
  <c r="AN25" i="2" a="1"/>
  <c r="P25" i="2" a="1"/>
  <c r="Q25" i="2" a="1"/>
  <c r="AF25" i="2" a="1"/>
  <c r="G25" i="2" a="1"/>
  <c r="L25" i="2" l="1"/>
  <c r="AN25" i="2"/>
  <c r="G25" i="2"/>
  <c r="AF25" i="2"/>
  <c r="P25" i="2"/>
  <c r="Q25" i="2"/>
  <c r="S25" i="2" a="1"/>
  <c r="R25" i="2" l="1"/>
  <c r="S25" i="2"/>
  <c r="AP25" i="2" s="1"/>
  <c r="O25" i="2"/>
  <c r="AO25" i="2" l="1"/>
  <c r="U25" i="2"/>
  <c r="AE25" i="2"/>
  <c r="AS25" i="2"/>
  <c r="AT25" i="2"/>
  <c r="AL25" i="2"/>
  <c r="AM25" i="2"/>
  <c r="X25" i="2"/>
  <c r="Y25" i="2" s="1"/>
  <c r="M25" i="2"/>
  <c r="AB25" i="2"/>
  <c r="F20" i="89" a="1"/>
  <c r="W19" i="89"/>
  <c r="W20" i="89" a="1"/>
  <c r="F19" i="89"/>
  <c r="L19" i="89"/>
  <c r="K20" i="89" a="1"/>
  <c r="K19" i="89"/>
  <c r="L26" i="2" a="1"/>
  <c r="L20" i="89" a="1"/>
  <c r="L20" i="89" l="1"/>
  <c r="W20" i="89"/>
  <c r="K20" i="89"/>
  <c r="F20" i="89"/>
  <c r="L26" i="2"/>
  <c r="F44" i="89" a="1"/>
  <c r="L44" i="89" a="1"/>
  <c r="K44" i="89" a="1"/>
  <c r="W44" i="89" a="1"/>
  <c r="W44" i="89" l="1"/>
  <c r="L44" i="89"/>
  <c r="F44" i="89"/>
  <c r="K44" i="89"/>
  <c r="W103" i="89" a="1"/>
  <c r="W103" i="89" l="1"/>
  <c r="L103" i="89" a="1"/>
  <c r="K103" i="89" a="1"/>
  <c r="F103" i="89" a="1"/>
  <c r="F103" i="89" l="1"/>
  <c r="K103" i="89"/>
  <c r="L103" i="89"/>
  <c r="W104" i="89" a="1"/>
  <c r="L104" i="89" a="1"/>
  <c r="F104" i="89" a="1"/>
  <c r="K104" i="89" a="1"/>
  <c r="K104" i="89" l="1"/>
  <c r="L104" i="89"/>
  <c r="W104" i="89"/>
  <c r="F104" i="89"/>
  <c r="W43" i="89" a="1"/>
  <c r="F31" i="89" a="1"/>
  <c r="L31" i="89" a="1"/>
  <c r="L43" i="89" a="1"/>
  <c r="K31" i="89" a="1"/>
  <c r="F43" i="89" a="1"/>
  <c r="W31" i="89" a="1"/>
  <c r="K43" i="89" a="1"/>
  <c r="L31" i="89" l="1"/>
  <c r="W31" i="89"/>
  <c r="F43" i="89"/>
  <c r="K31" i="89"/>
  <c r="F31" i="89"/>
  <c r="K43" i="89"/>
  <c r="L43" i="89"/>
  <c r="W43" i="89"/>
  <c r="L36" i="89" a="1"/>
  <c r="K36" i="89" a="1"/>
  <c r="W36" i="89" a="1"/>
  <c r="F36" i="89" a="1"/>
  <c r="F36" i="89" l="1"/>
  <c r="W36" i="89"/>
  <c r="L36" i="89"/>
  <c r="K36" i="89"/>
  <c r="S43" i="89" a="1"/>
  <c r="S43" i="89" l="1"/>
  <c r="BA26" i="2"/>
  <c r="BB26" i="2"/>
  <c r="R43" i="89" a="1"/>
  <c r="Q26" i="2" a="1"/>
  <c r="G26" i="2" a="1"/>
  <c r="W37" i="89" a="1"/>
  <c r="AN26" i="2" a="1"/>
  <c r="P26" i="2" a="1"/>
  <c r="F37" i="89" a="1"/>
  <c r="K37" i="89" a="1"/>
  <c r="AF26" i="2" a="1"/>
  <c r="L37" i="89" a="1"/>
  <c r="R43" i="89" l="1"/>
  <c r="F37" i="89"/>
  <c r="W37" i="89"/>
  <c r="L37" i="89"/>
  <c r="K37" i="89"/>
  <c r="AN26" i="2"/>
  <c r="BC26" i="2"/>
  <c r="P26" i="2"/>
  <c r="G26" i="2"/>
  <c r="Q26" i="2"/>
  <c r="AF26" i="2"/>
  <c r="S26" i="2" a="1"/>
  <c r="R26" i="2" l="1"/>
  <c r="S26" i="2"/>
  <c r="U26" i="2" s="1"/>
  <c r="O26" i="2"/>
  <c r="Z26" i="2"/>
  <c r="AV26" i="2" s="1" a="1"/>
  <c r="AV26" i="2" l="1"/>
  <c r="AO26" i="2"/>
  <c r="AP26" i="2"/>
  <c r="AE26" i="2"/>
  <c r="AT26" i="2"/>
  <c r="AL26" i="2"/>
  <c r="AS26" i="2"/>
  <c r="M26" i="2"/>
  <c r="AM26" i="2"/>
  <c r="X26" i="2"/>
  <c r="Y26" i="2" s="1"/>
  <c r="AB26" i="2"/>
  <c r="L30" i="89" a="1"/>
  <c r="W30" i="89" a="1"/>
  <c r="K30" i="89" a="1"/>
  <c r="F30" i="89" a="1"/>
  <c r="L30" i="89" l="1"/>
  <c r="K30" i="89"/>
  <c r="F30" i="89"/>
  <c r="W30" i="89"/>
  <c r="J25" i="1" l="1"/>
  <c r="N25" i="1"/>
  <c r="J19" i="1"/>
  <c r="N19" i="1"/>
  <c r="T25" i="1" l="1"/>
  <c r="T19" i="1"/>
  <c r="F19" i="1" l="1"/>
  <c r="X2" i="527" l="1"/>
  <c r="U2" i="527"/>
  <c r="R2" i="527"/>
  <c r="R165" i="444"/>
  <c r="T165" i="444" s="1"/>
  <c r="U165" i="444" s="1"/>
  <c r="G165" i="444"/>
  <c r="R164" i="444"/>
  <c r="G164" i="444"/>
  <c r="R163" i="444"/>
  <c r="T163" i="444" s="1"/>
  <c r="U163" i="444" s="1"/>
  <c r="G163" i="444"/>
  <c r="S162" i="444"/>
  <c r="R162" i="444"/>
  <c r="T162" i="444" s="1"/>
  <c r="U162" i="444" s="1"/>
  <c r="G162" i="444"/>
  <c r="S161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R159" i="444"/>
  <c r="S159" i="444" s="1"/>
  <c r="G159" i="444"/>
  <c r="R158" i="444"/>
  <c r="T158" i="444" s="1"/>
  <c r="U158" i="444" s="1"/>
  <c r="G158" i="444"/>
  <c r="R157" i="444"/>
  <c r="T157" i="444" s="1"/>
  <c r="U157" i="444" s="1"/>
  <c r="G157" i="444"/>
  <c r="R156" i="444"/>
  <c r="T156" i="444" s="1"/>
  <c r="U156" i="444" s="1"/>
  <c r="G156" i="444"/>
  <c r="S155" i="444"/>
  <c r="R155" i="444"/>
  <c r="T155" i="444" s="1"/>
  <c r="U155" i="444" s="1"/>
  <c r="G155" i="444"/>
  <c r="S154" i="444"/>
  <c r="R154" i="444"/>
  <c r="T154" i="444" s="1"/>
  <c r="U154" i="444" s="1"/>
  <c r="G154" i="444"/>
  <c r="R153" i="444"/>
  <c r="G153" i="444"/>
  <c r="R152" i="444"/>
  <c r="S152" i="444" s="1"/>
  <c r="G152" i="444"/>
  <c r="T151" i="444"/>
  <c r="U151" i="444" s="1"/>
  <c r="R151" i="444"/>
  <c r="S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R146" i="444"/>
  <c r="S146" i="444" s="1"/>
  <c r="G146" i="444"/>
  <c r="R145" i="444"/>
  <c r="T145" i="444" s="1"/>
  <c r="U145" i="444" s="1"/>
  <c r="G145" i="444"/>
  <c r="R144" i="444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R140" i="444"/>
  <c r="T140" i="444" s="1"/>
  <c r="U140" i="444" s="1"/>
  <c r="G140" i="444"/>
  <c r="T139" i="444"/>
  <c r="U139" i="444" s="1"/>
  <c r="R139" i="444"/>
  <c r="S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T130" i="444"/>
  <c r="U130" i="444" s="1"/>
  <c r="S130" i="444"/>
  <c r="R130" i="444"/>
  <c r="G130" i="444"/>
  <c r="T129" i="444"/>
  <c r="U129" i="444" s="1"/>
  <c r="S129" i="444"/>
  <c r="R129" i="444"/>
  <c r="G129" i="444"/>
  <c r="R128" i="444"/>
  <c r="T128" i="444" s="1"/>
  <c r="U128" i="444" s="1"/>
  <c r="G128" i="444"/>
  <c r="T127" i="444"/>
  <c r="U127" i="444" s="1"/>
  <c r="R127" i="444"/>
  <c r="S127" i="444" s="1"/>
  <c r="G127" i="444"/>
  <c r="T126" i="444"/>
  <c r="U126" i="444" s="1"/>
  <c r="V126" i="444" s="1"/>
  <c r="W126" i="444" s="1"/>
  <c r="R126" i="444"/>
  <c r="S126" i="444" s="1"/>
  <c r="G126" i="444"/>
  <c r="R125" i="444"/>
  <c r="G125" i="444"/>
  <c r="R124" i="444"/>
  <c r="G124" i="444"/>
  <c r="S123" i="444"/>
  <c r="R123" i="444"/>
  <c r="T123" i="444" s="1"/>
  <c r="U123" i="444" s="1"/>
  <c r="V123" i="444" s="1"/>
  <c r="W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T115" i="444"/>
  <c r="U115" i="444" s="1"/>
  <c r="R115" i="444"/>
  <c r="S115" i="444" s="1"/>
  <c r="G115" i="444"/>
  <c r="S114" i="444"/>
  <c r="R114" i="444"/>
  <c r="T114" i="444" s="1"/>
  <c r="U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T111" i="444"/>
  <c r="U111" i="444" s="1"/>
  <c r="S111" i="444"/>
  <c r="R111" i="444"/>
  <c r="G111" i="444"/>
  <c r="T110" i="444"/>
  <c r="U110" i="444" s="1"/>
  <c r="S110" i="444"/>
  <c r="R110" i="444"/>
  <c r="G110" i="444"/>
  <c r="T109" i="444"/>
  <c r="U109" i="444" s="1"/>
  <c r="S109" i="444"/>
  <c r="R109" i="444"/>
  <c r="G109" i="444"/>
  <c r="R108" i="444"/>
  <c r="G108" i="444"/>
  <c r="T107" i="444"/>
  <c r="U107" i="444" s="1"/>
  <c r="R107" i="444"/>
  <c r="S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R104" i="444"/>
  <c r="G104" i="444"/>
  <c r="S103" i="444"/>
  <c r="R103" i="444"/>
  <c r="T103" i="444" s="1"/>
  <c r="U103" i="444" s="1"/>
  <c r="V103" i="444" s="1"/>
  <c r="W103" i="444" s="1"/>
  <c r="G103" i="444"/>
  <c r="T102" i="444"/>
  <c r="U102" i="444" s="1"/>
  <c r="S102" i="444"/>
  <c r="R102" i="444"/>
  <c r="G102" i="444"/>
  <c r="R101" i="444"/>
  <c r="T101" i="444" s="1"/>
  <c r="U101" i="444" s="1"/>
  <c r="G101" i="444"/>
  <c r="T100" i="444"/>
  <c r="U100" i="444" s="1"/>
  <c r="R100" i="444"/>
  <c r="S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R97" i="444"/>
  <c r="G97" i="444"/>
  <c r="R96" i="444"/>
  <c r="G96" i="444"/>
  <c r="R95" i="444"/>
  <c r="S95" i="444" s="1"/>
  <c r="G95" i="444"/>
  <c r="S94" i="444"/>
  <c r="R94" i="444"/>
  <c r="T94" i="444" s="1"/>
  <c r="U94" i="444" s="1"/>
  <c r="G94" i="444"/>
  <c r="R93" i="444"/>
  <c r="T93" i="444" s="1"/>
  <c r="U93" i="444" s="1"/>
  <c r="G93" i="444"/>
  <c r="R92" i="444"/>
  <c r="T92" i="444" s="1"/>
  <c r="U92" i="444" s="1"/>
  <c r="G92" i="444"/>
  <c r="T91" i="444"/>
  <c r="U91" i="444" s="1"/>
  <c r="S91" i="444"/>
  <c r="R91" i="444"/>
  <c r="G91" i="444"/>
  <c r="T90" i="444"/>
  <c r="U90" i="444" s="1"/>
  <c r="S90" i="444"/>
  <c r="R90" i="444"/>
  <c r="G90" i="444"/>
  <c r="T89" i="444"/>
  <c r="U89" i="444" s="1"/>
  <c r="S89" i="444"/>
  <c r="R89" i="444"/>
  <c r="G89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R86" i="444"/>
  <c r="S86" i="444" s="1"/>
  <c r="G86" i="444"/>
  <c r="R85" i="444"/>
  <c r="T85" i="444" s="1"/>
  <c r="U85" i="444" s="1"/>
  <c r="G85" i="444"/>
  <c r="R84" i="444"/>
  <c r="G84" i="444"/>
  <c r="S83" i="444"/>
  <c r="R83" i="444"/>
  <c r="T83" i="444" s="1"/>
  <c r="U83" i="444" s="1"/>
  <c r="V83" i="444" s="1"/>
  <c r="W83" i="444" s="1"/>
  <c r="G83" i="444"/>
  <c r="T82" i="444"/>
  <c r="U82" i="444" s="1"/>
  <c r="S82" i="444"/>
  <c r="R82" i="444"/>
  <c r="G82" i="444"/>
  <c r="R81" i="444"/>
  <c r="T81" i="444" s="1"/>
  <c r="U81" i="444" s="1"/>
  <c r="G81" i="444"/>
  <c r="T80" i="444"/>
  <c r="U80" i="444" s="1"/>
  <c r="R80" i="444"/>
  <c r="S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R77" i="444"/>
  <c r="G77" i="444"/>
  <c r="R76" i="444"/>
  <c r="G76" i="444"/>
  <c r="T75" i="444"/>
  <c r="U75" i="444" s="1"/>
  <c r="S75" i="444"/>
  <c r="R75" i="444"/>
  <c r="G75" i="444"/>
  <c r="S74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T71" i="444"/>
  <c r="U71" i="444" s="1"/>
  <c r="S71" i="444"/>
  <c r="R71" i="444"/>
  <c r="G71" i="444"/>
  <c r="T70" i="444"/>
  <c r="U70" i="444" s="1"/>
  <c r="S70" i="444"/>
  <c r="R70" i="444"/>
  <c r="G70" i="444"/>
  <c r="T69" i="444"/>
  <c r="U69" i="444" s="1"/>
  <c r="S69" i="444"/>
  <c r="R69" i="444"/>
  <c r="G69" i="444"/>
  <c r="R68" i="444"/>
  <c r="G68" i="444"/>
  <c r="T67" i="444"/>
  <c r="U67" i="444" s="1"/>
  <c r="R67" i="444"/>
  <c r="S67" i="444" s="1"/>
  <c r="G67" i="444"/>
  <c r="T66" i="444"/>
  <c r="U66" i="444" s="1"/>
  <c r="R66" i="444"/>
  <c r="S66" i="444" s="1"/>
  <c r="G66" i="444"/>
  <c r="R65" i="444"/>
  <c r="T65" i="444" s="1"/>
  <c r="U65" i="444" s="1"/>
  <c r="G65" i="444"/>
  <c r="R64" i="444"/>
  <c r="G64" i="444"/>
  <c r="S63" i="444"/>
  <c r="R63" i="444"/>
  <c r="T63" i="444" s="1"/>
  <c r="U63" i="444" s="1"/>
  <c r="V63" i="444" s="1"/>
  <c r="W63" i="444" s="1"/>
  <c r="G63" i="444"/>
  <c r="T62" i="444"/>
  <c r="U62" i="444" s="1"/>
  <c r="S62" i="444"/>
  <c r="R62" i="444"/>
  <c r="G62" i="444"/>
  <c r="R61" i="444"/>
  <c r="T61" i="444" s="1"/>
  <c r="U61" i="444" s="1"/>
  <c r="G61" i="444"/>
  <c r="T60" i="444"/>
  <c r="U60" i="444" s="1"/>
  <c r="R60" i="444"/>
  <c r="S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R57" i="444"/>
  <c r="G57" i="444"/>
  <c r="R56" i="444"/>
  <c r="G56" i="444"/>
  <c r="R55" i="444"/>
  <c r="T55" i="444" s="1"/>
  <c r="U55" i="444" s="1"/>
  <c r="G55" i="444"/>
  <c r="S54" i="444"/>
  <c r="R54" i="444"/>
  <c r="T54" i="444" s="1"/>
  <c r="U54" i="444" s="1"/>
  <c r="G54" i="444"/>
  <c r="S53" i="444"/>
  <c r="R53" i="444"/>
  <c r="T53" i="444" s="1"/>
  <c r="U53" i="444" s="1"/>
  <c r="G53" i="444"/>
  <c r="R52" i="444"/>
  <c r="S52" i="444" s="1"/>
  <c r="G52" i="444"/>
  <c r="T51" i="444"/>
  <c r="U51" i="444" s="1"/>
  <c r="S51" i="444"/>
  <c r="R51" i="444"/>
  <c r="G51" i="444"/>
  <c r="T50" i="444"/>
  <c r="U50" i="444" s="1"/>
  <c r="S50" i="444"/>
  <c r="R50" i="444"/>
  <c r="G50" i="444"/>
  <c r="T49" i="444"/>
  <c r="U49" i="444" s="1"/>
  <c r="S49" i="444"/>
  <c r="R49" i="444"/>
  <c r="G49" i="444"/>
  <c r="T48" i="444"/>
  <c r="U48" i="444" s="1"/>
  <c r="R48" i="444"/>
  <c r="S48" i="444" s="1"/>
  <c r="G48" i="444"/>
  <c r="T47" i="444"/>
  <c r="U47" i="444" s="1"/>
  <c r="R47" i="444"/>
  <c r="S47" i="444" s="1"/>
  <c r="G47" i="444"/>
  <c r="T46" i="444"/>
  <c r="U46" i="444" s="1"/>
  <c r="V46" i="444" s="1"/>
  <c r="W46" i="444" s="1"/>
  <c r="R46" i="444"/>
  <c r="S46" i="444" s="1"/>
  <c r="G46" i="444"/>
  <c r="R45" i="444"/>
  <c r="T45" i="444" s="1"/>
  <c r="U45" i="444" s="1"/>
  <c r="G45" i="444"/>
  <c r="R44" i="444"/>
  <c r="G44" i="444"/>
  <c r="T43" i="444"/>
  <c r="U43" i="444" s="1"/>
  <c r="S43" i="444"/>
  <c r="R43" i="444"/>
  <c r="G43" i="444"/>
  <c r="T42" i="444"/>
  <c r="U42" i="444" s="1"/>
  <c r="S42" i="444"/>
  <c r="R42" i="444"/>
  <c r="G42" i="444"/>
  <c r="R41" i="444"/>
  <c r="T41" i="444" s="1"/>
  <c r="U41" i="444" s="1"/>
  <c r="G41" i="444"/>
  <c r="T40" i="444"/>
  <c r="U40" i="444" s="1"/>
  <c r="R40" i="444"/>
  <c r="S40" i="444" s="1"/>
  <c r="G40" i="444"/>
  <c r="T39" i="444"/>
  <c r="U39" i="444" s="1"/>
  <c r="R39" i="444"/>
  <c r="S39" i="444" s="1"/>
  <c r="G39" i="444"/>
  <c r="R38" i="444"/>
  <c r="S38" i="444" s="1"/>
  <c r="G38" i="444"/>
  <c r="R37" i="444"/>
  <c r="G37" i="444"/>
  <c r="R36" i="444"/>
  <c r="G36" i="444"/>
  <c r="R35" i="444"/>
  <c r="S35" i="444" s="1"/>
  <c r="G35" i="444"/>
  <c r="R34" i="444"/>
  <c r="T34" i="444" s="1"/>
  <c r="U34" i="444" s="1"/>
  <c r="G34" i="444"/>
  <c r="S33" i="444"/>
  <c r="R33" i="444"/>
  <c r="T33" i="444" s="1"/>
  <c r="U33" i="444" s="1"/>
  <c r="G33" i="444"/>
  <c r="T32" i="444"/>
  <c r="U32" i="444" s="1"/>
  <c r="S32" i="444"/>
  <c r="R32" i="444"/>
  <c r="G32" i="444"/>
  <c r="T31" i="444"/>
  <c r="U31" i="444" s="1"/>
  <c r="S31" i="444"/>
  <c r="R31" i="444"/>
  <c r="G31" i="444"/>
  <c r="T30" i="444"/>
  <c r="U30" i="444" s="1"/>
  <c r="S30" i="444"/>
  <c r="R30" i="444"/>
  <c r="G30" i="444"/>
  <c r="T29" i="444"/>
  <c r="U29" i="444" s="1"/>
  <c r="S29" i="444"/>
  <c r="R29" i="444"/>
  <c r="G29" i="444"/>
  <c r="R28" i="444"/>
  <c r="S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T23" i="444"/>
  <c r="U23" i="444" s="1"/>
  <c r="S23" i="444"/>
  <c r="R23" i="444"/>
  <c r="G23" i="444"/>
  <c r="T22" i="444"/>
  <c r="U22" i="444" s="1"/>
  <c r="S22" i="444"/>
  <c r="R22" i="444"/>
  <c r="G22" i="444"/>
  <c r="T21" i="444"/>
  <c r="U21" i="444" s="1"/>
  <c r="S21" i="444"/>
  <c r="R21" i="444"/>
  <c r="G21" i="444"/>
  <c r="T20" i="444"/>
  <c r="U20" i="444" s="1"/>
  <c r="R20" i="444"/>
  <c r="S20" i="444" s="1"/>
  <c r="G20" i="444"/>
  <c r="T19" i="444"/>
  <c r="U19" i="444" s="1"/>
  <c r="R19" i="444"/>
  <c r="S19" i="444" s="1"/>
  <c r="G19" i="444"/>
  <c r="R18" i="444"/>
  <c r="T18" i="444" s="1"/>
  <c r="U18" i="444" s="1"/>
  <c r="G18" i="444"/>
  <c r="R17" i="444"/>
  <c r="G17" i="444"/>
  <c r="R16" i="444"/>
  <c r="G16" i="444"/>
  <c r="T15" i="444"/>
  <c r="U15" i="444" s="1"/>
  <c r="S15" i="444"/>
  <c r="R15" i="444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T11" i="444"/>
  <c r="U11" i="444" s="1"/>
  <c r="S11" i="444"/>
  <c r="R11" i="444"/>
  <c r="G11" i="444"/>
  <c r="T10" i="444"/>
  <c r="U10" i="444" s="1"/>
  <c r="S10" i="444"/>
  <c r="R10" i="444"/>
  <c r="G10" i="444"/>
  <c r="T9" i="444"/>
  <c r="U9" i="444" s="1"/>
  <c r="V9" i="444" s="1"/>
  <c r="W9" i="444" s="1"/>
  <c r="S9" i="444"/>
  <c r="R9" i="444"/>
  <c r="G9" i="444"/>
  <c r="R8" i="444"/>
  <c r="S8" i="444" s="1"/>
  <c r="G8" i="444"/>
  <c r="R7" i="444"/>
  <c r="S7" i="444" s="1"/>
  <c r="G7" i="444"/>
  <c r="R6" i="444"/>
  <c r="S6" i="444" s="1"/>
  <c r="G6" i="444"/>
  <c r="R5" i="444"/>
  <c r="T5" i="444" s="1"/>
  <c r="U5" i="444" s="1"/>
  <c r="G5" i="444"/>
  <c r="R4" i="444"/>
  <c r="T4" i="444" s="1"/>
  <c r="U4" i="444" s="1"/>
  <c r="G4" i="444"/>
  <c r="T3" i="444"/>
  <c r="U3" i="444" s="1"/>
  <c r="S3" i="444"/>
  <c r="R3" i="444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S31" i="89" a="1"/>
  <c r="S19" i="89" a="1"/>
  <c r="V86" i="89" a="1"/>
  <c r="E87" i="89" a="1"/>
  <c r="C86" i="89" a="1"/>
  <c r="T87" i="89" a="1"/>
  <c r="E62" i="89" a="1"/>
  <c r="O87" i="89" a="1"/>
  <c r="K2" i="2" a="1"/>
  <c r="I50" i="54" a="1"/>
  <c r="V131" i="444" l="1"/>
  <c r="W131" i="444" s="1"/>
  <c r="V86" i="89"/>
  <c r="K2" i="2"/>
  <c r="O87" i="89"/>
  <c r="E62" i="89"/>
  <c r="T87" i="89"/>
  <c r="C86" i="89"/>
  <c r="E87" i="89"/>
  <c r="S19" i="89"/>
  <c r="S31" i="89"/>
  <c r="V115" i="444"/>
  <c r="W115" i="444" s="1"/>
  <c r="V147" i="444"/>
  <c r="W147" i="444" s="1"/>
  <c r="V50" i="444"/>
  <c r="W50" i="444" s="1"/>
  <c r="V90" i="444"/>
  <c r="W90" i="444" s="1"/>
  <c r="V151" i="444"/>
  <c r="W151" i="444" s="1"/>
  <c r="V42" i="444"/>
  <c r="W42" i="444" s="1"/>
  <c r="V129" i="444"/>
  <c r="W129" i="444" s="1"/>
  <c r="V89" i="444"/>
  <c r="W89" i="444" s="1"/>
  <c r="V94" i="444"/>
  <c r="W94" i="444" s="1"/>
  <c r="V32" i="444"/>
  <c r="W32" i="444" s="1"/>
  <c r="V142" i="444"/>
  <c r="W142" i="444" s="1"/>
  <c r="V33" i="444"/>
  <c r="W33" i="444" s="1"/>
  <c r="V20" i="444"/>
  <c r="W20" i="444" s="1"/>
  <c r="V70" i="444"/>
  <c r="W70" i="444" s="1"/>
  <c r="V91" i="444"/>
  <c r="W91" i="444" s="1"/>
  <c r="V159" i="444"/>
  <c r="W159" i="444" s="1"/>
  <c r="V29" i="444"/>
  <c r="W29" i="444" s="1"/>
  <c r="V15" i="444"/>
  <c r="W15" i="444" s="1"/>
  <c r="V22" i="444"/>
  <c r="W22" i="444" s="1"/>
  <c r="V161" i="444"/>
  <c r="W161" i="444" s="1"/>
  <c r="V66" i="444"/>
  <c r="W66" i="444" s="1"/>
  <c r="V80" i="444"/>
  <c r="W80" i="444" s="1"/>
  <c r="V10" i="444"/>
  <c r="W10" i="444" s="1"/>
  <c r="V31" i="444"/>
  <c r="W31" i="444" s="1"/>
  <c r="V74" i="444"/>
  <c r="W74" i="444" s="1"/>
  <c r="V47" i="444"/>
  <c r="W47" i="444" s="1"/>
  <c r="V62" i="444"/>
  <c r="W62" i="444" s="1"/>
  <c r="V114" i="444"/>
  <c r="W114" i="444" s="1"/>
  <c r="V102" i="444"/>
  <c r="W102" i="444" s="1"/>
  <c r="V130" i="444"/>
  <c r="W130" i="444" s="1"/>
  <c r="V40" i="444"/>
  <c r="W40" i="444" s="1"/>
  <c r="V60" i="444"/>
  <c r="W60" i="444" s="1"/>
  <c r="V82" i="444"/>
  <c r="W82" i="444" s="1"/>
  <c r="V23" i="444"/>
  <c r="W23" i="444" s="1"/>
  <c r="V53" i="444"/>
  <c r="W53" i="444" s="1"/>
  <c r="V21" i="444"/>
  <c r="W21" i="444" s="1"/>
  <c r="V111" i="444"/>
  <c r="W111" i="444" s="1"/>
  <c r="V150" i="444"/>
  <c r="W150" i="444" s="1"/>
  <c r="V3" i="444"/>
  <c r="W3" i="444" s="1"/>
  <c r="V54" i="444"/>
  <c r="W54" i="444" s="1"/>
  <c r="V106" i="444"/>
  <c r="W106" i="444" s="1"/>
  <c r="V112" i="444"/>
  <c r="W112" i="444" s="1"/>
  <c r="V149" i="444"/>
  <c r="W149" i="444" s="1"/>
  <c r="V49" i="444"/>
  <c r="W49" i="444" s="1"/>
  <c r="V43" i="444"/>
  <c r="W43" i="444" s="1"/>
  <c r="V122" i="444"/>
  <c r="W122" i="444" s="1"/>
  <c r="V2" i="444"/>
  <c r="W2" i="444" s="1"/>
  <c r="V100" i="444"/>
  <c r="W100" i="444" s="1"/>
  <c r="I50" i="54"/>
  <c r="H52" i="54" s="1"/>
  <c r="V109" i="444"/>
  <c r="W109" i="444" s="1"/>
  <c r="V69" i="444"/>
  <c r="W69" i="444" s="1"/>
  <c r="V132" i="444"/>
  <c r="W132" i="444" s="1"/>
  <c r="T52" i="444"/>
  <c r="U52" i="444" s="1"/>
  <c r="V52" i="444" s="1"/>
  <c r="W52" i="444" s="1"/>
  <c r="S41" i="444"/>
  <c r="V41" i="444" s="1"/>
  <c r="W41" i="444" s="1"/>
  <c r="S45" i="444"/>
  <c r="V45" i="444" s="1"/>
  <c r="W45" i="444" s="1"/>
  <c r="V87" i="444"/>
  <c r="W87" i="444" s="1"/>
  <c r="S113" i="444"/>
  <c r="V113" i="444" s="1"/>
  <c r="W113" i="444" s="1"/>
  <c r="S118" i="444"/>
  <c r="V118" i="444" s="1"/>
  <c r="W118" i="444" s="1"/>
  <c r="T152" i="444"/>
  <c r="U152" i="444" s="1"/>
  <c r="V152" i="444" s="1"/>
  <c r="W152" i="444" s="1"/>
  <c r="S158" i="444"/>
  <c r="V158" i="444" s="1"/>
  <c r="W158" i="444" s="1"/>
  <c r="V79" i="444"/>
  <c r="W79" i="444" s="1"/>
  <c r="S78" i="444"/>
  <c r="V78" i="444" s="1"/>
  <c r="W78" i="444" s="1"/>
  <c r="S65" i="444"/>
  <c r="V65" i="444" s="1"/>
  <c r="W65" i="444" s="1"/>
  <c r="S18" i="444"/>
  <c r="V18" i="444" s="1"/>
  <c r="W18" i="444" s="1"/>
  <c r="T164" i="444"/>
  <c r="U164" i="444" s="1"/>
  <c r="S164" i="444"/>
  <c r="T7" i="444"/>
  <c r="U7" i="444" s="1"/>
  <c r="V7" i="444" s="1"/>
  <c r="W7" i="444" s="1"/>
  <c r="V11" i="444"/>
  <c r="W11" i="444" s="1"/>
  <c r="V19" i="444"/>
  <c r="W19" i="444" s="1"/>
  <c r="T26" i="444"/>
  <c r="U26" i="444" s="1"/>
  <c r="V26" i="444" s="1"/>
  <c r="W26" i="444" s="1"/>
  <c r="T38" i="444"/>
  <c r="U38" i="444" s="1"/>
  <c r="V38" i="444" s="1"/>
  <c r="W38" i="444" s="1"/>
  <c r="S58" i="444"/>
  <c r="V58" i="444" s="1"/>
  <c r="W58" i="444" s="1"/>
  <c r="T88" i="444"/>
  <c r="U88" i="444" s="1"/>
  <c r="S88" i="444"/>
  <c r="S92" i="444"/>
  <c r="V92" i="444" s="1"/>
  <c r="W92" i="444" s="1"/>
  <c r="S101" i="444"/>
  <c r="V101" i="444" s="1"/>
  <c r="W101" i="444" s="1"/>
  <c r="V119" i="444"/>
  <c r="W119" i="444" s="1"/>
  <c r="S138" i="444"/>
  <c r="V138" i="444" s="1"/>
  <c r="W138" i="444" s="1"/>
  <c r="S153" i="444"/>
  <c r="T153" i="444"/>
  <c r="U153" i="444" s="1"/>
  <c r="T95" i="444"/>
  <c r="U95" i="444" s="1"/>
  <c r="V95" i="444" s="1"/>
  <c r="W95" i="444" s="1"/>
  <c r="T96" i="444"/>
  <c r="U96" i="444" s="1"/>
  <c r="S96" i="444"/>
  <c r="V75" i="444"/>
  <c r="W75" i="444" s="1"/>
  <c r="V110" i="444"/>
  <c r="W110" i="444" s="1"/>
  <c r="T44" i="444"/>
  <c r="U44" i="444" s="1"/>
  <c r="S44" i="444"/>
  <c r="S13" i="444"/>
  <c r="V13" i="444" s="1"/>
  <c r="W13" i="444" s="1"/>
  <c r="S133" i="444"/>
  <c r="T133" i="444"/>
  <c r="U133" i="444" s="1"/>
  <c r="S105" i="444"/>
  <c r="V105" i="444" s="1"/>
  <c r="W105" i="444" s="1"/>
  <c r="V67" i="444"/>
  <c r="W67" i="444" s="1"/>
  <c r="V71" i="444"/>
  <c r="W71" i="444" s="1"/>
  <c r="T124" i="444"/>
  <c r="U124" i="444" s="1"/>
  <c r="S124" i="444"/>
  <c r="V154" i="444"/>
  <c r="W154" i="444" s="1"/>
  <c r="T56" i="444"/>
  <c r="U56" i="444" s="1"/>
  <c r="S56" i="444"/>
  <c r="T8" i="444"/>
  <c r="U8" i="444" s="1"/>
  <c r="V8" i="444" s="1"/>
  <c r="W8" i="444" s="1"/>
  <c r="V139" i="444"/>
  <c r="W139" i="444" s="1"/>
  <c r="T144" i="444"/>
  <c r="U144" i="444" s="1"/>
  <c r="S144" i="444"/>
  <c r="S61" i="444"/>
  <c r="V61" i="444" s="1"/>
  <c r="W61" i="444" s="1"/>
  <c r="S25" i="444"/>
  <c r="V25" i="444" s="1"/>
  <c r="W25" i="444" s="1"/>
  <c r="V59" i="444"/>
  <c r="W59" i="444" s="1"/>
  <c r="V162" i="444"/>
  <c r="W162" i="444" s="1"/>
  <c r="V39" i="444"/>
  <c r="W39" i="444" s="1"/>
  <c r="S12" i="444"/>
  <c r="V12" i="444" s="1"/>
  <c r="W12" i="444" s="1"/>
  <c r="V134" i="444"/>
  <c r="W134" i="444" s="1"/>
  <c r="V155" i="444"/>
  <c r="W155" i="444" s="1"/>
  <c r="T37" i="444"/>
  <c r="U37" i="444" s="1"/>
  <c r="S37" i="444"/>
  <c r="T57" i="444"/>
  <c r="U57" i="444" s="1"/>
  <c r="S57" i="444"/>
  <c r="S14" i="444"/>
  <c r="V14" i="444" s="1"/>
  <c r="W14" i="444" s="1"/>
  <c r="V30" i="444"/>
  <c r="W30" i="444" s="1"/>
  <c r="S98" i="444"/>
  <c r="V98" i="444" s="1"/>
  <c r="W98" i="444" s="1"/>
  <c r="T35" i="444"/>
  <c r="U35" i="444" s="1"/>
  <c r="V35" i="444" s="1"/>
  <c r="W35" i="444" s="1"/>
  <c r="V51" i="444"/>
  <c r="W51" i="444" s="1"/>
  <c r="S55" i="444"/>
  <c r="V55" i="444" s="1"/>
  <c r="W55" i="444" s="1"/>
  <c r="T68" i="444"/>
  <c r="U68" i="444" s="1"/>
  <c r="S68" i="444"/>
  <c r="S72" i="444"/>
  <c r="V72" i="444" s="1"/>
  <c r="W72" i="444" s="1"/>
  <c r="S81" i="444"/>
  <c r="V81" i="444" s="1"/>
  <c r="W81" i="444" s="1"/>
  <c r="S85" i="444"/>
  <c r="V85" i="444" s="1"/>
  <c r="W85" i="444" s="1"/>
  <c r="V107" i="444"/>
  <c r="W107" i="444" s="1"/>
  <c r="T125" i="444"/>
  <c r="U125" i="444" s="1"/>
  <c r="S125" i="444"/>
  <c r="T108" i="444"/>
  <c r="U108" i="444" s="1"/>
  <c r="S108" i="444"/>
  <c r="S141" i="444"/>
  <c r="V141" i="444" s="1"/>
  <c r="W141" i="444" s="1"/>
  <c r="T6" i="444"/>
  <c r="U6" i="444" s="1"/>
  <c r="V6" i="444" s="1"/>
  <c r="W6" i="444" s="1"/>
  <c r="V127" i="444"/>
  <c r="W127" i="444" s="1"/>
  <c r="T97" i="444"/>
  <c r="U97" i="444" s="1"/>
  <c r="S97" i="444"/>
  <c r="S4" i="444"/>
  <c r="V4" i="444" s="1"/>
  <c r="W4" i="444" s="1"/>
  <c r="S93" i="444"/>
  <c r="V93" i="444" s="1"/>
  <c r="W93" i="444" s="1"/>
  <c r="T116" i="444"/>
  <c r="U116" i="444" s="1"/>
  <c r="S116" i="444"/>
  <c r="S34" i="444"/>
  <c r="V34" i="444" s="1"/>
  <c r="W34" i="444" s="1"/>
  <c r="T76" i="444"/>
  <c r="U76" i="444" s="1"/>
  <c r="S76" i="444"/>
  <c r="T16" i="444"/>
  <c r="U16" i="444" s="1"/>
  <c r="S16" i="444"/>
  <c r="T27" i="444"/>
  <c r="U27" i="444" s="1"/>
  <c r="V27" i="444" s="1"/>
  <c r="W27" i="444" s="1"/>
  <c r="S5" i="444"/>
  <c r="V5" i="444" s="1"/>
  <c r="W5" i="444" s="1"/>
  <c r="T64" i="444"/>
  <c r="U64" i="444" s="1"/>
  <c r="S64" i="444"/>
  <c r="T77" i="444"/>
  <c r="U77" i="444" s="1"/>
  <c r="S77" i="444"/>
  <c r="S121" i="444"/>
  <c r="V121" i="444" s="1"/>
  <c r="W121" i="444" s="1"/>
  <c r="S135" i="444"/>
  <c r="V135" i="444" s="1"/>
  <c r="W135" i="444" s="1"/>
  <c r="F54" i="54"/>
  <c r="S73" i="444"/>
  <c r="V73" i="444" s="1"/>
  <c r="W73" i="444" s="1"/>
  <c r="T104" i="444"/>
  <c r="U104" i="444" s="1"/>
  <c r="S104" i="444"/>
  <c r="T84" i="444"/>
  <c r="U84" i="444" s="1"/>
  <c r="S84" i="444"/>
  <c r="T17" i="444"/>
  <c r="U17" i="444" s="1"/>
  <c r="S17" i="444"/>
  <c r="S24" i="444"/>
  <c r="V24" i="444" s="1"/>
  <c r="W24" i="444" s="1"/>
  <c r="T28" i="444"/>
  <c r="U28" i="444" s="1"/>
  <c r="V28" i="444" s="1"/>
  <c r="W28" i="444" s="1"/>
  <c r="T36" i="444"/>
  <c r="U36" i="444" s="1"/>
  <c r="S36" i="444"/>
  <c r="V48" i="444"/>
  <c r="W48" i="444" s="1"/>
  <c r="V99" i="444"/>
  <c r="W99" i="444" s="1"/>
  <c r="S136" i="444"/>
  <c r="V136" i="444" s="1"/>
  <c r="W136" i="444" s="1"/>
  <c r="S156" i="444"/>
  <c r="V156" i="444" s="1"/>
  <c r="W156" i="444" s="1"/>
  <c r="S145" i="444"/>
  <c r="V145" i="444" s="1"/>
  <c r="W145" i="444" s="1"/>
  <c r="S165" i="444"/>
  <c r="V165" i="444" s="1"/>
  <c r="W165" i="444" s="1"/>
  <c r="S128" i="444"/>
  <c r="V128" i="444" s="1"/>
  <c r="W128" i="444" s="1"/>
  <c r="S148" i="444"/>
  <c r="V148" i="444" s="1"/>
  <c r="W148" i="444" s="1"/>
  <c r="S117" i="444"/>
  <c r="V117" i="444" s="1"/>
  <c r="W117" i="444" s="1"/>
  <c r="S137" i="444"/>
  <c r="V137" i="444" s="1"/>
  <c r="W137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43" i="444"/>
  <c r="V143" i="444" s="1"/>
  <c r="W143" i="444" s="1"/>
  <c r="S163" i="444"/>
  <c r="V163" i="444" s="1"/>
  <c r="W163" i="444" s="1"/>
  <c r="C43" i="54"/>
  <c r="C45" i="54" s="1"/>
  <c r="D45" i="54" s="1"/>
  <c r="F41" i="54"/>
  <c r="C36" i="54"/>
  <c r="C38" i="54" s="1"/>
  <c r="D38" i="54" s="1"/>
  <c r="I32" i="54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H12" i="54"/>
  <c r="G12" i="54"/>
  <c r="G11" i="54"/>
  <c r="H11" i="54" s="1"/>
  <c r="H10" i="54"/>
  <c r="G10" i="54"/>
  <c r="H9" i="54"/>
  <c r="G9" i="54"/>
  <c r="D3" i="54"/>
  <c r="C3" i="54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E45" i="415" s="1"/>
  <c r="C45" i="415"/>
  <c r="D44" i="415"/>
  <c r="E44" i="415" s="1"/>
  <c r="C44" i="415"/>
  <c r="D43" i="415"/>
  <c r="C43" i="415"/>
  <c r="E43" i="415" s="1"/>
  <c r="D42" i="415"/>
  <c r="C42" i="415"/>
  <c r="E42" i="415" s="1"/>
  <c r="E17" i="415"/>
  <c r="D17" i="415"/>
  <c r="C17" i="415"/>
  <c r="E16" i="415"/>
  <c r="D16" i="415"/>
  <c r="C16" i="415"/>
  <c r="D15" i="415"/>
  <c r="E15" i="415" s="1"/>
  <c r="C15" i="415"/>
  <c r="E14" i="415"/>
  <c r="D14" i="415"/>
  <c r="C14" i="415"/>
  <c r="D13" i="415"/>
  <c r="C13" i="415"/>
  <c r="E13" i="415" s="1"/>
  <c r="E12" i="415"/>
  <c r="D12" i="415"/>
  <c r="C12" i="415"/>
  <c r="D11" i="415"/>
  <c r="C11" i="415"/>
  <c r="E11" i="415" s="1"/>
  <c r="D10" i="415"/>
  <c r="C10" i="415"/>
  <c r="E10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L38" i="385" s="1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23" i="385" s="1"/>
  <c r="K5" i="414"/>
  <c r="O4" i="414"/>
  <c r="N4" i="414"/>
  <c r="M4" i="414"/>
  <c r="L4" i="414"/>
  <c r="K4" i="414"/>
  <c r="O3" i="414"/>
  <c r="N3" i="414"/>
  <c r="M3" i="414"/>
  <c r="L3" i="414"/>
  <c r="K55" i="385" s="1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G7" i="385" s="1"/>
  <c r="K21" i="384"/>
  <c r="O20" i="384"/>
  <c r="N20" i="384"/>
  <c r="M20" i="384"/>
  <c r="L20" i="384"/>
  <c r="K20" i="384"/>
  <c r="O19" i="384"/>
  <c r="N19" i="384"/>
  <c r="M19" i="384"/>
  <c r="L19" i="384"/>
  <c r="G21" i="385" s="1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P13" i="385" s="1"/>
  <c r="K5" i="384"/>
  <c r="O4" i="384"/>
  <c r="N4" i="384"/>
  <c r="M4" i="384"/>
  <c r="L4" i="384"/>
  <c r="K4" i="384"/>
  <c r="O3" i="384"/>
  <c r="N3" i="384"/>
  <c r="M3" i="384"/>
  <c r="L3" i="384"/>
  <c r="I154" i="385" s="1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I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I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I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I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I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C64" i="385"/>
  <c r="Q63" i="385"/>
  <c r="C63" i="385"/>
  <c r="Q62" i="385"/>
  <c r="C62" i="385"/>
  <c r="Q61" i="385"/>
  <c r="C61" i="385"/>
  <c r="Q60" i="385"/>
  <c r="C60" i="385"/>
  <c r="Q59" i="385"/>
  <c r="K59" i="385"/>
  <c r="C59" i="385"/>
  <c r="Q58" i="385"/>
  <c r="C58" i="385"/>
  <c r="Q57" i="385"/>
  <c r="C57" i="385"/>
  <c r="Q56" i="385"/>
  <c r="C56" i="385"/>
  <c r="Q55" i="385"/>
  <c r="C55" i="385"/>
  <c r="Q54" i="385"/>
  <c r="K54" i="385"/>
  <c r="C54" i="385"/>
  <c r="Q53" i="385"/>
  <c r="C53" i="385"/>
  <c r="Q52" i="385"/>
  <c r="I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P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D39" i="385"/>
  <c r="C39" i="385"/>
  <c r="Q38" i="385"/>
  <c r="C38" i="385"/>
  <c r="Q37" i="385"/>
  <c r="C37" i="385"/>
  <c r="Q36" i="385"/>
  <c r="C36" i="385"/>
  <c r="Q35" i="385"/>
  <c r="C35" i="385"/>
  <c r="Q34" i="385"/>
  <c r="K34" i="385"/>
  <c r="C34" i="385"/>
  <c r="Q33" i="385"/>
  <c r="C33" i="385"/>
  <c r="Q32" i="385"/>
  <c r="I32" i="385"/>
  <c r="C32" i="385"/>
  <c r="Q31" i="385"/>
  <c r="C31" i="385"/>
  <c r="Q30" i="385"/>
  <c r="D30" i="385"/>
  <c r="C30" i="385"/>
  <c r="Q29" i="385"/>
  <c r="C29" i="385"/>
  <c r="Q28" i="385"/>
  <c r="C28" i="385"/>
  <c r="Q27" i="385"/>
  <c r="C27" i="385"/>
  <c r="Q26" i="385"/>
  <c r="P26" i="385"/>
  <c r="C26" i="385"/>
  <c r="Q25" i="385"/>
  <c r="S25" i="385" s="1"/>
  <c r="P25" i="385"/>
  <c r="C25" i="385"/>
  <c r="Q24" i="385"/>
  <c r="P24" i="385"/>
  <c r="C24" i="385"/>
  <c r="Q23" i="385"/>
  <c r="R23" i="385" s="1"/>
  <c r="P23" i="385"/>
  <c r="C23" i="385"/>
  <c r="Q22" i="385"/>
  <c r="P22" i="385"/>
  <c r="C22" i="385"/>
  <c r="Q21" i="385"/>
  <c r="R21" i="385" s="1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AE105" i="89"/>
  <c r="R19" i="89" a="1"/>
  <c r="R31" i="89" a="1"/>
  <c r="R31" i="89" l="1"/>
  <c r="R19" i="89"/>
  <c r="H53" i="54"/>
  <c r="H54" i="54" s="1"/>
  <c r="Q16" i="1"/>
  <c r="Q15" i="1"/>
  <c r="S21" i="385"/>
  <c r="V57" i="444"/>
  <c r="W57" i="444" s="1"/>
  <c r="S20" i="385"/>
  <c r="S45" i="385"/>
  <c r="V144" i="444"/>
  <c r="W144" i="444" s="1"/>
  <c r="V96" i="444"/>
  <c r="W96" i="444" s="1"/>
  <c r="V104" i="444"/>
  <c r="W104" i="444" s="1"/>
  <c r="S22" i="385"/>
  <c r="S18" i="385"/>
  <c r="S23" i="385"/>
  <c r="S24" i="385"/>
  <c r="V64" i="444"/>
  <c r="W64" i="444" s="1"/>
  <c r="V153" i="444"/>
  <c r="W153" i="444" s="1"/>
  <c r="V124" i="444"/>
  <c r="W124" i="444" s="1"/>
  <c r="S19" i="385"/>
  <c r="V108" i="444"/>
  <c r="W108" i="444" s="1"/>
  <c r="V88" i="444"/>
  <c r="W88" i="444" s="1"/>
  <c r="R25" i="385"/>
  <c r="S85" i="385"/>
  <c r="V36" i="444"/>
  <c r="W36" i="444" s="1"/>
  <c r="V16" i="444"/>
  <c r="W16" i="444" s="1"/>
  <c r="S26" i="385"/>
  <c r="V76" i="444"/>
  <c r="W76" i="444" s="1"/>
  <c r="R13" i="385"/>
  <c r="S13" i="385"/>
  <c r="F14" i="385"/>
  <c r="I24" i="385"/>
  <c r="I48" i="385"/>
  <c r="I155" i="385"/>
  <c r="K7" i="385"/>
  <c r="K11" i="385"/>
  <c r="K15" i="385"/>
  <c r="P17" i="385"/>
  <c r="I19" i="385"/>
  <c r="P7" i="385"/>
  <c r="P11" i="385"/>
  <c r="P15" i="385"/>
  <c r="K19" i="385"/>
  <c r="I34" i="385"/>
  <c r="L36" i="385"/>
  <c r="G43" i="385"/>
  <c r="G45" i="385"/>
  <c r="P47" i="385"/>
  <c r="I54" i="385"/>
  <c r="P56" i="385"/>
  <c r="I59" i="385"/>
  <c r="I68" i="385"/>
  <c r="I79" i="385"/>
  <c r="I95" i="385"/>
  <c r="I114" i="385"/>
  <c r="I156" i="385"/>
  <c r="I175" i="385"/>
  <c r="L34" i="385"/>
  <c r="P36" i="385"/>
  <c r="D41" i="385"/>
  <c r="I43" i="385"/>
  <c r="D50" i="385"/>
  <c r="L54" i="385"/>
  <c r="P59" i="385"/>
  <c r="D63" i="385"/>
  <c r="I76" i="385"/>
  <c r="I87" i="385"/>
  <c r="I106" i="385"/>
  <c r="I148" i="385"/>
  <c r="I167" i="385"/>
  <c r="I186" i="385"/>
  <c r="C50" i="415"/>
  <c r="C9" i="415"/>
  <c r="D26" i="385"/>
  <c r="I30" i="385"/>
  <c r="K32" i="385"/>
  <c r="F39" i="385"/>
  <c r="F41" i="385"/>
  <c r="K43" i="385"/>
  <c r="R45" i="385"/>
  <c r="F50" i="385"/>
  <c r="K52" i="385"/>
  <c r="P71" i="385"/>
  <c r="R85" i="385"/>
  <c r="I102" i="385"/>
  <c r="I144" i="385"/>
  <c r="I163" i="385"/>
  <c r="I182" i="385"/>
  <c r="C22" i="415"/>
  <c r="C49" i="415"/>
  <c r="F30" i="385"/>
  <c r="R19" i="385"/>
  <c r="D6" i="385"/>
  <c r="D10" i="385"/>
  <c r="D14" i="385"/>
  <c r="D18" i="385"/>
  <c r="D22" i="385"/>
  <c r="F26" i="385"/>
  <c r="I28" i="385"/>
  <c r="K30" i="385"/>
  <c r="L32" i="385"/>
  <c r="G39" i="385"/>
  <c r="G41" i="385"/>
  <c r="P43" i="385"/>
  <c r="I50" i="385"/>
  <c r="L52" i="385"/>
  <c r="D57" i="385"/>
  <c r="F63" i="385"/>
  <c r="I84" i="385"/>
  <c r="I98" i="385"/>
  <c r="I140" i="385"/>
  <c r="I159" i="385"/>
  <c r="I178" i="385"/>
  <c r="D22" i="415"/>
  <c r="D35" i="385"/>
  <c r="I60" i="385"/>
  <c r="I174" i="385"/>
  <c r="I18" i="385"/>
  <c r="I22" i="385"/>
  <c r="K26" i="385"/>
  <c r="K28" i="385"/>
  <c r="P32" i="385"/>
  <c r="D37" i="385"/>
  <c r="I39" i="385"/>
  <c r="D46" i="385"/>
  <c r="L50" i="385"/>
  <c r="P52" i="385"/>
  <c r="G57" i="385"/>
  <c r="I63" i="385"/>
  <c r="P65" i="385"/>
  <c r="I70" i="385"/>
  <c r="I90" i="385"/>
  <c r="I132" i="385"/>
  <c r="I151" i="385"/>
  <c r="I170" i="385"/>
  <c r="F64" i="385"/>
  <c r="D48" i="415"/>
  <c r="I8" i="385"/>
  <c r="F35" i="385"/>
  <c r="P63" i="385"/>
  <c r="I67" i="385"/>
  <c r="P76" i="385"/>
  <c r="I128" i="385"/>
  <c r="I147" i="385"/>
  <c r="I166" i="385"/>
  <c r="C29" i="415"/>
  <c r="I12" i="385"/>
  <c r="F37" i="385"/>
  <c r="K10" i="385"/>
  <c r="K18" i="385"/>
  <c r="L22" i="385"/>
  <c r="L24" i="385"/>
  <c r="G35" i="385"/>
  <c r="G37" i="385"/>
  <c r="P39" i="385"/>
  <c r="I46" i="385"/>
  <c r="L48" i="385"/>
  <c r="P73" i="385"/>
  <c r="I78" i="385"/>
  <c r="I124" i="385"/>
  <c r="I143" i="385"/>
  <c r="I162" i="385"/>
  <c r="C30" i="415"/>
  <c r="F22" i="385"/>
  <c r="P79" i="385"/>
  <c r="L26" i="385"/>
  <c r="K6" i="385"/>
  <c r="L12" i="385"/>
  <c r="L16" i="385"/>
  <c r="K20" i="385"/>
  <c r="L6" i="385"/>
  <c r="L10" i="385"/>
  <c r="L14" i="385"/>
  <c r="L18" i="385"/>
  <c r="L20" i="385"/>
  <c r="P28" i="385"/>
  <c r="D31" i="385"/>
  <c r="P37" i="385"/>
  <c r="I44" i="385"/>
  <c r="K46" i="385"/>
  <c r="D51" i="385"/>
  <c r="I55" i="385"/>
  <c r="P60" i="385"/>
  <c r="I75" i="385"/>
  <c r="P84" i="385"/>
  <c r="I120" i="385"/>
  <c r="I139" i="385"/>
  <c r="I158" i="385"/>
  <c r="D35" i="415"/>
  <c r="K16" i="385"/>
  <c r="L8" i="385"/>
  <c r="K14" i="385"/>
  <c r="P8" i="385"/>
  <c r="P12" i="385"/>
  <c r="P16" i="385"/>
  <c r="D33" i="385"/>
  <c r="I35" i="385"/>
  <c r="D42" i="385"/>
  <c r="L46" i="385"/>
  <c r="P48" i="385"/>
  <c r="D53" i="385"/>
  <c r="I64" i="385"/>
  <c r="P81" i="385"/>
  <c r="I86" i="385"/>
  <c r="I116" i="385"/>
  <c r="I135" i="385"/>
  <c r="L30" i="385"/>
  <c r="D55" i="385"/>
  <c r="I94" i="385"/>
  <c r="D23" i="415"/>
  <c r="I10" i="385"/>
  <c r="I20" i="385"/>
  <c r="F46" i="385"/>
  <c r="K35" i="385"/>
  <c r="P55" i="385"/>
  <c r="I150" i="385"/>
  <c r="L17" i="385"/>
  <c r="L61" i="385"/>
  <c r="L57" i="385"/>
  <c r="L53" i="385"/>
  <c r="L49" i="385"/>
  <c r="L45" i="385"/>
  <c r="L41" i="385"/>
  <c r="L37" i="385"/>
  <c r="L33" i="385"/>
  <c r="L29" i="385"/>
  <c r="L25" i="385"/>
  <c r="L21" i="385"/>
  <c r="L13" i="385"/>
  <c r="L9" i="385"/>
  <c r="L5" i="385"/>
  <c r="K41" i="385"/>
  <c r="K37" i="385"/>
  <c r="K33" i="385"/>
  <c r="K29" i="385"/>
  <c r="K25" i="385"/>
  <c r="K21" i="385"/>
  <c r="K17" i="385"/>
  <c r="K13" i="385"/>
  <c r="K9" i="385"/>
  <c r="K5" i="385"/>
  <c r="L62" i="385"/>
  <c r="L58" i="385"/>
  <c r="K62" i="385"/>
  <c r="K58" i="385"/>
  <c r="L23" i="385"/>
  <c r="L15" i="385"/>
  <c r="L11" i="385"/>
  <c r="L7" i="385"/>
  <c r="L63" i="385"/>
  <c r="L59" i="385"/>
  <c r="L55" i="385"/>
  <c r="L51" i="385"/>
  <c r="L47" i="385"/>
  <c r="L43" i="385"/>
  <c r="L39" i="385"/>
  <c r="L35" i="385"/>
  <c r="L31" i="385"/>
  <c r="L27" i="385"/>
  <c r="L19" i="385"/>
  <c r="K63" i="385"/>
  <c r="L64" i="385"/>
  <c r="L60" i="385"/>
  <c r="L56" i="385"/>
  <c r="D49" i="415"/>
  <c r="C36" i="415"/>
  <c r="D29" i="415"/>
  <c r="D9" i="415"/>
  <c r="I16" i="385"/>
  <c r="I26" i="385"/>
  <c r="P41" i="385"/>
  <c r="P68" i="385"/>
  <c r="I14" i="385"/>
  <c r="K24" i="385"/>
  <c r="F55" i="385"/>
  <c r="F31" i="385"/>
  <c r="F53" i="385"/>
  <c r="I112" i="385"/>
  <c r="I131" i="385"/>
  <c r="D28" i="385"/>
  <c r="P14" i="385"/>
  <c r="I5" i="385"/>
  <c r="I173" i="385"/>
  <c r="I153" i="385"/>
  <c r="I145" i="385"/>
  <c r="I129" i="385"/>
  <c r="I121" i="385"/>
  <c r="I97" i="385"/>
  <c r="P86" i="385"/>
  <c r="I81" i="385"/>
  <c r="P74" i="385"/>
  <c r="I69" i="385"/>
  <c r="D64" i="385"/>
  <c r="P58" i="385"/>
  <c r="D56" i="385"/>
  <c r="P50" i="385"/>
  <c r="P46" i="385"/>
  <c r="D44" i="385"/>
  <c r="I37" i="385"/>
  <c r="D36" i="385"/>
  <c r="D32" i="385"/>
  <c r="D24" i="385"/>
  <c r="I17" i="385"/>
  <c r="D12" i="385"/>
  <c r="D8" i="385"/>
  <c r="I185" i="385"/>
  <c r="I181" i="385"/>
  <c r="I165" i="385"/>
  <c r="I161" i="385"/>
  <c r="I149" i="385"/>
  <c r="I141" i="385"/>
  <c r="I133" i="385"/>
  <c r="I117" i="385"/>
  <c r="I113" i="385"/>
  <c r="I105" i="385"/>
  <c r="I89" i="385"/>
  <c r="P82" i="385"/>
  <c r="I77" i="385"/>
  <c r="P70" i="385"/>
  <c r="I65" i="385"/>
  <c r="P62" i="385"/>
  <c r="D60" i="385"/>
  <c r="I53" i="385"/>
  <c r="I49" i="385"/>
  <c r="D48" i="385"/>
  <c r="P42" i="385"/>
  <c r="P38" i="385"/>
  <c r="P34" i="385"/>
  <c r="P30" i="385"/>
  <c r="I21" i="385"/>
  <c r="D16" i="385"/>
  <c r="I9" i="385"/>
  <c r="I189" i="385"/>
  <c r="I177" i="385"/>
  <c r="I169" i="385"/>
  <c r="I157" i="385"/>
  <c r="I137" i="385"/>
  <c r="I125" i="385"/>
  <c r="I109" i="385"/>
  <c r="I101" i="385"/>
  <c r="I93" i="385"/>
  <c r="I85" i="385"/>
  <c r="P78" i="385"/>
  <c r="I73" i="385"/>
  <c r="P66" i="385"/>
  <c r="I61" i="385"/>
  <c r="I57" i="385"/>
  <c r="P54" i="385"/>
  <c r="D52" i="385"/>
  <c r="I45" i="385"/>
  <c r="I41" i="385"/>
  <c r="D40" i="385"/>
  <c r="I33" i="385"/>
  <c r="I29" i="385"/>
  <c r="I25" i="385"/>
  <c r="D20" i="385"/>
  <c r="I13" i="385"/>
  <c r="P10" i="385"/>
  <c r="P6" i="385"/>
  <c r="R24" i="385"/>
  <c r="D27" i="385"/>
  <c r="G31" i="385"/>
  <c r="G33" i="385"/>
  <c r="P35" i="385"/>
  <c r="I42" i="385"/>
  <c r="L44" i="385"/>
  <c r="G51" i="385"/>
  <c r="G53" i="385"/>
  <c r="F58" i="385"/>
  <c r="K64" i="385"/>
  <c r="P67" i="385"/>
  <c r="I108" i="385"/>
  <c r="I127" i="385"/>
  <c r="I146" i="385"/>
  <c r="I188" i="385"/>
  <c r="G36" i="385"/>
  <c r="G32" i="385"/>
  <c r="G24" i="385"/>
  <c r="G20" i="385"/>
  <c r="G12" i="385"/>
  <c r="G8" i="385"/>
  <c r="G64" i="385"/>
  <c r="G60" i="385"/>
  <c r="G56" i="385"/>
  <c r="G52" i="385"/>
  <c r="G48" i="385"/>
  <c r="G44" i="385"/>
  <c r="G40" i="385"/>
  <c r="G28" i="385"/>
  <c r="G16" i="385"/>
  <c r="G61" i="385"/>
  <c r="F61" i="385"/>
  <c r="G46" i="385"/>
  <c r="G42" i="385"/>
  <c r="G38" i="385"/>
  <c r="G34" i="385"/>
  <c r="G30" i="385"/>
  <c r="G26" i="385"/>
  <c r="G18" i="385"/>
  <c r="G62" i="385"/>
  <c r="G58" i="385"/>
  <c r="G54" i="385"/>
  <c r="G50" i="385"/>
  <c r="G22" i="385"/>
  <c r="G14" i="385"/>
  <c r="G10" i="385"/>
  <c r="G6" i="385"/>
  <c r="F62" i="385"/>
  <c r="G63" i="385"/>
  <c r="G59" i="385"/>
  <c r="G55" i="385"/>
  <c r="K12" i="385"/>
  <c r="F51" i="385"/>
  <c r="D11" i="385"/>
  <c r="D15" i="385"/>
  <c r="R20" i="385"/>
  <c r="D23" i="385"/>
  <c r="D29" i="385"/>
  <c r="P33" i="385"/>
  <c r="I40" i="385"/>
  <c r="K42" i="385"/>
  <c r="D47" i="385"/>
  <c r="P53" i="385"/>
  <c r="I58" i="385"/>
  <c r="D61" i="385"/>
  <c r="I80" i="385"/>
  <c r="I104" i="385"/>
  <c r="I123" i="385"/>
  <c r="I142" i="385"/>
  <c r="I184" i="385"/>
  <c r="K48" i="385"/>
  <c r="F33" i="385"/>
  <c r="I72" i="385"/>
  <c r="D5" i="385"/>
  <c r="D13" i="385"/>
  <c r="D19" i="385"/>
  <c r="F27" i="385"/>
  <c r="I31" i="385"/>
  <c r="D38" i="385"/>
  <c r="L42" i="385"/>
  <c r="P44" i="385"/>
  <c r="D49" i="385"/>
  <c r="I51" i="385"/>
  <c r="P61" i="385"/>
  <c r="P64" i="385"/>
  <c r="P75" i="385"/>
  <c r="I100" i="385"/>
  <c r="I119" i="385"/>
  <c r="I138" i="385"/>
  <c r="I180" i="385"/>
  <c r="B5" i="383"/>
  <c r="B4" i="383"/>
  <c r="F57" i="385"/>
  <c r="K8" i="385"/>
  <c r="K60" i="385"/>
  <c r="D58" i="385"/>
  <c r="D7" i="385"/>
  <c r="D9" i="385"/>
  <c r="D17" i="385"/>
  <c r="D25" i="385"/>
  <c r="F29" i="385"/>
  <c r="F7" i="385"/>
  <c r="F11" i="385"/>
  <c r="F15" i="385"/>
  <c r="D21" i="385"/>
  <c r="F23" i="385"/>
  <c r="F25" i="385"/>
  <c r="G27" i="385"/>
  <c r="G29" i="385"/>
  <c r="K31" i="385"/>
  <c r="F38" i="385"/>
  <c r="K40" i="385"/>
  <c r="F47" i="385"/>
  <c r="F49" i="385"/>
  <c r="K51" i="385"/>
  <c r="I66" i="385"/>
  <c r="I96" i="385"/>
  <c r="I115" i="385"/>
  <c r="I134" i="385"/>
  <c r="I176" i="385"/>
  <c r="F18" i="385"/>
  <c r="K50" i="385"/>
  <c r="I136" i="385"/>
  <c r="I6" i="385"/>
  <c r="K22" i="385"/>
  <c r="P57" i="385"/>
  <c r="I83" i="385"/>
  <c r="F5" i="385"/>
  <c r="F9" i="385"/>
  <c r="G11" i="385"/>
  <c r="F13" i="385"/>
  <c r="G15" i="385"/>
  <c r="F17" i="385"/>
  <c r="F19" i="385"/>
  <c r="F21" i="385"/>
  <c r="G23" i="385"/>
  <c r="G25" i="385"/>
  <c r="P29" i="385"/>
  <c r="P31" i="385"/>
  <c r="I38" i="385"/>
  <c r="L40" i="385"/>
  <c r="G47" i="385"/>
  <c r="G49" i="385"/>
  <c r="P51" i="385"/>
  <c r="I56" i="385"/>
  <c r="D59" i="385"/>
  <c r="P72" i="385"/>
  <c r="P83" i="385"/>
  <c r="I92" i="385"/>
  <c r="I111" i="385"/>
  <c r="I130" i="385"/>
  <c r="I172" i="385"/>
  <c r="I191" i="385"/>
  <c r="F6" i="385"/>
  <c r="L28" i="385"/>
  <c r="K44" i="385"/>
  <c r="G5" i="385"/>
  <c r="G9" i="385"/>
  <c r="G13" i="385"/>
  <c r="G17" i="385"/>
  <c r="G19" i="385"/>
  <c r="I27" i="385"/>
  <c r="I36" i="385"/>
  <c r="K38" i="385"/>
  <c r="D43" i="385"/>
  <c r="P49" i="385"/>
  <c r="P69" i="385"/>
  <c r="I74" i="385"/>
  <c r="I88" i="385"/>
  <c r="I107" i="385"/>
  <c r="I126" i="385"/>
  <c r="I168" i="385"/>
  <c r="I187" i="385"/>
  <c r="F10" i="385"/>
  <c r="K39" i="385"/>
  <c r="F42" i="385"/>
  <c r="I7" i="385"/>
  <c r="I11" i="385"/>
  <c r="I15" i="385"/>
  <c r="I23" i="385"/>
  <c r="K27" i="385"/>
  <c r="D34" i="385"/>
  <c r="P40" i="385"/>
  <c r="D45" i="385"/>
  <c r="I47" i="385"/>
  <c r="D54" i="385"/>
  <c r="K56" i="385"/>
  <c r="F59" i="385"/>
  <c r="D62" i="385"/>
  <c r="I71" i="385"/>
  <c r="P80" i="385"/>
  <c r="I103" i="385"/>
  <c r="I122" i="385"/>
  <c r="I164" i="385"/>
  <c r="I183" i="385"/>
  <c r="P5" i="385"/>
  <c r="P9" i="385"/>
  <c r="P27" i="385"/>
  <c r="F34" i="385"/>
  <c r="K36" i="385"/>
  <c r="F43" i="385"/>
  <c r="F45" i="385"/>
  <c r="K47" i="385"/>
  <c r="F54" i="385"/>
  <c r="I62" i="385"/>
  <c r="P77" i="385"/>
  <c r="I82" i="385"/>
  <c r="I99" i="385"/>
  <c r="I118" i="385"/>
  <c r="I160" i="385"/>
  <c r="I179" i="385"/>
  <c r="C23" i="415"/>
  <c r="E23" i="415" s="1"/>
  <c r="D36" i="415"/>
  <c r="V77" i="444"/>
  <c r="W77" i="444" s="1"/>
  <c r="V97" i="444"/>
  <c r="W97" i="444" s="1"/>
  <c r="D30" i="415"/>
  <c r="C37" i="415"/>
  <c r="D50" i="415"/>
  <c r="C24" i="415"/>
  <c r="D37" i="415"/>
  <c r="D24" i="415"/>
  <c r="C31" i="415"/>
  <c r="E31" i="415" s="1"/>
  <c r="C51" i="415"/>
  <c r="C18" i="415"/>
  <c r="D31" i="415"/>
  <c r="C38" i="415"/>
  <c r="D51" i="415"/>
  <c r="C5" i="415"/>
  <c r="E5" i="415" s="1"/>
  <c r="D18" i="415"/>
  <c r="C25" i="415"/>
  <c r="E25" i="415" s="1"/>
  <c r="D38" i="415"/>
  <c r="V17" i="444"/>
  <c r="W17" i="444" s="1"/>
  <c r="V37" i="444"/>
  <c r="W37" i="444" s="1"/>
  <c r="V133" i="444"/>
  <c r="W133" i="444" s="1"/>
  <c r="D5" i="415"/>
  <c r="D25" i="415"/>
  <c r="C32" i="415"/>
  <c r="C52" i="415"/>
  <c r="C19" i="415"/>
  <c r="D32" i="415"/>
  <c r="C39" i="415"/>
  <c r="E39" i="415" s="1"/>
  <c r="D52" i="415"/>
  <c r="C6" i="415"/>
  <c r="D19" i="415"/>
  <c r="C26" i="415"/>
  <c r="D39" i="415"/>
  <c r="C46" i="415"/>
  <c r="E46" i="415" s="1"/>
  <c r="V84" i="444"/>
  <c r="W84" i="444" s="1"/>
  <c r="V125" i="444"/>
  <c r="W125" i="444" s="1"/>
  <c r="V44" i="444"/>
  <c r="W44" i="444" s="1"/>
  <c r="D6" i="415"/>
  <c r="D26" i="415"/>
  <c r="C33" i="415"/>
  <c r="D46" i="415"/>
  <c r="C53" i="415"/>
  <c r="V164" i="444"/>
  <c r="W164" i="444" s="1"/>
  <c r="C20" i="415"/>
  <c r="D33" i="415"/>
  <c r="C40" i="415"/>
  <c r="D53" i="415"/>
  <c r="C7" i="415"/>
  <c r="E7" i="415" s="1"/>
  <c r="D20" i="415"/>
  <c r="C27" i="415"/>
  <c r="D40" i="415"/>
  <c r="C47" i="415"/>
  <c r="D7" i="415"/>
  <c r="D27" i="415"/>
  <c r="C34" i="415"/>
  <c r="E34" i="415" s="1"/>
  <c r="D47" i="415"/>
  <c r="C54" i="415"/>
  <c r="E54" i="415" s="1"/>
  <c r="F8" i="385"/>
  <c r="F12" i="385"/>
  <c r="F16" i="385"/>
  <c r="R18" i="385"/>
  <c r="F20" i="385"/>
  <c r="R22" i="385"/>
  <c r="F24" i="385"/>
  <c r="R26" i="385"/>
  <c r="F28" i="385"/>
  <c r="F32" i="385"/>
  <c r="F36" i="385"/>
  <c r="F40" i="385"/>
  <c r="F44" i="385"/>
  <c r="K45" i="385"/>
  <c r="F48" i="385"/>
  <c r="K49" i="385"/>
  <c r="F52" i="385"/>
  <c r="K53" i="385"/>
  <c r="F56" i="385"/>
  <c r="K57" i="385"/>
  <c r="F60" i="385"/>
  <c r="K61" i="385"/>
  <c r="C21" i="415"/>
  <c r="D34" i="415"/>
  <c r="C41" i="415"/>
  <c r="D54" i="415"/>
  <c r="C8" i="415"/>
  <c r="D21" i="415"/>
  <c r="C28" i="415"/>
  <c r="D41" i="415"/>
  <c r="C48" i="415"/>
  <c r="E48" i="415" s="1"/>
  <c r="V116" i="444"/>
  <c r="W116" i="444" s="1"/>
  <c r="V68" i="444"/>
  <c r="W68" i="444" s="1"/>
  <c r="V56" i="444"/>
  <c r="W56" i="444" s="1"/>
  <c r="D8" i="415"/>
  <c r="D28" i="415"/>
  <c r="C35" i="415"/>
  <c r="E35" i="415" s="1"/>
  <c r="I52" i="54"/>
  <c r="I53" i="54"/>
  <c r="J53" i="54" s="1"/>
  <c r="S8" i="89" a="1"/>
  <c r="S8" i="89" l="1"/>
  <c r="T16" i="1"/>
  <c r="S33" i="385"/>
  <c r="R33" i="385"/>
  <c r="J22" i="385"/>
  <c r="H22" i="385"/>
  <c r="M22" i="385"/>
  <c r="E22" i="385" s="1"/>
  <c r="S36" i="385"/>
  <c r="R36" i="385"/>
  <c r="S15" i="385"/>
  <c r="R15" i="385"/>
  <c r="S80" i="385"/>
  <c r="R80" i="385"/>
  <c r="H6" i="385"/>
  <c r="J6" i="385"/>
  <c r="M6" i="385"/>
  <c r="E6" i="385" s="1"/>
  <c r="M21" i="385"/>
  <c r="E21" i="385" s="1"/>
  <c r="J21" i="385"/>
  <c r="H21" i="385"/>
  <c r="M27" i="385"/>
  <c r="E27" i="385" s="1"/>
  <c r="J27" i="385"/>
  <c r="H27" i="385"/>
  <c r="S6" i="385"/>
  <c r="R6" i="385"/>
  <c r="S70" i="385"/>
  <c r="R70" i="385"/>
  <c r="S48" i="385"/>
  <c r="R48" i="385"/>
  <c r="E30" i="415"/>
  <c r="S11" i="385"/>
  <c r="R11" i="385"/>
  <c r="M19" i="385"/>
  <c r="E19" i="385" s="1"/>
  <c r="J19" i="385"/>
  <c r="H19" i="385"/>
  <c r="S10" i="385"/>
  <c r="R10" i="385"/>
  <c r="S7" i="385"/>
  <c r="R7" i="385"/>
  <c r="M17" i="385"/>
  <c r="E17" i="385" s="1"/>
  <c r="J17" i="385"/>
  <c r="H17" i="385"/>
  <c r="M49" i="385"/>
  <c r="E49" i="385" s="1"/>
  <c r="J49" i="385"/>
  <c r="H49" i="385"/>
  <c r="S82" i="385"/>
  <c r="R82" i="385"/>
  <c r="S46" i="385"/>
  <c r="R46" i="385"/>
  <c r="M53" i="385"/>
  <c r="E53" i="385" s="1"/>
  <c r="J53" i="385"/>
  <c r="H53" i="385"/>
  <c r="S76" i="385"/>
  <c r="R76" i="385"/>
  <c r="S32" i="385"/>
  <c r="R32" i="385"/>
  <c r="S43" i="385"/>
  <c r="R43" i="385"/>
  <c r="S69" i="385"/>
  <c r="R69" i="385"/>
  <c r="M13" i="385"/>
  <c r="E13" i="385" s="1"/>
  <c r="J13" i="385"/>
  <c r="H13" i="385"/>
  <c r="M55" i="385"/>
  <c r="E55" i="385" s="1"/>
  <c r="J55" i="385"/>
  <c r="H55" i="385"/>
  <c r="S55" i="385"/>
  <c r="R55" i="385"/>
  <c r="R37" i="385"/>
  <c r="S37" i="385"/>
  <c r="S63" i="385"/>
  <c r="R63" i="385"/>
  <c r="E49" i="415"/>
  <c r="J52" i="54"/>
  <c r="J54" i="54" s="1"/>
  <c r="I54" i="54"/>
  <c r="S77" i="385"/>
  <c r="R77" i="385"/>
  <c r="M38" i="385"/>
  <c r="E38" i="385" s="1"/>
  <c r="J38" i="385"/>
  <c r="H38" i="385"/>
  <c r="M33" i="385"/>
  <c r="E33" i="385" s="1"/>
  <c r="J33" i="385"/>
  <c r="H33" i="385"/>
  <c r="M51" i="385"/>
  <c r="E51" i="385" s="1"/>
  <c r="J51" i="385"/>
  <c r="H51" i="385"/>
  <c r="S58" i="385"/>
  <c r="R58" i="385"/>
  <c r="S16" i="385"/>
  <c r="R16" i="385"/>
  <c r="S73" i="385"/>
  <c r="R73" i="385"/>
  <c r="M35" i="385"/>
  <c r="E35" i="385" s="1"/>
  <c r="J35" i="385"/>
  <c r="H35" i="385"/>
  <c r="E9" i="415"/>
  <c r="H12" i="385"/>
  <c r="J12" i="385"/>
  <c r="M12" i="385"/>
  <c r="E12" i="385" s="1"/>
  <c r="E38" i="415"/>
  <c r="H48" i="385"/>
  <c r="M48" i="385"/>
  <c r="E48" i="385" s="1"/>
  <c r="J48" i="385"/>
  <c r="E47" i="415"/>
  <c r="E26" i="415"/>
  <c r="S83" i="385"/>
  <c r="R83" i="385"/>
  <c r="M9" i="385"/>
  <c r="E9" i="385" s="1"/>
  <c r="J9" i="385"/>
  <c r="H9" i="385"/>
  <c r="M61" i="385"/>
  <c r="E61" i="385" s="1"/>
  <c r="J61" i="385"/>
  <c r="H61" i="385"/>
  <c r="M46" i="385"/>
  <c r="E46" i="385" s="1"/>
  <c r="J46" i="385"/>
  <c r="H46" i="385"/>
  <c r="S12" i="385"/>
  <c r="R12" i="385"/>
  <c r="S28" i="385"/>
  <c r="R28" i="385"/>
  <c r="E22" i="415"/>
  <c r="E50" i="415"/>
  <c r="H8" i="385"/>
  <c r="M8" i="385"/>
  <c r="E8" i="385" s="1"/>
  <c r="J8" i="385"/>
  <c r="S67" i="385"/>
  <c r="R67" i="385"/>
  <c r="S68" i="385"/>
  <c r="R68" i="385"/>
  <c r="S8" i="385"/>
  <c r="R8" i="385"/>
  <c r="S72" i="385"/>
  <c r="R72" i="385"/>
  <c r="E27" i="415"/>
  <c r="E6" i="415"/>
  <c r="E51" i="415"/>
  <c r="S40" i="385"/>
  <c r="R40" i="385"/>
  <c r="S74" i="385"/>
  <c r="R74" i="385"/>
  <c r="R41" i="385"/>
  <c r="S41" i="385"/>
  <c r="H64" i="385"/>
  <c r="M64" i="385"/>
  <c r="E64" i="385" s="1"/>
  <c r="J64" i="385"/>
  <c r="J26" i="385"/>
  <c r="H26" i="385"/>
  <c r="M26" i="385"/>
  <c r="E26" i="385" s="1"/>
  <c r="S56" i="385"/>
  <c r="R56" i="385"/>
  <c r="M57" i="385"/>
  <c r="E57" i="385" s="1"/>
  <c r="J57" i="385"/>
  <c r="H57" i="385"/>
  <c r="M54" i="385"/>
  <c r="E54" i="385" s="1"/>
  <c r="J54" i="385"/>
  <c r="H54" i="385"/>
  <c r="S57" i="385"/>
  <c r="R57" i="385"/>
  <c r="M25" i="385"/>
  <c r="E25" i="385" s="1"/>
  <c r="J25" i="385"/>
  <c r="H25" i="385"/>
  <c r="M58" i="385"/>
  <c r="E58" i="385" s="1"/>
  <c r="J58" i="385"/>
  <c r="H58" i="385"/>
  <c r="S39" i="385"/>
  <c r="R39" i="385"/>
  <c r="S50" i="385"/>
  <c r="R50" i="385"/>
  <c r="R17" i="385"/>
  <c r="S17" i="385"/>
  <c r="M62" i="385"/>
  <c r="E62" i="385" s="1"/>
  <c r="J62" i="385"/>
  <c r="H62" i="385"/>
  <c r="S30" i="385"/>
  <c r="R30" i="385"/>
  <c r="S86" i="385"/>
  <c r="R86" i="385"/>
  <c r="H14" i="385"/>
  <c r="J14" i="385"/>
  <c r="M14" i="385"/>
  <c r="E14" i="385" s="1"/>
  <c r="H60" i="385"/>
  <c r="M60" i="385"/>
  <c r="E60" i="385" s="1"/>
  <c r="J60" i="385"/>
  <c r="S51" i="385"/>
  <c r="R51" i="385"/>
  <c r="S75" i="385"/>
  <c r="R75" i="385"/>
  <c r="S54" i="385"/>
  <c r="R54" i="385"/>
  <c r="S34" i="385"/>
  <c r="R34" i="385"/>
  <c r="S47" i="385"/>
  <c r="R47" i="385"/>
  <c r="H56" i="385"/>
  <c r="M56" i="385"/>
  <c r="E56" i="385" s="1"/>
  <c r="J56" i="385"/>
  <c r="M59" i="385"/>
  <c r="E59" i="385" s="1"/>
  <c r="J59" i="385"/>
  <c r="H59" i="385"/>
  <c r="J30" i="385"/>
  <c r="H30" i="385"/>
  <c r="M30" i="385"/>
  <c r="E30" i="385" s="1"/>
  <c r="E19" i="415"/>
  <c r="S38" i="385"/>
  <c r="R38" i="385"/>
  <c r="S71" i="385"/>
  <c r="R71" i="385"/>
  <c r="H52" i="385"/>
  <c r="M52" i="385"/>
  <c r="E52" i="385" s="1"/>
  <c r="J52" i="385"/>
  <c r="R49" i="385"/>
  <c r="S49" i="385"/>
  <c r="M45" i="385"/>
  <c r="E45" i="385" s="1"/>
  <c r="J45" i="385"/>
  <c r="H45" i="385"/>
  <c r="M43" i="385"/>
  <c r="E43" i="385" s="1"/>
  <c r="J43" i="385"/>
  <c r="H43" i="385"/>
  <c r="E28" i="415"/>
  <c r="E8" i="415"/>
  <c r="E36" i="415"/>
  <c r="E24" i="415"/>
  <c r="S42" i="385"/>
  <c r="R42" i="385"/>
  <c r="H24" i="385"/>
  <c r="M24" i="385"/>
  <c r="E24" i="385" s="1"/>
  <c r="J24" i="385"/>
  <c r="E20" i="415"/>
  <c r="E32" i="415"/>
  <c r="E37" i="415"/>
  <c r="R9" i="385"/>
  <c r="S9" i="385"/>
  <c r="H18" i="385"/>
  <c r="J18" i="385"/>
  <c r="M18" i="385"/>
  <c r="E18" i="385" s="1"/>
  <c r="M7" i="385"/>
  <c r="E7" i="385" s="1"/>
  <c r="J7" i="385"/>
  <c r="H7" i="385"/>
  <c r="S53" i="385"/>
  <c r="R53" i="385"/>
  <c r="S66" i="385"/>
  <c r="R66" i="385"/>
  <c r="S65" i="385"/>
  <c r="R65" i="385"/>
  <c r="M50" i="385"/>
  <c r="E50" i="385" s="1"/>
  <c r="J50" i="385"/>
  <c r="H50" i="385"/>
  <c r="S59" i="385"/>
  <c r="R59" i="385"/>
  <c r="H44" i="385"/>
  <c r="M44" i="385"/>
  <c r="E44" i="385" s="1"/>
  <c r="J44" i="385"/>
  <c r="E40" i="415"/>
  <c r="M15" i="385"/>
  <c r="E15" i="385" s="1"/>
  <c r="J15" i="385"/>
  <c r="H15" i="385"/>
  <c r="E52" i="415"/>
  <c r="M11" i="385"/>
  <c r="E11" i="385" s="1"/>
  <c r="J11" i="385"/>
  <c r="H11" i="385"/>
  <c r="S5" i="385"/>
  <c r="R5" i="385"/>
  <c r="M42" i="385"/>
  <c r="E42" i="385" s="1"/>
  <c r="J42" i="385"/>
  <c r="H42" i="385"/>
  <c r="M29" i="385"/>
  <c r="E29" i="385" s="1"/>
  <c r="J29" i="385"/>
  <c r="H29" i="385"/>
  <c r="S35" i="385"/>
  <c r="R35" i="385"/>
  <c r="S84" i="385"/>
  <c r="R84" i="385"/>
  <c r="M23" i="385"/>
  <c r="E23" i="385" s="1"/>
  <c r="J23" i="385"/>
  <c r="H23" i="385"/>
  <c r="M34" i="385"/>
  <c r="E34" i="385" s="1"/>
  <c r="J34" i="385"/>
  <c r="H34" i="385"/>
  <c r="S64" i="385"/>
  <c r="R64" i="385"/>
  <c r="E41" i="415"/>
  <c r="H20" i="385"/>
  <c r="M20" i="385"/>
  <c r="E20" i="385" s="1"/>
  <c r="J20" i="385"/>
  <c r="E53" i="415"/>
  <c r="S31" i="385"/>
  <c r="R31" i="385"/>
  <c r="S44" i="385"/>
  <c r="R44" i="385"/>
  <c r="S78" i="385"/>
  <c r="R78" i="385"/>
  <c r="S81" i="385"/>
  <c r="R81" i="385"/>
  <c r="M37" i="385"/>
  <c r="E37" i="385" s="1"/>
  <c r="J37" i="385"/>
  <c r="H37" i="385"/>
  <c r="M63" i="385"/>
  <c r="E63" i="385" s="1"/>
  <c r="J63" i="385"/>
  <c r="H63" i="385"/>
  <c r="E18" i="415"/>
  <c r="H40" i="385"/>
  <c r="M40" i="385"/>
  <c r="E40" i="385" s="1"/>
  <c r="J40" i="385"/>
  <c r="H10" i="385"/>
  <c r="J10" i="385"/>
  <c r="M10" i="385"/>
  <c r="E10" i="385" s="1"/>
  <c r="S29" i="385"/>
  <c r="R29" i="385"/>
  <c r="S79" i="385"/>
  <c r="R79" i="385"/>
  <c r="S52" i="385"/>
  <c r="R52" i="385"/>
  <c r="M41" i="385"/>
  <c r="E41" i="385" s="1"/>
  <c r="J41" i="385"/>
  <c r="H41" i="385"/>
  <c r="M47" i="385"/>
  <c r="E47" i="385" s="1"/>
  <c r="J47" i="385"/>
  <c r="H47" i="385"/>
  <c r="M31" i="385"/>
  <c r="E31" i="385" s="1"/>
  <c r="J31" i="385"/>
  <c r="H31" i="385"/>
  <c r="M5" i="385"/>
  <c r="E5" i="385" s="1"/>
  <c r="J5" i="385"/>
  <c r="H5" i="385"/>
  <c r="H36" i="385"/>
  <c r="J36" i="385"/>
  <c r="M36" i="385"/>
  <c r="E36" i="385" s="1"/>
  <c r="H32" i="385"/>
  <c r="J32" i="385"/>
  <c r="M32" i="385"/>
  <c r="E32" i="385" s="1"/>
  <c r="H28" i="385"/>
  <c r="M28" i="385"/>
  <c r="E28" i="385" s="1"/>
  <c r="J28" i="385"/>
  <c r="R27" i="385"/>
  <c r="S27" i="385"/>
  <c r="S61" i="385"/>
  <c r="R61" i="385"/>
  <c r="E21" i="415"/>
  <c r="H16" i="385"/>
  <c r="J16" i="385"/>
  <c r="M16" i="385"/>
  <c r="E16" i="385" s="1"/>
  <c r="E33" i="415"/>
  <c r="S62" i="385"/>
  <c r="R62" i="385"/>
  <c r="S14" i="385"/>
  <c r="R14" i="385"/>
  <c r="S60" i="385"/>
  <c r="R60" i="385"/>
  <c r="E29" i="415"/>
  <c r="M39" i="385"/>
  <c r="E39" i="385" s="1"/>
  <c r="J39" i="385"/>
  <c r="H39" i="385"/>
  <c r="R8" i="89" a="1"/>
  <c r="W105" i="89" a="1"/>
  <c r="R8" i="89" l="1"/>
  <c r="W105" i="89"/>
  <c r="L105" i="89" a="1"/>
  <c r="L105" i="89" l="1"/>
  <c r="K105" i="89" a="1"/>
  <c r="K105" i="89" l="1"/>
  <c r="M105" i="89" s="1"/>
  <c r="F105" i="89" a="1"/>
  <c r="I105" i="89" l="1"/>
  <c r="F105" i="89"/>
  <c r="AA105" i="89" a="1"/>
  <c r="N105" i="89" a="1"/>
  <c r="AA105" i="89" l="1"/>
  <c r="N105" i="89"/>
  <c r="P105" i="89"/>
  <c r="Q105" i="89" s="1"/>
  <c r="AE104" i="89" l="1"/>
  <c r="AC105" i="89" l="1"/>
  <c r="Y105" i="89"/>
  <c r="U105" i="89"/>
  <c r="J105" i="89"/>
  <c r="M104" i="89" l="1"/>
  <c r="K106" i="89"/>
  <c r="I104" i="89"/>
  <c r="N104" i="89" a="1"/>
  <c r="N104" i="89" l="1"/>
  <c r="P104" i="89"/>
  <c r="Q104" i="89" l="1"/>
  <c r="AE103" i="89"/>
  <c r="AC104" i="89" l="1"/>
  <c r="Y104" i="89"/>
  <c r="U104" i="89"/>
  <c r="J104" i="89"/>
  <c r="K107" i="89" l="1"/>
  <c r="I103" i="89" l="1"/>
  <c r="M103" i="89"/>
  <c r="AA103" i="89" a="1"/>
  <c r="N103" i="89" a="1"/>
  <c r="AA103" i="89" l="1"/>
  <c r="I110" i="89"/>
  <c r="H110" i="89" s="1"/>
  <c r="I106" i="89"/>
  <c r="I108" i="89"/>
  <c r="N103" i="89"/>
  <c r="Z103" i="89" a="1"/>
  <c r="Z103" i="89" l="1"/>
  <c r="H111" i="89"/>
  <c r="P103" i="89"/>
  <c r="P106" i="89" l="1"/>
  <c r="Q106" i="89" s="1"/>
  <c r="Q103" i="89"/>
  <c r="Q102" i="89" s="1"/>
  <c r="K102" i="89"/>
  <c r="I102" i="89"/>
  <c r="Q101" i="89"/>
  <c r="I101" i="89"/>
  <c r="AC103" i="89" l="1"/>
  <c r="Y103" i="89"/>
  <c r="U103" i="89"/>
  <c r="J103" i="89"/>
  <c r="G111" i="89"/>
  <c r="G110" i="89"/>
  <c r="Y107" i="89" l="1"/>
  <c r="W96" i="89" a="1"/>
  <c r="W96" i="89" l="1"/>
  <c r="L96" i="89" a="1"/>
  <c r="L96" i="89" l="1"/>
  <c r="K96" i="89" a="1"/>
  <c r="K96" i="89" l="1"/>
  <c r="M96" i="89" s="1"/>
  <c r="F96" i="89" a="1"/>
  <c r="I96" i="89" l="1"/>
  <c r="F96" i="89"/>
  <c r="AE96" i="89"/>
  <c r="AA96" i="89" a="1"/>
  <c r="N96" i="89" a="1"/>
  <c r="AA96" i="89" l="1"/>
  <c r="N96" i="89"/>
  <c r="P96" i="89"/>
  <c r="Q96" i="89" s="1"/>
  <c r="Z96" i="89" a="1"/>
  <c r="Z96" i="89" l="1"/>
  <c r="AE95" i="89"/>
  <c r="S96" i="89" a="1"/>
  <c r="S96" i="89" l="1"/>
  <c r="R96" i="89" a="1"/>
  <c r="R96" i="89" l="1"/>
  <c r="AC96" i="89"/>
  <c r="Y96" i="89"/>
  <c r="U96" i="89"/>
  <c r="J96" i="89"/>
  <c r="W95" i="89" a="1"/>
  <c r="W95" i="89" l="1"/>
  <c r="L95" i="89" a="1"/>
  <c r="L95" i="89" l="1"/>
  <c r="K95" i="89" a="1"/>
  <c r="K95" i="89" l="1"/>
  <c r="K98" i="89" s="1"/>
  <c r="K97" i="89"/>
  <c r="F95" i="89" a="1"/>
  <c r="I95" i="89" l="1"/>
  <c r="M95" i="89"/>
  <c r="F95" i="89"/>
  <c r="AA95" i="89" a="1"/>
  <c r="N95" i="89" a="1"/>
  <c r="AA95" i="89" l="1"/>
  <c r="I97" i="89"/>
  <c r="I99" i="89"/>
  <c r="N95" i="89"/>
  <c r="P95" i="89"/>
  <c r="Z95" i="89" a="1"/>
  <c r="Z95" i="89" l="1"/>
  <c r="P97" i="89"/>
  <c r="Q95" i="89"/>
  <c r="Q93" i="89" s="1"/>
  <c r="J93" i="89"/>
  <c r="I93" i="89"/>
  <c r="AE88" i="89"/>
  <c r="K93" i="89" l="1"/>
  <c r="AC95" i="89"/>
  <c r="Y95" i="89"/>
  <c r="U95" i="89"/>
  <c r="J95" i="89"/>
  <c r="Q97" i="89"/>
  <c r="B98" i="89"/>
  <c r="B99" i="89" s="1"/>
  <c r="Y98" i="89" l="1"/>
  <c r="W88" i="89" a="1"/>
  <c r="W88" i="89" l="1"/>
  <c r="L88" i="89" a="1"/>
  <c r="L88" i="89" l="1"/>
  <c r="K88" i="89" a="1"/>
  <c r="K88" i="89" l="1"/>
  <c r="M88" i="89" s="1"/>
  <c r="I88" i="89"/>
  <c r="AA88" i="89" a="1"/>
  <c r="F88" i="89" a="1"/>
  <c r="AA88" i="89" l="1"/>
  <c r="F88" i="89"/>
  <c r="N88" i="89" a="1"/>
  <c r="N88" i="89" l="1"/>
  <c r="D88" i="89"/>
  <c r="Z88" i="89" a="1"/>
  <c r="Z88" i="89" l="1"/>
  <c r="P88" i="89"/>
  <c r="Q88" i="89" s="1"/>
  <c r="AE87" i="89"/>
  <c r="AC88" i="89" l="1"/>
  <c r="Y88" i="89"/>
  <c r="U88" i="89"/>
  <c r="J88" i="89"/>
  <c r="W87" i="89" a="1"/>
  <c r="W87" i="89" l="1"/>
  <c r="L87" i="89" a="1"/>
  <c r="L87" i="89" l="1"/>
  <c r="K87" i="89" a="1"/>
  <c r="K87" i="89" l="1"/>
  <c r="K89" i="89"/>
  <c r="M87" i="89"/>
  <c r="I87" i="89"/>
  <c r="AA87" i="89" a="1"/>
  <c r="F87" i="89" a="1"/>
  <c r="AA87" i="89" l="1"/>
  <c r="F87" i="89"/>
  <c r="N87" i="89" a="1"/>
  <c r="N87" i="89" l="1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W86" i="89" a="1"/>
  <c r="W86" i="89" l="1"/>
  <c r="L86" i="89" a="1"/>
  <c r="L86" i="89" l="1"/>
  <c r="K86" i="89" a="1"/>
  <c r="K86" i="89" l="1"/>
  <c r="K90" i="89" s="1"/>
  <c r="M86" i="89"/>
  <c r="I86" i="89"/>
  <c r="H86" i="89"/>
  <c r="AA86" i="89" a="1"/>
  <c r="F86" i="89" a="1"/>
  <c r="AA86" i="89" l="1"/>
  <c r="F86" i="89"/>
  <c r="AE86" i="89"/>
  <c r="I89" i="89"/>
  <c r="I91" i="89"/>
  <c r="N86" i="89" a="1"/>
  <c r="N86" i="89" l="1"/>
  <c r="D86" i="89"/>
  <c r="Z86" i="89" a="1"/>
  <c r="Z86" i="89" l="1"/>
  <c r="P86" i="89"/>
  <c r="J85" i="89"/>
  <c r="I85" i="89"/>
  <c r="AE79" i="89"/>
  <c r="AB86" i="89" a="1"/>
  <c r="S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W79" i="89" a="1"/>
  <c r="W79" i="89" l="1"/>
  <c r="L79" i="89" a="1"/>
  <c r="L79" i="89" l="1"/>
  <c r="K79" i="89" a="1"/>
  <c r="K79" i="89" l="1"/>
  <c r="M79" i="89" s="1"/>
  <c r="I79" i="89"/>
  <c r="AA79" i="89" a="1"/>
  <c r="F79" i="89" a="1"/>
  <c r="AA79" i="89" l="1"/>
  <c r="F79" i="89"/>
  <c r="N79" i="89" a="1"/>
  <c r="N79" i="89" l="1"/>
  <c r="D79" i="89"/>
  <c r="Z79" i="89" a="1"/>
  <c r="Z79" i="89" l="1"/>
  <c r="P79" i="89"/>
  <c r="Q79" i="89" s="1"/>
  <c r="AE78" i="89"/>
  <c r="S79" i="89" a="1"/>
  <c r="S79" i="89" l="1"/>
  <c r="R79" i="89" a="1"/>
  <c r="R79" i="89" l="1"/>
  <c r="AC79" i="89"/>
  <c r="Y79" i="89"/>
  <c r="U79" i="89"/>
  <c r="J79" i="89"/>
  <c r="W78" i="89" a="1"/>
  <c r="W78" i="89" l="1"/>
  <c r="L78" i="89" a="1"/>
  <c r="L78" i="89" l="1"/>
  <c r="K78" i="89" a="1"/>
  <c r="K78" i="89" l="1"/>
  <c r="M78" i="89" s="1"/>
  <c r="K80" i="89"/>
  <c r="F78" i="89" a="1"/>
  <c r="I78" i="89" l="1"/>
  <c r="F78" i="89"/>
  <c r="AA78" i="89" a="1"/>
  <c r="N78" i="89" a="1"/>
  <c r="AA78" i="89" l="1"/>
  <c r="I83" i="89"/>
  <c r="N78" i="89"/>
  <c r="D78" i="89"/>
  <c r="Z78" i="89" a="1"/>
  <c r="Z78" i="89" l="1"/>
  <c r="P78" i="89"/>
  <c r="AE77" i="89"/>
  <c r="S78" i="89" a="1"/>
  <c r="S78" i="89" l="1"/>
  <c r="Q78" i="89"/>
  <c r="R78" i="89" a="1"/>
  <c r="R78" i="89" l="1"/>
  <c r="AC78" i="89"/>
  <c r="Y78" i="89"/>
  <c r="U78" i="89"/>
  <c r="J78" i="89"/>
  <c r="W77" i="89" a="1"/>
  <c r="W77" i="89" l="1"/>
  <c r="L77" i="89" a="1"/>
  <c r="L77" i="89" l="1"/>
  <c r="K77" i="89" a="1"/>
  <c r="K77" i="89" l="1"/>
  <c r="K81" i="89" s="1"/>
  <c r="I77" i="89"/>
  <c r="AA77" i="89" a="1"/>
  <c r="F77" i="89" a="1"/>
  <c r="AA77" i="89" l="1"/>
  <c r="M77" i="89"/>
  <c r="F77" i="89"/>
  <c r="I82" i="89"/>
  <c r="I80" i="89"/>
  <c r="N77" i="89" a="1"/>
  <c r="N77" i="89" l="1"/>
  <c r="D77" i="89"/>
  <c r="Z77" i="89" a="1"/>
  <c r="Z77" i="89" l="1"/>
  <c r="P77" i="89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W68" i="89" a="1"/>
  <c r="W68" i="89" l="1"/>
  <c r="T70" i="89" l="1"/>
  <c r="L68" i="89" a="1"/>
  <c r="L68" i="89" l="1"/>
  <c r="K68" i="89" a="1"/>
  <c r="K68" i="89" l="1"/>
  <c r="K70" i="89"/>
  <c r="L72" i="89"/>
  <c r="M68" i="89"/>
  <c r="I68" i="89"/>
  <c r="I70" i="89" l="1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W62" i="89" a="1"/>
  <c r="W62" i="89" l="1"/>
  <c r="L62" i="89" a="1"/>
  <c r="L62" i="89" l="1"/>
  <c r="K62" i="89" a="1"/>
  <c r="K62" i="89" l="1"/>
  <c r="M62" i="89" s="1"/>
  <c r="I62" i="89"/>
  <c r="F62" i="89" a="1"/>
  <c r="AA62" i="89" a="1"/>
  <c r="AA62" i="89" l="1"/>
  <c r="F62" i="89"/>
  <c r="N62" i="89" a="1"/>
  <c r="N62" i="89" l="1"/>
  <c r="P62" i="89" l="1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W61" i="89" a="1"/>
  <c r="W61" i="89" l="1"/>
  <c r="T63" i="89" l="1"/>
  <c r="L61" i="89" a="1"/>
  <c r="L61" i="89" l="1"/>
  <c r="K61" i="89" a="1"/>
  <c r="K61" i="89" l="1"/>
  <c r="L65" i="89"/>
  <c r="L74" i="89" s="1"/>
  <c r="K63" i="89"/>
  <c r="M61" i="89"/>
  <c r="I61" i="89"/>
  <c r="F61" i="89" a="1"/>
  <c r="F61" i="89" l="1"/>
  <c r="I63" i="89"/>
  <c r="I64" i="89" s="1"/>
  <c r="K65" i="89"/>
  <c r="K74" i="89" s="1"/>
  <c r="K64" i="89"/>
  <c r="N61" i="89" a="1"/>
  <c r="N61" i="89" l="1"/>
  <c r="P61" i="89"/>
  <c r="Q61" i="89" s="1"/>
  <c r="Q63" i="89" s="1"/>
  <c r="Q73" i="89" s="1"/>
  <c r="Z60" i="89" l="1"/>
  <c r="AC61" i="89" l="1"/>
  <c r="Y61" i="89"/>
  <c r="U61" i="89"/>
  <c r="J61" i="89"/>
  <c r="Y63" i="89" l="1"/>
  <c r="Y64" i="89" s="1"/>
  <c r="W53" i="89" a="1"/>
  <c r="W53" i="89" l="1"/>
  <c r="L53" i="89" a="1"/>
  <c r="L53" i="89" l="1"/>
  <c r="K53" i="89" a="1"/>
  <c r="K53" i="89" l="1"/>
  <c r="M53" i="89"/>
  <c r="I53" i="89"/>
  <c r="H53" i="89"/>
  <c r="F53" i="89" a="1"/>
  <c r="F53" i="89" l="1"/>
  <c r="AG53" i="89"/>
  <c r="N53" i="89"/>
  <c r="P53" i="89" l="1"/>
  <c r="Q53" i="89" s="1"/>
  <c r="AG52" i="89" l="1"/>
  <c r="AC53" i="89" l="1"/>
  <c r="Y53" i="89"/>
  <c r="U53" i="89"/>
  <c r="J53" i="89"/>
  <c r="W52" i="89" a="1"/>
  <c r="W52" i="89" l="1"/>
  <c r="T54" i="89" l="1"/>
  <c r="L52" i="89" a="1"/>
  <c r="L52" i="89" l="1"/>
  <c r="K52" i="89" a="1"/>
  <c r="K52" i="89" l="1"/>
  <c r="L56" i="89"/>
  <c r="L57" i="89" s="1"/>
  <c r="K54" i="89"/>
  <c r="M52" i="89"/>
  <c r="I52" i="89"/>
  <c r="F52" i="89" a="1"/>
  <c r="F52" i="89" l="1"/>
  <c r="I54" i="89"/>
  <c r="I55" i="89" s="1"/>
  <c r="K56" i="89"/>
  <c r="K57" i="89" s="1"/>
  <c r="K55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AC52" i="89" l="1"/>
  <c r="Y52" i="89"/>
  <c r="U52" i="89"/>
  <c r="J52" i="89"/>
  <c r="Y55" i="89" l="1"/>
  <c r="M44" i="89" l="1"/>
  <c r="I44" i="89" l="1"/>
  <c r="AA44" i="89" a="1"/>
  <c r="N44" i="89" a="1"/>
  <c r="AA44" i="89" l="1"/>
  <c r="N44" i="89"/>
  <c r="Z44" i="89" a="1"/>
  <c r="Z44" i="89" l="1"/>
  <c r="P44" i="89"/>
  <c r="Q44" i="89" s="1"/>
  <c r="AE43" i="89" l="1"/>
  <c r="S44" i="89" a="1"/>
  <c r="S44" i="89" l="1"/>
  <c r="R44" i="89" a="1"/>
  <c r="R44" i="89" l="1"/>
  <c r="AC44" i="89"/>
  <c r="Y44" i="89"/>
  <c r="U44" i="89"/>
  <c r="J44" i="89"/>
  <c r="T45" i="89" l="1"/>
  <c r="K46" i="89" l="1"/>
  <c r="K45" i="89"/>
  <c r="I43" i="89"/>
  <c r="AA43" i="89" a="1"/>
  <c r="AA43" i="89" l="1"/>
  <c r="M43" i="89"/>
  <c r="I45" i="89"/>
  <c r="I46" i="89" s="1"/>
  <c r="N43" i="89" a="1"/>
  <c r="N43" i="89" l="1"/>
  <c r="Z43" i="89" a="1"/>
  <c r="Z43" i="89" l="1"/>
  <c r="P43" i="89"/>
  <c r="Q43" i="89" s="1"/>
  <c r="Q45" i="89" s="1"/>
  <c r="L42" i="89" l="1"/>
  <c r="AC43" i="89" l="1"/>
  <c r="Y43" i="89"/>
  <c r="U43" i="89"/>
  <c r="J43" i="89"/>
  <c r="T42" i="89"/>
  <c r="Y45" i="89" l="1"/>
  <c r="Z46" i="89" s="1"/>
  <c r="M37" i="89" l="1"/>
  <c r="I37" i="89" l="1"/>
  <c r="AE37" i="89"/>
  <c r="AA37" i="89" a="1"/>
  <c r="N37" i="89" a="1"/>
  <c r="AA37" i="89" l="1"/>
  <c r="N37" i="89"/>
  <c r="P37" i="89"/>
  <c r="Q37" i="89" s="1"/>
  <c r="AE36" i="89" l="1"/>
  <c r="AC37" i="89" l="1"/>
  <c r="Y37" i="89"/>
  <c r="U37" i="89"/>
  <c r="J37" i="89"/>
  <c r="T38" i="89" l="1"/>
  <c r="K39" i="89" l="1"/>
  <c r="K38" i="89"/>
  <c r="I36" i="89"/>
  <c r="AA36" i="89" a="1"/>
  <c r="AA36" i="89" l="1"/>
  <c r="M36" i="89"/>
  <c r="I38" i="89"/>
  <c r="N36" i="89" a="1"/>
  <c r="N36" i="89" l="1"/>
  <c r="G38" i="89"/>
  <c r="I39" i="89"/>
  <c r="P36" i="89" l="1"/>
  <c r="P39" i="89" l="1"/>
  <c r="Q36" i="89"/>
  <c r="Q38" i="89" s="1"/>
  <c r="P35" i="89"/>
  <c r="A32" i="89"/>
  <c r="AC36" i="89" l="1"/>
  <c r="Y36" i="89"/>
  <c r="U36" i="89"/>
  <c r="J36" i="89"/>
  <c r="J35" i="89" s="1"/>
  <c r="Y39" i="89" l="1"/>
  <c r="Y40" i="89" s="1"/>
  <c r="M31" i="89" l="1"/>
  <c r="I31" i="89" l="1"/>
  <c r="AE31" i="89"/>
  <c r="AA31" i="89" a="1"/>
  <c r="N31" i="89" a="1"/>
  <c r="AA31" i="89" l="1"/>
  <c r="N31" i="89"/>
  <c r="P31" i="89"/>
  <c r="Q31" i="89" s="1"/>
  <c r="AE30" i="89" l="1"/>
  <c r="AC31" i="89" l="1"/>
  <c r="Y31" i="89"/>
  <c r="U31" i="89"/>
  <c r="J31" i="89"/>
  <c r="T32" i="89" l="1"/>
  <c r="K33" i="89" l="1"/>
  <c r="K32" i="89"/>
  <c r="I30" i="89"/>
  <c r="AA30" i="89" a="1"/>
  <c r="AA30" i="89" l="1"/>
  <c r="M30" i="89"/>
  <c r="I32" i="89"/>
  <c r="K41" i="89"/>
  <c r="K40" i="89"/>
  <c r="N30" i="89" a="1"/>
  <c r="N30" i="89" l="1"/>
  <c r="I41" i="89"/>
  <c r="I33" i="89"/>
  <c r="P30" i="89" l="1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P20" i="89"/>
  <c r="Q20" i="89" s="1"/>
  <c r="AJ19" i="89" l="1"/>
  <c r="AE19" i="89"/>
  <c r="S20" i="89" a="1"/>
  <c r="S20" i="89" l="1"/>
  <c r="R20" i="89" a="1"/>
  <c r="R20" i="89" l="1"/>
  <c r="AC20" i="89"/>
  <c r="Y20" i="89"/>
  <c r="U20" i="89"/>
  <c r="J20" i="89"/>
  <c r="T21" i="89" l="1"/>
  <c r="K23" i="89" l="1"/>
  <c r="K22" i="89"/>
  <c r="L23" i="89"/>
  <c r="K21" i="89"/>
  <c r="M19" i="89"/>
  <c r="I19" i="89"/>
  <c r="AA19" i="89" a="1"/>
  <c r="AA19" i="89" l="1"/>
  <c r="J19" i="89"/>
  <c r="I21" i="89"/>
  <c r="I22" i="89" s="1"/>
  <c r="G18" i="89"/>
  <c r="N19" i="89" a="1"/>
  <c r="N19" i="89" l="1"/>
  <c r="AC19" i="89"/>
  <c r="Y19" i="89"/>
  <c r="U19" i="89"/>
  <c r="P19" i="89" l="1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N14" i="89" a="1"/>
  <c r="N14" i="89" l="1"/>
  <c r="P14" i="89"/>
  <c r="Q14" i="89" s="1"/>
  <c r="AF13" i="89" l="1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N13" i="89" a="1"/>
  <c r="N13" i="89" l="1"/>
  <c r="P13" i="89"/>
  <c r="P16" i="89" l="1"/>
  <c r="Q13" i="89"/>
  <c r="Q15" i="89" s="1"/>
  <c r="AI12" i="89"/>
  <c r="AH12" i="89"/>
  <c r="AI11" i="89"/>
  <c r="AH11" i="89"/>
  <c r="AJ11" i="89" s="1"/>
  <c r="AF8" i="89"/>
  <c r="AE8" i="89"/>
  <c r="S13" i="89" a="1"/>
  <c r="S13" i="89" l="1"/>
  <c r="Q17" i="89"/>
  <c r="Q24" i="89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F8" i="89" a="1"/>
  <c r="I8" i="89" l="1"/>
  <c r="F8" i="89"/>
  <c r="AA8" i="89" a="1"/>
  <c r="N8" i="89" a="1"/>
  <c r="AA8" i="89" l="1"/>
  <c r="N8" i="89"/>
  <c r="P8" i="89"/>
  <c r="Q8" i="89" s="1"/>
  <c r="Z8" i="89" a="1"/>
  <c r="Z8" i="89" l="1"/>
  <c r="AF7" i="89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I7" i="89"/>
  <c r="AA7" i="89"/>
  <c r="F7" i="89" a="1"/>
  <c r="F7" i="89" l="1"/>
  <c r="I9" i="89"/>
  <c r="I10" i="89" s="1"/>
  <c r="K11" i="89"/>
  <c r="K10" i="89"/>
  <c r="K18" i="89" s="1"/>
  <c r="N7" i="89" a="1"/>
  <c r="N7" i="89" l="1"/>
  <c r="K5" i="89"/>
  <c r="H45" i="2"/>
  <c r="H44" i="2"/>
  <c r="H43" i="2"/>
  <c r="H42" i="2"/>
  <c r="J40" i="2"/>
  <c r="J39" i="2"/>
  <c r="J38" i="2"/>
  <c r="J37" i="2"/>
  <c r="J36" i="2"/>
  <c r="J45" i="2" s="1"/>
  <c r="I45" i="2" s="1"/>
  <c r="J35" i="2"/>
  <c r="J34" i="2"/>
  <c r="J43" i="2" s="1"/>
  <c r="I43" i="2" s="1"/>
  <c r="J33" i="2"/>
  <c r="BA28" i="2"/>
  <c r="Z7" i="89"/>
  <c r="S7" i="89" a="1"/>
  <c r="J44" i="2" l="1"/>
  <c r="I44" i="2" s="1"/>
  <c r="J42" i="2"/>
  <c r="I42" i="2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Q11" i="89"/>
  <c r="Q5" i="89"/>
  <c r="A7" i="89"/>
  <c r="AN28" i="2" a="1"/>
  <c r="P11" i="89" l="1"/>
  <c r="AN28" i="2"/>
  <c r="AF28" i="2" a="1"/>
  <c r="AF28" i="2" l="1"/>
  <c r="Q28" i="2" a="1"/>
  <c r="Q28" i="2" l="1"/>
  <c r="P28" i="2" a="1"/>
  <c r="P28" i="2" l="1"/>
  <c r="R28" i="2" s="1"/>
  <c r="L28" i="2" a="1"/>
  <c r="L28" i="2" l="1"/>
  <c r="J28" i="2"/>
  <c r="BB28" i="2" s="1"/>
  <c r="BC28" i="2" s="1"/>
  <c r="G28" i="2" a="1"/>
  <c r="G28" i="2" l="1"/>
  <c r="K28" i="2"/>
  <c r="O28" i="2"/>
  <c r="S28" i="2" a="1"/>
  <c r="S28" i="2" l="1"/>
  <c r="AO28" i="2"/>
  <c r="AP28" i="2"/>
  <c r="U28" i="2"/>
  <c r="AE28" i="2" l="1"/>
  <c r="AT28" i="2"/>
  <c r="AS28" i="2"/>
  <c r="AL28" i="2"/>
  <c r="AB28" i="2"/>
  <c r="M28" i="2"/>
  <c r="BA27" i="2"/>
  <c r="AM28" i="2" l="1"/>
  <c r="X28" i="2"/>
  <c r="Y28" i="2" s="1"/>
  <c r="AN27" i="2" a="1"/>
  <c r="AN27" i="2" l="1"/>
  <c r="AF27" i="2" a="1"/>
  <c r="AF27" i="2" l="1"/>
  <c r="AO27" i="2" l="1"/>
  <c r="Q27" i="2" a="1"/>
  <c r="Q27" i="2" l="1"/>
  <c r="P27" i="2" a="1"/>
  <c r="P27" i="2" l="1"/>
  <c r="R27" i="2" s="1"/>
  <c r="L27" i="2" a="1"/>
  <c r="L27" i="2" l="1"/>
  <c r="J27" i="2"/>
  <c r="BB27" i="2" s="1"/>
  <c r="BC27" i="2" s="1"/>
  <c r="K27" i="2" l="1"/>
  <c r="AP27" i="2"/>
  <c r="U27" i="2"/>
  <c r="O27" i="2"/>
  <c r="Z27" i="2"/>
  <c r="AV27" i="2" s="1" a="1"/>
  <c r="AV27" i="2" l="1"/>
  <c r="AE27" i="2"/>
  <c r="AT27" i="2"/>
  <c r="AS27" i="2"/>
  <c r="AL27" i="2"/>
  <c r="AB27" i="2"/>
  <c r="M27" i="2"/>
  <c r="BA23" i="2"/>
  <c r="AM27" i="2" l="1"/>
  <c r="X27" i="2"/>
  <c r="Y27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G23" i="2" a="1"/>
  <c r="G23" i="2" l="1"/>
  <c r="K23" i="2"/>
  <c r="O23" i="2"/>
  <c r="S23" i="2" a="1"/>
  <c r="S23" i="2" l="1"/>
  <c r="U23" i="2" s="1"/>
  <c r="AO23" i="2"/>
  <c r="AP23" i="2"/>
  <c r="Z23" i="2"/>
  <c r="AV23" i="2" s="1" a="1"/>
  <c r="AV23" i="2" l="1"/>
  <c r="AE23" i="2"/>
  <c r="AT23" i="2"/>
  <c r="AS23" i="2"/>
  <c r="AL23" i="2"/>
  <c r="AB23" i="2"/>
  <c r="M23" i="2"/>
  <c r="BA22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J22" i="2"/>
  <c r="BB22" i="2" s="1"/>
  <c r="BC22" i="2" s="1"/>
  <c r="G22" i="2" a="1"/>
  <c r="G22" i="2" l="1"/>
  <c r="K22" i="2"/>
  <c r="O22" i="2" s="1"/>
  <c r="S22" i="2" a="1"/>
  <c r="S22" i="2" l="1"/>
  <c r="AO22" i="2"/>
  <c r="AP22" i="2"/>
  <c r="U22" i="2"/>
  <c r="Z22" i="2"/>
  <c r="AV22" i="2" s="1" a="1"/>
  <c r="AV22" i="2" l="1"/>
  <c r="AE22" i="2"/>
  <c r="AS22" i="2"/>
  <c r="AT22" i="2"/>
  <c r="AL22" i="2"/>
  <c r="AB22" i="2"/>
  <c r="M22" i="2"/>
  <c r="BA21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G21" i="2" a="1"/>
  <c r="G21" i="2" l="1"/>
  <c r="K21" i="2"/>
  <c r="O21" i="2" s="1"/>
  <c r="S21" i="2" a="1"/>
  <c r="S21" i="2" l="1"/>
  <c r="AO21" i="2"/>
  <c r="AP21" i="2"/>
  <c r="U21" i="2"/>
  <c r="Z21" i="2"/>
  <c r="AV21" i="2" s="1" a="1"/>
  <c r="AV21" i="2" l="1"/>
  <c r="AE21" i="2"/>
  <c r="AS21" i="2"/>
  <c r="AT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J20" i="2"/>
  <c r="BB20" i="2" s="1"/>
  <c r="BC20" i="2" s="1"/>
  <c r="G20" i="2" a="1"/>
  <c r="G20" i="2" l="1"/>
  <c r="K20" i="2"/>
  <c r="O20" i="2"/>
  <c r="S20" i="2" a="1"/>
  <c r="S20" i="2" l="1"/>
  <c r="AO20" i="2" s="1"/>
  <c r="U20" i="2" l="1"/>
  <c r="AP20" i="2"/>
  <c r="AE20" i="2"/>
  <c r="AS20" i="2"/>
  <c r="AT20" i="2"/>
  <c r="AL20" i="2"/>
  <c r="AB20" i="2"/>
  <c r="M20" i="2"/>
  <c r="BA19" i="2"/>
  <c r="AM20" i="2" l="1"/>
  <c r="X20" i="2"/>
  <c r="Y20" i="2" s="1"/>
  <c r="AN19" i="2" a="1"/>
  <c r="AN19" i="2" l="1"/>
  <c r="AF19" i="2" a="1"/>
  <c r="AF19" i="2" l="1"/>
  <c r="AO19" i="2" l="1"/>
  <c r="Q19" i="2" a="1"/>
  <c r="Q19" i="2" l="1"/>
  <c r="P19" i="2" a="1"/>
  <c r="P19" i="2" l="1"/>
  <c r="R19" i="2" s="1"/>
  <c r="L19" i="2" a="1"/>
  <c r="L19" i="2" l="1"/>
  <c r="J19" i="2"/>
  <c r="BB19" i="2" s="1"/>
  <c r="BC19" i="2" s="1"/>
  <c r="K19" i="2" l="1"/>
  <c r="AP19" i="2"/>
  <c r="U19" i="2"/>
  <c r="O19" i="2"/>
  <c r="Z19" i="2"/>
  <c r="AV19" i="2" s="1" a="1"/>
  <c r="AV19" i="2" l="1"/>
  <c r="AE19" i="2"/>
  <c r="AT19" i="2"/>
  <c r="AS19" i="2"/>
  <c r="AL19" i="2"/>
  <c r="AB19" i="2"/>
  <c r="M19" i="2"/>
  <c r="BA18" i="2"/>
  <c r="AM19" i="2" l="1"/>
  <c r="X19" i="2"/>
  <c r="Y19" i="2" s="1"/>
  <c r="AN18" i="2" a="1"/>
  <c r="AN18" i="2" l="1"/>
  <c r="AF18" i="2" a="1"/>
  <c r="AF18" i="2" l="1"/>
  <c r="AO18" i="2" l="1"/>
  <c r="Q18" i="2" a="1"/>
  <c r="Q18" i="2" l="1"/>
  <c r="P18" i="2" a="1"/>
  <c r="P18" i="2" l="1"/>
  <c r="R18" i="2" s="1"/>
  <c r="L18" i="2" a="1"/>
  <c r="L18" i="2" l="1"/>
  <c r="J18" i="2"/>
  <c r="BB18" i="2" s="1"/>
  <c r="BC18" i="2" s="1"/>
  <c r="K18" i="2" l="1"/>
  <c r="AP18" i="2" s="1"/>
  <c r="U18" i="2"/>
  <c r="O18" i="2"/>
  <c r="AE18" i="2" l="1"/>
  <c r="AT18" i="2"/>
  <c r="AS18" i="2"/>
  <c r="AL18" i="2"/>
  <c r="AB18" i="2"/>
  <c r="M18" i="2"/>
  <c r="BA17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J17" i="2"/>
  <c r="BB17" i="2" s="1"/>
  <c r="BC17" i="2" s="1"/>
  <c r="G17" i="2" a="1"/>
  <c r="G17" i="2" l="1"/>
  <c r="K17" i="2"/>
  <c r="O17" i="2"/>
  <c r="S17" i="2" a="1"/>
  <c r="S17" i="2" l="1"/>
  <c r="AO17" i="2"/>
  <c r="AP17" i="2"/>
  <c r="U17" i="2"/>
  <c r="Z17" i="2"/>
  <c r="AV17" i="2" s="1" a="1"/>
  <c r="AV17" i="2" l="1"/>
  <c r="AE17" i="2"/>
  <c r="AS17" i="2"/>
  <c r="AT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G16" i="2" a="1"/>
  <c r="G16" i="2" l="1"/>
  <c r="K16" i="2"/>
  <c r="O16" i="2"/>
  <c r="S16" i="2" a="1"/>
  <c r="S16" i="2" l="1"/>
  <c r="AP16" i="2" s="1"/>
  <c r="AO16" i="2"/>
  <c r="Z16" i="2"/>
  <c r="AV16" i="2" s="1" a="1"/>
  <c r="AV16" i="2" l="1"/>
  <c r="U16" i="2"/>
  <c r="AE16" i="2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J15" i="2"/>
  <c r="BB15" i="2" s="1"/>
  <c r="BC15" i="2" s="1"/>
  <c r="G15" i="2" a="1"/>
  <c r="G15" i="2" l="1"/>
  <c r="K15" i="2"/>
  <c r="O15" i="2"/>
  <c r="S15" i="2" a="1"/>
  <c r="S15" i="2" l="1"/>
  <c r="AO15" i="2"/>
  <c r="U15" i="2"/>
  <c r="AP15" i="2"/>
  <c r="AE15" i="2" l="1"/>
  <c r="AT15" i="2"/>
  <c r="AS15" i="2"/>
  <c r="AL15" i="2"/>
  <c r="AB15" i="2"/>
  <c r="M15" i="2"/>
  <c r="BA14" i="2"/>
  <c r="AM15" i="2" l="1"/>
  <c r="X15" i="2"/>
  <c r="Y15" i="2" s="1"/>
  <c r="AN14" i="2" a="1"/>
  <c r="AN14" i="2" l="1"/>
  <c r="AF14" i="2" a="1"/>
  <c r="AF14" i="2" l="1"/>
  <c r="AO14" i="2" l="1"/>
  <c r="Q14" i="2" a="1"/>
  <c r="Q14" i="2" l="1"/>
  <c r="P14" i="2" a="1"/>
  <c r="P14" i="2" l="1"/>
  <c r="R14" i="2" s="1"/>
  <c r="L14" i="2" a="1"/>
  <c r="L14" i="2" l="1"/>
  <c r="J14" i="2"/>
  <c r="BB14" i="2" s="1"/>
  <c r="BC14" i="2" s="1"/>
  <c r="K14" i="2" l="1"/>
  <c r="AP14" i="2"/>
  <c r="U14" i="2"/>
  <c r="O14" i="2"/>
  <c r="Z14" i="2"/>
  <c r="AV14" i="2" s="1" a="1"/>
  <c r="AV14" i="2" l="1"/>
  <c r="AE14" i="2"/>
  <c r="AT14" i="2"/>
  <c r="AS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G13" i="2" a="1"/>
  <c r="G13" i="2" l="1"/>
  <c r="K13" i="2"/>
  <c r="S13" i="2" a="1"/>
  <c r="S13" i="2" l="1"/>
  <c r="AP13" i="2"/>
  <c r="O13" i="2"/>
  <c r="AO13" i="2" l="1"/>
  <c r="U13" i="2"/>
  <c r="AE13" i="2" l="1"/>
  <c r="AT13" i="2"/>
  <c r="AS13" i="2"/>
  <c r="AL13" i="2"/>
  <c r="AB13" i="2"/>
  <c r="M13" i="2"/>
  <c r="BA12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J12" i="2"/>
  <c r="BB12" i="2" s="1"/>
  <c r="BC12" i="2" s="1"/>
  <c r="G12" i="2" a="1"/>
  <c r="G12" i="2" l="1"/>
  <c r="K12" i="2"/>
  <c r="S12" i="2" a="1"/>
  <c r="S12" i="2" l="1"/>
  <c r="AP12" i="2"/>
  <c r="O12" i="2"/>
  <c r="AO12" i="2" l="1"/>
  <c r="U12" i="2"/>
  <c r="AE12" i="2" l="1"/>
  <c r="AT12" i="2"/>
  <c r="AS12" i="2"/>
  <c r="AL12" i="2"/>
  <c r="AB12" i="2"/>
  <c r="M12" i="2"/>
  <c r="BA11" i="2"/>
  <c r="AM12" i="2" l="1"/>
  <c r="X12" i="2"/>
  <c r="Y12" i="2" s="1"/>
  <c r="AN11" i="2" a="1"/>
  <c r="AN11" i="2" l="1"/>
  <c r="AF11" i="2" a="1"/>
  <c r="AF11" i="2" l="1"/>
  <c r="AO11" i="2" l="1"/>
  <c r="Q11" i="2" a="1"/>
  <c r="Q11" i="2" l="1"/>
  <c r="P11" i="2" a="1"/>
  <c r="P11" i="2" l="1"/>
  <c r="R11" i="2" s="1"/>
  <c r="L11" i="2" a="1"/>
  <c r="L11" i="2" l="1"/>
  <c r="J11" i="2"/>
  <c r="BB11" i="2" s="1"/>
  <c r="BC11" i="2" s="1"/>
  <c r="K11" i="2" l="1"/>
  <c r="AP11" i="2" s="1"/>
  <c r="U11" i="2"/>
  <c r="Z11" i="2"/>
  <c r="AV11" i="2" s="1" a="1"/>
  <c r="AV11" i="2" l="1"/>
  <c r="O11" i="2"/>
  <c r="AE11" i="2"/>
  <c r="AT11" i="2"/>
  <c r="AS11" i="2"/>
  <c r="AL11" i="2"/>
  <c r="AB11" i="2"/>
  <c r="M11" i="2"/>
  <c r="BA10" i="2"/>
  <c r="AM11" i="2" l="1"/>
  <c r="X11" i="2"/>
  <c r="Y11" i="2" s="1"/>
  <c r="AN10" i="2" a="1"/>
  <c r="AN10" i="2" l="1"/>
  <c r="AF10" i="2" a="1"/>
  <c r="AF10" i="2" l="1"/>
  <c r="AO10" i="2" l="1"/>
  <c r="Q10" i="2" a="1"/>
  <c r="Q10" i="2" l="1"/>
  <c r="P10" i="2" a="1"/>
  <c r="P10" i="2" l="1"/>
  <c r="R10" i="2" s="1"/>
  <c r="L10" i="2" a="1"/>
  <c r="L10" i="2" l="1"/>
  <c r="J10" i="2"/>
  <c r="BB10" i="2" s="1"/>
  <c r="BC10" i="2" s="1"/>
  <c r="K10" i="2" l="1"/>
  <c r="AP10" i="2" s="1"/>
  <c r="U10" i="2"/>
  <c r="Z10" i="2"/>
  <c r="AV10" i="2" s="1" a="1"/>
  <c r="AV10" i="2" l="1"/>
  <c r="O10" i="2"/>
  <c r="AE10" i="2"/>
  <c r="AT10" i="2"/>
  <c r="AS10" i="2"/>
  <c r="AL10" i="2"/>
  <c r="AB10" i="2"/>
  <c r="M10" i="2"/>
  <c r="BB9" i="2"/>
  <c r="BA9" i="2"/>
  <c r="BC9" i="2" l="1"/>
  <c r="AM10" i="2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G9" i="2" a="1"/>
  <c r="G9" i="2" l="1"/>
  <c r="O9" i="2"/>
  <c r="S9" i="2" a="1"/>
  <c r="S9" i="2" l="1"/>
  <c r="AO9" i="2"/>
  <c r="U9" i="2"/>
  <c r="AP9" i="2"/>
  <c r="AE9" i="2" l="1"/>
  <c r="AT9" i="2"/>
  <c r="AS9" i="2"/>
  <c r="AL9" i="2"/>
  <c r="AB9" i="2"/>
  <c r="M9" i="2"/>
  <c r="BA8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J8" i="2"/>
  <c r="BB8" i="2" s="1"/>
  <c r="BC8" i="2" s="1"/>
  <c r="G8" i="2" a="1"/>
  <c r="G8" i="2" l="1"/>
  <c r="K8" i="2"/>
  <c r="O8" i="2"/>
  <c r="S8" i="2" a="1"/>
  <c r="S8" i="2" l="1"/>
  <c r="AO8" i="2"/>
  <c r="AP8" i="2"/>
  <c r="U8" i="2"/>
  <c r="Z8" i="2"/>
  <c r="AV8" i="2" s="1" a="1"/>
  <c r="AV8" i="2" l="1"/>
  <c r="AE8" i="2"/>
  <c r="AT8" i="2"/>
  <c r="AS8" i="2"/>
  <c r="AL8" i="2"/>
  <c r="AB8" i="2"/>
  <c r="M8" i="2"/>
  <c r="BA7" i="2"/>
  <c r="AM8" i="2" l="1"/>
  <c r="X8" i="2"/>
  <c r="Y8" i="2" s="1"/>
  <c r="AN7" i="2" a="1"/>
  <c r="AN7" i="2" l="1"/>
  <c r="Q7" i="2" a="1"/>
  <c r="Q7" i="2" l="1"/>
  <c r="P7" i="2" a="1"/>
  <c r="P7" i="2" l="1"/>
  <c r="R7" i="2" s="1"/>
  <c r="J7" i="2"/>
  <c r="BB7" i="2" s="1"/>
  <c r="BC7" i="2" s="1"/>
  <c r="G7" i="2" a="1"/>
  <c r="G7" i="2" l="1"/>
  <c r="K7" i="2"/>
  <c r="L7" i="2" s="1"/>
  <c r="S7" i="2" a="1"/>
  <c r="S7" i="2" l="1"/>
  <c r="AO7" i="2"/>
  <c r="AP7" i="2"/>
  <c r="U7" i="2"/>
  <c r="O7" i="2"/>
  <c r="AE7" i="2" l="1"/>
  <c r="AT7" i="2"/>
  <c r="AS7" i="2"/>
  <c r="AL7" i="2"/>
  <c r="AB7" i="2"/>
  <c r="M7" i="2"/>
  <c r="BA6" i="2"/>
  <c r="AM7" i="2" l="1"/>
  <c r="X7" i="2"/>
  <c r="Y7" i="2" s="1"/>
  <c r="AN6" i="2" a="1"/>
  <c r="AN6" i="2" l="1"/>
  <c r="Q6" i="2" a="1"/>
  <c r="Q6" i="2" l="1"/>
  <c r="P6" i="2" a="1"/>
  <c r="P6" i="2" l="1"/>
  <c r="R6" i="2" s="1"/>
  <c r="J6" i="2"/>
  <c r="BB6" i="2" s="1"/>
  <c r="BC6" i="2" s="1"/>
  <c r="G6" i="2" a="1"/>
  <c r="G6" i="2" l="1"/>
  <c r="K6" i="2"/>
  <c r="L6" i="2" s="1"/>
  <c r="S6" i="2" a="1"/>
  <c r="S6" i="2" l="1"/>
  <c r="AO6" i="2" s="1"/>
  <c r="AP6" i="2"/>
  <c r="U6" i="2"/>
  <c r="O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J5" i="2"/>
  <c r="BB5" i="2" s="1"/>
  <c r="BC5" i="2" s="1"/>
  <c r="G5" i="2" a="1"/>
  <c r="G5" i="2" l="1"/>
  <c r="K5" i="2"/>
  <c r="O5" i="2"/>
  <c r="S5" i="2" a="1"/>
  <c r="S5" i="2" l="1"/>
  <c r="AO5" i="2"/>
  <c r="AP5" i="2"/>
  <c r="U5" i="2"/>
  <c r="Z5" i="2"/>
  <c r="AV5" i="2" s="1" a="1"/>
  <c r="AV5" i="2" l="1"/>
  <c r="AE5" i="2"/>
  <c r="AS5" i="2"/>
  <c r="AT5" i="2"/>
  <c r="AL5" i="2"/>
  <c r="AB5" i="2"/>
  <c r="M5" i="2"/>
  <c r="BA4" i="2"/>
  <c r="AM5" i="2" l="1"/>
  <c r="X5" i="2"/>
  <c r="Y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/>
  <c r="S4" i="2" a="1"/>
  <c r="S4" i="2" l="1"/>
  <c r="AO4" i="2" s="1"/>
  <c r="Z4" i="2"/>
  <c r="AV4" i="2" s="1" a="1"/>
  <c r="AV4" i="2" l="1"/>
  <c r="U4" i="2"/>
  <c r="AP4" i="2"/>
  <c r="AE4" i="2"/>
  <c r="AT4" i="2"/>
  <c r="AS4" i="2"/>
  <c r="AL4" i="2"/>
  <c r="AB4" i="2"/>
  <c r="M4" i="2"/>
  <c r="U2" i="2"/>
  <c r="R2" i="2"/>
  <c r="Q2" i="2" a="1"/>
  <c r="Q2" i="2" l="1"/>
  <c r="S2" i="2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S44" i="1"/>
  <c r="Q44" i="1"/>
  <c r="N44" i="1" l="1"/>
  <c r="J44" i="1"/>
  <c r="T44" i="1" l="1"/>
  <c r="S43" i="1"/>
  <c r="Q43" i="1"/>
  <c r="N43" i="1" l="1"/>
  <c r="J43" i="1"/>
  <c r="T43" i="1" l="1"/>
  <c r="S42" i="1"/>
  <c r="Q42" i="1"/>
  <c r="N42" i="1" l="1"/>
  <c r="J42" i="1"/>
  <c r="T42" i="1" l="1"/>
  <c r="S41" i="1"/>
  <c r="Q41" i="1"/>
  <c r="N41" i="1" l="1"/>
  <c r="J41" i="1"/>
  <c r="T41" i="1" l="1"/>
  <c r="S40" i="1"/>
  <c r="Q40" i="1"/>
  <c r="N40" i="1" l="1"/>
  <c r="J40" i="1"/>
  <c r="T40" i="1" l="1"/>
  <c r="S39" i="1"/>
  <c r="Q39" i="1"/>
  <c r="N39" i="1" l="1"/>
  <c r="J39" i="1"/>
  <c r="T39" i="1" l="1"/>
  <c r="Q38" i="1"/>
  <c r="N38" i="1" l="1"/>
  <c r="J38" i="1"/>
  <c r="T38" i="1" l="1"/>
  <c r="S37" i="1"/>
  <c r="Q37" i="1"/>
  <c r="N37" i="1" l="1"/>
  <c r="J37" i="1"/>
  <c r="T37" i="1" l="1"/>
  <c r="Q36" i="1"/>
  <c r="N36" i="1" l="1"/>
  <c r="J36" i="1"/>
  <c r="T36" i="1" l="1"/>
  <c r="Q35" i="1"/>
  <c r="N35" i="1" l="1"/>
  <c r="J35" i="1"/>
  <c r="T35" i="1" l="1"/>
  <c r="Q34" i="1"/>
  <c r="N34" i="1" l="1"/>
  <c r="J34" i="1"/>
  <c r="T34" i="1" l="1"/>
  <c r="Q33" i="1"/>
  <c r="N33" i="1" l="1"/>
  <c r="J33" i="1"/>
  <c r="T33" i="1" l="1"/>
  <c r="Q32" i="1"/>
  <c r="N32" i="1" l="1"/>
  <c r="J32" i="1"/>
  <c r="T32" i="1" l="1"/>
  <c r="Q31" i="1"/>
  <c r="N31" i="1" l="1"/>
  <c r="J31" i="1"/>
  <c r="T31" i="1" l="1"/>
  <c r="S30" i="1"/>
  <c r="Q30" i="1"/>
  <c r="N30" i="1" l="1"/>
  <c r="J30" i="1"/>
  <c r="T30" i="1" l="1"/>
  <c r="S29" i="1"/>
  <c r="Q29" i="1"/>
  <c r="N29" i="1" l="1"/>
  <c r="J29" i="1"/>
  <c r="T29" i="1" l="1"/>
  <c r="S28" i="1"/>
  <c r="Q28" i="1"/>
  <c r="N28" i="1" l="1"/>
  <c r="J28" i="1"/>
  <c r="T28" i="1" l="1"/>
  <c r="S27" i="1"/>
  <c r="Q27" i="1"/>
  <c r="N27" i="1" l="1"/>
  <c r="J27" i="1"/>
  <c r="T27" i="1" l="1"/>
  <c r="S26" i="1"/>
  <c r="Q26" i="1"/>
  <c r="N26" i="1" l="1"/>
  <c r="J26" i="1"/>
  <c r="T26" i="1" l="1"/>
  <c r="S24" i="1"/>
  <c r="Q24" i="1"/>
  <c r="I24" i="1" a="1"/>
  <c r="I24" i="1" l="1"/>
  <c r="N24" i="1" l="1"/>
  <c r="J24" i="1"/>
  <c r="T24" i="1" l="1"/>
  <c r="Q23" i="1"/>
  <c r="N23" i="1" l="1"/>
  <c r="J23" i="1"/>
  <c r="T23" i="1" l="1"/>
  <c r="Q22" i="1"/>
  <c r="N22" i="1" l="1"/>
  <c r="J22" i="1"/>
  <c r="T22" i="1" l="1"/>
  <c r="Q21" i="1"/>
  <c r="N21" i="1" l="1"/>
  <c r="J21" i="1"/>
  <c r="T21" i="1" l="1"/>
  <c r="S20" i="1"/>
  <c r="Q20" i="1"/>
  <c r="N20" i="1" l="1"/>
  <c r="J20" i="1"/>
  <c r="T20" i="1" l="1"/>
  <c r="I17" i="1" a="1"/>
  <c r="I17" i="1" l="1"/>
  <c r="N17" i="1" l="1"/>
  <c r="J17" i="1"/>
  <c r="T17" i="1" l="1"/>
  <c r="F17" i="1" l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I10" i="1" l="1"/>
  <c r="D10" i="1" l="1"/>
  <c r="M9" i="1" l="1"/>
  <c r="I9" i="1" l="1"/>
  <c r="D9" i="1" l="1"/>
  <c r="M8" i="1" l="1"/>
  <c r="I8" i="1" l="1"/>
  <c r="D8" i="1" l="1"/>
  <c r="AD7" i="1"/>
  <c r="P16" i="1" l="1"/>
  <c r="AD16" i="1" s="1"/>
  <c r="AH16" i="1"/>
  <c r="BD24" i="2"/>
  <c r="AK24" i="2"/>
  <c r="V24" i="2"/>
  <c r="AI24" i="2"/>
  <c r="W24" i="2"/>
  <c r="BD25" i="2"/>
  <c r="AI25" i="2"/>
  <c r="AK25" i="2"/>
  <c r="W25" i="2"/>
  <c r="V25" i="2"/>
  <c r="BD26" i="2"/>
  <c r="AI26" i="2"/>
  <c r="V26" i="2"/>
  <c r="W26" i="2"/>
  <c r="AK26" i="2"/>
  <c r="P25" i="1"/>
  <c r="AH25" i="1"/>
  <c r="P19" i="1"/>
  <c r="AH19" i="1"/>
  <c r="F73" i="54"/>
  <c r="F67" i="54"/>
  <c r="F72" i="54"/>
  <c r="J55" i="54"/>
  <c r="BD28" i="2"/>
  <c r="AK28" i="2"/>
  <c r="V28" i="2"/>
  <c r="AI28" i="2"/>
  <c r="W28" i="2"/>
  <c r="AI27" i="2"/>
  <c r="BD27" i="2"/>
  <c r="V27" i="2"/>
  <c r="AK27" i="2"/>
  <c r="W27" i="2"/>
  <c r="BD23" i="2"/>
  <c r="V23" i="2"/>
  <c r="AK23" i="2"/>
  <c r="AI23" i="2"/>
  <c r="W23" i="2"/>
  <c r="BD22" i="2"/>
  <c r="AK22" i="2"/>
  <c r="V22" i="2"/>
  <c r="AI22" i="2"/>
  <c r="W22" i="2"/>
  <c r="BD21" i="2"/>
  <c r="AK21" i="2"/>
  <c r="V21" i="2"/>
  <c r="AI21" i="2"/>
  <c r="W21" i="2"/>
  <c r="BD20" i="2"/>
  <c r="AK20" i="2"/>
  <c r="V20" i="2"/>
  <c r="AI20" i="2"/>
  <c r="W20" i="2"/>
  <c r="AI19" i="2"/>
  <c r="BD19" i="2"/>
  <c r="AK19" i="2"/>
  <c r="V19" i="2"/>
  <c r="W19" i="2"/>
  <c r="AI18" i="2"/>
  <c r="BD18" i="2"/>
  <c r="V18" i="2"/>
  <c r="AK18" i="2"/>
  <c r="W18" i="2"/>
  <c r="BD17" i="2"/>
  <c r="V17" i="2"/>
  <c r="AK17" i="2"/>
  <c r="AI17" i="2"/>
  <c r="W17" i="2"/>
  <c r="BD16" i="2"/>
  <c r="AK16" i="2"/>
  <c r="S21" i="1" s="1"/>
  <c r="V16" i="2"/>
  <c r="AI16" i="2"/>
  <c r="W16" i="2"/>
  <c r="BD15" i="2"/>
  <c r="AK15" i="2"/>
  <c r="V15" i="2"/>
  <c r="AI15" i="2"/>
  <c r="W15" i="2"/>
  <c r="AI14" i="2"/>
  <c r="BD14" i="2"/>
  <c r="V14" i="2"/>
  <c r="AK14" i="2"/>
  <c r="W14" i="2"/>
  <c r="BD13" i="2"/>
  <c r="AK13" i="2"/>
  <c r="S33" i="1" s="1"/>
  <c r="V13" i="2"/>
  <c r="AI13" i="2"/>
  <c r="W13" i="2"/>
  <c r="BD12" i="2"/>
  <c r="AK12" i="2"/>
  <c r="V12" i="2"/>
  <c r="AI12" i="2"/>
  <c r="W12" i="2"/>
  <c r="AI11" i="2"/>
  <c r="BD11" i="2"/>
  <c r="V11" i="2"/>
  <c r="AK11" i="2"/>
  <c r="W11" i="2"/>
  <c r="AI10" i="2"/>
  <c r="BD10" i="2"/>
  <c r="AK10" i="2"/>
  <c r="V10" i="2"/>
  <c r="BD9" i="2"/>
  <c r="W10" i="2"/>
  <c r="V9" i="2"/>
  <c r="AK9" i="2"/>
  <c r="AI9" i="2"/>
  <c r="W9" i="2"/>
  <c r="BD8" i="2"/>
  <c r="V8" i="2"/>
  <c r="AK8" i="2"/>
  <c r="AI8" i="2"/>
  <c r="W8" i="2"/>
  <c r="BD7" i="2"/>
  <c r="AK7" i="2"/>
  <c r="V7" i="2"/>
  <c r="AI7" i="2"/>
  <c r="W7" i="2"/>
  <c r="BD6" i="2"/>
  <c r="AK6" i="2"/>
  <c r="V6" i="2"/>
  <c r="AI6" i="2"/>
  <c r="W6" i="2"/>
  <c r="BD5" i="2"/>
  <c r="V5" i="2"/>
  <c r="AK5" i="2"/>
  <c r="AI5" i="2"/>
  <c r="W5" i="2"/>
  <c r="BD4" i="2"/>
  <c r="V4" i="2"/>
  <c r="AK4" i="2"/>
  <c r="AI4" i="2"/>
  <c r="W4" i="2"/>
  <c r="P44" i="1"/>
  <c r="AH44" i="1"/>
  <c r="P43" i="1"/>
  <c r="AH43" i="1"/>
  <c r="P42" i="1"/>
  <c r="AH42" i="1"/>
  <c r="P41" i="1"/>
  <c r="AH41" i="1"/>
  <c r="P40" i="1"/>
  <c r="AH40" i="1"/>
  <c r="P39" i="1"/>
  <c r="AH39" i="1"/>
  <c r="P38" i="1"/>
  <c r="AH38" i="1"/>
  <c r="P37" i="1"/>
  <c r="AH37" i="1"/>
  <c r="P36" i="1"/>
  <c r="AH36" i="1"/>
  <c r="P35" i="1"/>
  <c r="AH35" i="1"/>
  <c r="P34" i="1"/>
  <c r="AH34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4" i="1"/>
  <c r="AH24" i="1"/>
  <c r="P23" i="1"/>
  <c r="AH23" i="1"/>
  <c r="P22" i="1"/>
  <c r="AH22" i="1"/>
  <c r="P21" i="1"/>
  <c r="AH21" i="1"/>
  <c r="P20" i="1"/>
  <c r="AH20" i="1"/>
  <c r="P17" i="1"/>
  <c r="AH17" i="1"/>
  <c r="P15" i="1"/>
  <c r="AH15" i="1"/>
  <c r="P14" i="1"/>
  <c r="AH14" i="1"/>
  <c r="P13" i="1"/>
  <c r="AH13" i="1"/>
  <c r="P12" i="1"/>
  <c r="AH12" i="1"/>
  <c r="AH10" i="1" s="1"/>
  <c r="AD8" i="1"/>
  <c r="S15" i="1" l="1"/>
  <c r="V15" i="1" s="1"/>
  <c r="S16" i="1"/>
  <c r="V16" i="1" s="1"/>
  <c r="AD25" i="1"/>
  <c r="V25" i="1"/>
  <c r="S35" i="1"/>
  <c r="V35" i="1" s="1"/>
  <c r="AD19" i="1"/>
  <c r="V19" i="1"/>
  <c r="S22" i="1"/>
  <c r="V22" i="1" s="1"/>
  <c r="S23" i="1"/>
  <c r="V23" i="1" s="1"/>
  <c r="W1" i="2"/>
  <c r="S32" i="1"/>
  <c r="V32" i="1" s="1"/>
  <c r="AK30" i="2"/>
  <c r="S31" i="1"/>
  <c r="V31" i="1" s="1"/>
  <c r="S36" i="1"/>
  <c r="V36" i="1" s="1"/>
  <c r="S38" i="1"/>
  <c r="V38" i="1" s="1"/>
  <c r="V1" i="2"/>
  <c r="S14" i="1"/>
  <c r="V14" i="1" s="1"/>
  <c r="S34" i="1"/>
  <c r="M7" i="1"/>
  <c r="AD42" i="1"/>
  <c r="V42" i="1"/>
  <c r="AD32" i="1"/>
  <c r="AD44" i="1"/>
  <c r="V44" i="1"/>
  <c r="V9" i="1" s="1"/>
  <c r="AD33" i="1"/>
  <c r="V33" i="1"/>
  <c r="AD35" i="1"/>
  <c r="AI1" i="2"/>
  <c r="AD21" i="1"/>
  <c r="V21" i="1"/>
  <c r="AD36" i="1"/>
  <c r="AD23" i="1"/>
  <c r="AD38" i="1"/>
  <c r="AD22" i="1"/>
  <c r="AD34" i="1"/>
  <c r="AD39" i="1"/>
  <c r="V39" i="1"/>
  <c r="AD24" i="1"/>
  <c r="V24" i="1"/>
  <c r="AD27" i="1"/>
  <c r="V27" i="1"/>
  <c r="AD29" i="1"/>
  <c r="V29" i="1"/>
  <c r="AD13" i="1"/>
  <c r="V13" i="1"/>
  <c r="AD28" i="1"/>
  <c r="V28" i="1"/>
  <c r="AD40" i="1"/>
  <c r="V40" i="1"/>
  <c r="AD26" i="1"/>
  <c r="V26" i="1"/>
  <c r="AD37" i="1"/>
  <c r="V37" i="1"/>
  <c r="AD14" i="1"/>
  <c r="AD30" i="1"/>
  <c r="V30" i="1"/>
  <c r="AD43" i="1"/>
  <c r="V43" i="1"/>
  <c r="AD12" i="1"/>
  <c r="V12" i="1"/>
  <c r="P10" i="1"/>
  <c r="P7" i="1"/>
  <c r="AD15" i="1"/>
  <c r="AD17" i="1"/>
  <c r="V17" i="1"/>
  <c r="AD20" i="1"/>
  <c r="V20" i="1"/>
  <c r="AD31" i="1"/>
  <c r="AD41" i="1"/>
  <c r="V41" i="1"/>
  <c r="AJ25" i="2" l="1"/>
  <c r="AJ24" i="2"/>
  <c r="V1" i="1"/>
  <c r="AJ16" i="2"/>
  <c r="AJ26" i="2"/>
  <c r="S10" i="1"/>
  <c r="AD10" i="1"/>
  <c r="V34" i="1"/>
  <c r="S7" i="1"/>
  <c r="I7" i="1"/>
  <c r="AJ8" i="2"/>
  <c r="AJ13" i="2"/>
  <c r="AJ22" i="2"/>
  <c r="AJ6" i="2"/>
  <c r="AJ17" i="2"/>
  <c r="AJ21" i="2"/>
  <c r="AJ27" i="2"/>
  <c r="AJ18" i="2"/>
  <c r="AJ9" i="2"/>
  <c r="AJ23" i="2"/>
  <c r="AJ14" i="2"/>
  <c r="AJ15" i="2"/>
  <c r="AJ12" i="2"/>
  <c r="AJ28" i="2"/>
  <c r="AJ5" i="2"/>
  <c r="AJ11" i="2"/>
  <c r="AJ20" i="2"/>
  <c r="AJ10" i="2"/>
  <c r="AJ4" i="2"/>
  <c r="AJ19" i="2"/>
  <c r="AJ7" i="2"/>
  <c r="D7" i="1" l="1"/>
  <c r="AE6" i="1"/>
  <c r="V6" i="1"/>
  <c r="S6" i="1"/>
  <c r="P6" i="1"/>
  <c r="M6" i="1" l="1"/>
  <c r="I6" i="1" l="1"/>
  <c r="D6" i="1" l="1"/>
  <c r="AE5" i="1"/>
  <c r="V5" i="1"/>
  <c r="V7" i="1" s="1"/>
  <c r="S5" i="1"/>
  <c r="P5" i="1"/>
  <c r="V10" i="1" l="1"/>
  <c r="B1" i="2" s="1"/>
  <c r="X105" i="89"/>
  <c r="AD105" i="89"/>
  <c r="X104" i="89"/>
  <c r="AD104" i="89"/>
  <c r="AD106" i="89" s="1"/>
  <c r="X103" i="89"/>
  <c r="AD103" i="89"/>
  <c r="X96" i="89"/>
  <c r="AD96" i="89"/>
  <c r="X95" i="89"/>
  <c r="AD95" i="89"/>
  <c r="AD97" i="89" s="1"/>
  <c r="X88" i="89"/>
  <c r="AD88" i="89"/>
  <c r="X87" i="89"/>
  <c r="AD87" i="89"/>
  <c r="AD89" i="89" s="1"/>
  <c r="X86" i="89"/>
  <c r="AD86" i="89"/>
  <c r="X79" i="89"/>
  <c r="AD79" i="89"/>
  <c r="X78" i="89"/>
  <c r="AD78" i="89"/>
  <c r="AD80" i="89" s="1"/>
  <c r="X77" i="89"/>
  <c r="AD77" i="89"/>
  <c r="X68" i="89"/>
  <c r="X70" i="89" s="1"/>
  <c r="AD68" i="89"/>
  <c r="AD70" i="89" s="1"/>
  <c r="X62" i="89"/>
  <c r="AD62" i="89"/>
  <c r="X61" i="89"/>
  <c r="AD61" i="89"/>
  <c r="AD63" i="89" s="1"/>
  <c r="X53" i="89"/>
  <c r="AD53" i="89"/>
  <c r="X52" i="89"/>
  <c r="AD52" i="89"/>
  <c r="AD54" i="89" s="1"/>
  <c r="X44" i="89"/>
  <c r="AD44" i="89"/>
  <c r="X43" i="89"/>
  <c r="AD43" i="89"/>
  <c r="AD45" i="89" s="1"/>
  <c r="X37" i="89"/>
  <c r="AD37" i="89"/>
  <c r="X36" i="89"/>
  <c r="AD36" i="89"/>
  <c r="AD38" i="89" s="1"/>
  <c r="X31" i="89"/>
  <c r="AD31" i="89"/>
  <c r="X30" i="89"/>
  <c r="AD30" i="89"/>
  <c r="AD32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X7" i="89"/>
  <c r="AD7" i="89"/>
  <c r="AD9" i="89" s="1"/>
  <c r="AE7" i="1"/>
  <c r="O16" i="1" l="1"/>
  <c r="R16" i="1"/>
  <c r="U16" i="1"/>
  <c r="AH24" i="2"/>
  <c r="AG24" i="2"/>
  <c r="AG25" i="2"/>
  <c r="AH25" i="2"/>
  <c r="AG26" i="2"/>
  <c r="AH26" i="2"/>
  <c r="O25" i="1"/>
  <c r="U25" i="1"/>
  <c r="R15" i="1"/>
  <c r="X45" i="89"/>
  <c r="O19" i="1"/>
  <c r="U19" i="1"/>
  <c r="X9" i="89"/>
  <c r="X97" i="89"/>
  <c r="X15" i="89"/>
  <c r="X21" i="89"/>
  <c r="X32" i="89"/>
  <c r="X54" i="89"/>
  <c r="X63" i="89"/>
  <c r="M5" i="1"/>
  <c r="AG28" i="2"/>
  <c r="AH28" i="2"/>
  <c r="AG27" i="2"/>
  <c r="AH27" i="2"/>
  <c r="AG23" i="2"/>
  <c r="AH23" i="2"/>
  <c r="AG22" i="2"/>
  <c r="AH22" i="2"/>
  <c r="AG21" i="2"/>
  <c r="AH21" i="2"/>
  <c r="AG20" i="2"/>
  <c r="AH20" i="2"/>
  <c r="AG19" i="2"/>
  <c r="AH19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8" i="2"/>
  <c r="AH8" i="2"/>
  <c r="AG5" i="2"/>
  <c r="AH5" i="2"/>
  <c r="AG4" i="2"/>
  <c r="AH4" i="2"/>
  <c r="R44" i="1"/>
  <c r="O44" i="1"/>
  <c r="R43" i="1"/>
  <c r="U44" i="1"/>
  <c r="O43" i="1"/>
  <c r="R42" i="1"/>
  <c r="U43" i="1"/>
  <c r="O42" i="1"/>
  <c r="R41" i="1"/>
  <c r="U42" i="1"/>
  <c r="O41" i="1"/>
  <c r="R40" i="1"/>
  <c r="U41" i="1"/>
  <c r="O40" i="1"/>
  <c r="R39" i="1"/>
  <c r="U40" i="1"/>
  <c r="O39" i="1"/>
  <c r="R38" i="1"/>
  <c r="U39" i="1"/>
  <c r="O38" i="1"/>
  <c r="R37" i="1"/>
  <c r="U38" i="1"/>
  <c r="O37" i="1"/>
  <c r="R36" i="1"/>
  <c r="U37" i="1"/>
  <c r="O36" i="1"/>
  <c r="R35" i="1"/>
  <c r="U36" i="1"/>
  <c r="O35" i="1"/>
  <c r="R34" i="1"/>
  <c r="U35" i="1"/>
  <c r="O34" i="1"/>
  <c r="R33" i="1"/>
  <c r="U34" i="1"/>
  <c r="O33" i="1"/>
  <c r="R32" i="1"/>
  <c r="U33" i="1"/>
  <c r="O32" i="1"/>
  <c r="R31" i="1"/>
  <c r="U32" i="1"/>
  <c r="O31" i="1"/>
  <c r="R30" i="1"/>
  <c r="U31" i="1"/>
  <c r="O30" i="1"/>
  <c r="R29" i="1"/>
  <c r="U30" i="1"/>
  <c r="O29" i="1"/>
  <c r="R28" i="1"/>
  <c r="U29" i="1"/>
  <c r="O28" i="1"/>
  <c r="R27" i="1"/>
  <c r="U28" i="1"/>
  <c r="O27" i="1"/>
  <c r="R26" i="1"/>
  <c r="U27" i="1"/>
  <c r="O26" i="1"/>
  <c r="R24" i="1"/>
  <c r="U26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U20" i="1"/>
  <c r="O17" i="1"/>
  <c r="U17" i="1"/>
  <c r="O15" i="1"/>
  <c r="R14" i="1"/>
  <c r="U15" i="1"/>
  <c r="O14" i="1"/>
  <c r="U14" i="1"/>
  <c r="R13" i="1"/>
  <c r="O13" i="1"/>
  <c r="U13" i="1"/>
  <c r="R12" i="1"/>
  <c r="W10" i="1"/>
  <c r="W18" i="1" s="1"/>
  <c r="O12" i="1"/>
  <c r="U12" i="1"/>
  <c r="X89" i="89"/>
  <c r="X106" i="89"/>
  <c r="X108" i="89" s="1"/>
  <c r="X38" i="89"/>
  <c r="X80" i="89"/>
  <c r="X12" i="89" s="1"/>
  <c r="W16" i="1" l="1"/>
  <c r="AA16" i="1"/>
  <c r="Y16" i="1"/>
  <c r="Z16" i="1"/>
  <c r="AA25" i="1"/>
  <c r="Y25" i="1"/>
  <c r="Z25" i="1"/>
  <c r="W25" i="1"/>
  <c r="U1" i="1"/>
  <c r="Y19" i="1"/>
  <c r="Z19" i="1"/>
  <c r="W19" i="1"/>
  <c r="I5" i="1"/>
  <c r="Z28" i="1"/>
  <c r="AA28" i="1"/>
  <c r="Y28" i="1"/>
  <c r="AA42" i="1"/>
  <c r="Z42" i="1"/>
  <c r="Y42" i="1"/>
  <c r="AA29" i="1"/>
  <c r="Z29" i="1"/>
  <c r="Y29" i="1"/>
  <c r="AA27" i="1"/>
  <c r="Z27" i="1"/>
  <c r="Y27" i="1"/>
  <c r="AA23" i="1"/>
  <c r="Y23" i="1"/>
  <c r="Z23" i="1"/>
  <c r="AA34" i="1"/>
  <c r="Z34" i="1"/>
  <c r="Y34" i="1"/>
  <c r="AA41" i="1"/>
  <c r="Z41" i="1"/>
  <c r="Y41" i="1"/>
  <c r="AA37" i="1"/>
  <c r="Y37" i="1"/>
  <c r="Z37" i="1"/>
  <c r="AA22" i="1"/>
  <c r="Z22" i="1"/>
  <c r="Y22" i="1"/>
  <c r="O6" i="1"/>
  <c r="O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4" i="1"/>
  <c r="W23" i="1"/>
  <c r="W22" i="1"/>
  <c r="W21" i="1"/>
  <c r="W20" i="1"/>
  <c r="W17" i="1"/>
  <c r="W15" i="1"/>
  <c r="W14" i="1"/>
  <c r="W13" i="1"/>
  <c r="W12" i="1"/>
  <c r="Y17" i="1"/>
  <c r="Z17" i="1"/>
  <c r="AA43" i="1"/>
  <c r="Z43" i="1"/>
  <c r="Y43" i="1"/>
  <c r="AA35" i="1"/>
  <c r="Z35" i="1"/>
  <c r="Y35" i="1"/>
  <c r="AA32" i="1"/>
  <c r="Z32" i="1"/>
  <c r="Y32" i="1"/>
  <c r="AA39" i="1"/>
  <c r="Z39" i="1"/>
  <c r="Y39" i="1"/>
  <c r="AA21" i="1"/>
  <c r="Z21" i="1"/>
  <c r="Y21" i="1"/>
  <c r="Z12" i="1"/>
  <c r="AA12" i="1"/>
  <c r="Y12" i="1"/>
  <c r="AA30" i="1"/>
  <c r="Z30" i="1"/>
  <c r="Y30" i="1"/>
  <c r="R6" i="1"/>
  <c r="R5" i="1"/>
  <c r="AA31" i="1"/>
  <c r="Z31" i="1"/>
  <c r="Y31" i="1"/>
  <c r="Z13" i="1"/>
  <c r="AA13" i="1"/>
  <c r="Y13" i="1"/>
  <c r="AA20" i="1"/>
  <c r="Z20" i="1"/>
  <c r="Y20" i="1"/>
  <c r="U5" i="1"/>
  <c r="AA36" i="1"/>
  <c r="Z36" i="1"/>
  <c r="Y36" i="1"/>
  <c r="Z24" i="1"/>
  <c r="Y24" i="1"/>
  <c r="AA24" i="1"/>
  <c r="AA14" i="1"/>
  <c r="Y14" i="1"/>
  <c r="Z14" i="1"/>
  <c r="Y33" i="1"/>
  <c r="AA33" i="1"/>
  <c r="Z33" i="1"/>
  <c r="AA44" i="1"/>
  <c r="Z44" i="1"/>
  <c r="Y44" i="1"/>
  <c r="U9" i="1"/>
  <c r="Z38" i="1"/>
  <c r="AA38" i="1"/>
  <c r="Y38" i="1"/>
  <c r="Y26" i="1"/>
  <c r="AA26" i="1"/>
  <c r="Z26" i="1"/>
  <c r="AA15" i="1"/>
  <c r="Z15" i="1"/>
  <c r="Y15" i="1"/>
  <c r="U6" i="1"/>
  <c r="Z40" i="1"/>
  <c r="AA40" i="1"/>
  <c r="Y40" i="1"/>
  <c r="AA6" i="1" l="1"/>
  <c r="AB6" i="1" s="1"/>
  <c r="Z10" i="1"/>
  <c r="AA10" i="1"/>
  <c r="AA5" i="1"/>
  <c r="D5" i="1"/>
  <c r="U8" i="1"/>
  <c r="U7" i="1"/>
  <c r="W5" i="1"/>
  <c r="W6" i="1"/>
  <c r="R8" i="1"/>
  <c r="R7" i="1"/>
  <c r="O8" i="1"/>
  <c r="O7" i="1"/>
  <c r="AA7" i="1" l="1"/>
  <c r="AB5" i="1"/>
  <c r="AA8" i="1"/>
  <c r="U10" i="1"/>
  <c r="W7" i="1"/>
  <c r="M4" i="1" l="1"/>
  <c r="I4" i="1" l="1"/>
  <c r="D4" i="1" l="1"/>
  <c r="X6" i="1" l="1"/>
  <c r="Y6" i="1" s="1"/>
  <c r="Z5" i="1"/>
  <c r="Z6" i="1"/>
  <c r="X5" i="1"/>
  <c r="Y5" i="1" s="1"/>
  <c r="AD3" i="1"/>
  <c r="U3" i="1"/>
  <c r="T3" i="1"/>
  <c r="R3" i="1"/>
  <c r="S3" i="1" l="1"/>
  <c r="P3" i="1" s="1"/>
  <c r="Y7" i="1"/>
  <c r="Z7" i="1"/>
  <c r="M3" i="1" l="1"/>
  <c r="I3" i="1" l="1"/>
  <c r="D3" i="1" l="1"/>
  <c r="W2" i="1" l="1"/>
  <c r="T2" i="1"/>
  <c r="R2" i="1"/>
  <c r="S2" i="1" l="1"/>
  <c r="P2" i="1" s="1"/>
  <c r="M2" i="1"/>
  <c r="I2" i="1" l="1"/>
  <c r="AH5" i="1" l="1"/>
  <c r="AH4" i="1"/>
  <c r="AH3" i="1"/>
  <c r="AJ5" i="1"/>
  <c r="AJ4" i="1"/>
  <c r="AJ3" i="1"/>
  <c r="D2" i="1"/>
  <c r="Z1" i="1"/>
  <c r="T1" i="1"/>
  <c r="R1" i="1"/>
  <c r="S1" i="1" l="1"/>
  <c r="P1" i="1" s="1"/>
  <c r="M1" i="1"/>
  <c r="I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K27" i="531"/>
  <c r="I34" i="531" s="1"/>
  <c r="J27" i="531"/>
  <c r="I27" i="531"/>
  <c r="H27" i="531"/>
  <c r="L26" i="531"/>
  <c r="T21" i="531"/>
  <c r="T22" i="531" s="1"/>
  <c r="T24" i="531" s="1"/>
  <c r="T20" i="531"/>
  <c r="S20" i="531"/>
  <c r="R20" i="531"/>
  <c r="Q20" i="531"/>
  <c r="P20" i="531"/>
  <c r="AC18" i="531"/>
  <c r="AA18" i="531"/>
  <c r="Y18" i="531"/>
  <c r="W18" i="531"/>
  <c r="L17" i="531"/>
  <c r="L16" i="531" s="1"/>
  <c r="K17" i="531"/>
  <c r="I24" i="531" s="1"/>
  <c r="J17" i="531"/>
  <c r="I17" i="531"/>
  <c r="Q21" i="531" s="1"/>
  <c r="Q22" i="531" s="1"/>
  <c r="H17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P46" i="531" l="1"/>
  <c r="P47" i="531" s="1"/>
  <c r="Q46" i="531"/>
  <c r="Q47" i="531" s="1"/>
  <c r="Q51" i="531" s="1"/>
  <c r="R46" i="531"/>
  <c r="R47" i="531" s="1"/>
  <c r="S46" i="531"/>
  <c r="S47" i="531" s="1"/>
  <c r="S49" i="531" s="1"/>
  <c r="T31" i="531"/>
  <c r="T32" i="531" s="1"/>
  <c r="T34" i="531" s="1"/>
  <c r="Q31" i="531"/>
  <c r="Q32" i="531" s="1"/>
  <c r="Q34" i="531" s="1"/>
  <c r="R21" i="531"/>
  <c r="R22" i="531" s="1"/>
  <c r="R24" i="531" s="1"/>
  <c r="P31" i="531"/>
  <c r="P32" i="531" s="1"/>
  <c r="R31" i="531"/>
  <c r="R32" i="531" s="1"/>
  <c r="R34" i="531" s="1"/>
  <c r="S31" i="531"/>
  <c r="S32" i="531" s="1"/>
  <c r="T46" i="531"/>
  <c r="T47" i="531" s="1"/>
  <c r="T49" i="531" s="1"/>
  <c r="S21" i="531"/>
  <c r="S22" i="531" s="1"/>
  <c r="S36" i="531" s="1"/>
  <c r="S34" i="531"/>
  <c r="P51" i="531"/>
  <c r="P49" i="531"/>
  <c r="R51" i="531"/>
  <c r="R49" i="531"/>
  <c r="Q24" i="531"/>
  <c r="Q36" i="531"/>
  <c r="P34" i="531"/>
  <c r="I59" i="531"/>
  <c r="I60" i="531"/>
  <c r="P21" i="531"/>
  <c r="P22" i="531" s="1"/>
  <c r="T36" i="531" l="1"/>
  <c r="R36" i="531"/>
  <c r="S51" i="531"/>
  <c r="Q49" i="531"/>
  <c r="S24" i="531"/>
  <c r="T51" i="531"/>
  <c r="P24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N12" i="338" s="1"/>
  <c r="AD12" i="338"/>
  <c r="AB12" i="338"/>
  <c r="Z12" i="338"/>
  <c r="I11" i="338" a="1"/>
  <c r="I11" i="338" l="1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N10" i="338" s="1"/>
  <c r="AD10" i="338"/>
  <c r="AB10" i="338"/>
  <c r="Z10" i="338"/>
  <c r="I9" i="338" a="1"/>
  <c r="I9" i="338" l="1"/>
  <c r="J9" i="338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J36" i="530"/>
  <c r="I36" i="530"/>
  <c r="H36" i="530"/>
  <c r="H37" i="530" s="1"/>
  <c r="H38" i="530" s="1"/>
  <c r="G36" i="530"/>
  <c r="G37" i="530" s="1"/>
  <c r="G38" i="530" s="1"/>
  <c r="F36" i="530"/>
  <c r="F37" i="530" s="1"/>
  <c r="F38" i="530" s="1"/>
  <c r="C36" i="530"/>
  <c r="C34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H8" i="338" a="1"/>
  <c r="AU8" i="338" a="1"/>
  <c r="AP9" i="338" a="1"/>
  <c r="AU9" i="338" a="1"/>
  <c r="AU12" i="338" a="1"/>
  <c r="AU11" i="338" a="1"/>
  <c r="AP8" i="338" a="1"/>
  <c r="AU10" i="338" a="1"/>
  <c r="AP12" i="338" a="1"/>
  <c r="AP11" i="338" a="1"/>
  <c r="AP10" i="338" a="1"/>
  <c r="H8" i="338" l="1"/>
  <c r="AU12" i="338"/>
  <c r="AU9" i="338"/>
  <c r="AU11" i="338"/>
  <c r="AU8" i="338"/>
  <c r="AP8" i="338"/>
  <c r="AO8" i="338" s="1"/>
  <c r="AP9" i="338"/>
  <c r="AU10" i="338"/>
  <c r="AP10" i="338"/>
  <c r="AP12" i="338"/>
  <c r="AP11" i="338"/>
  <c r="O8" i="338"/>
  <c r="I42" i="530"/>
  <c r="I41" i="530"/>
  <c r="J42" i="530"/>
  <c r="J41" i="530"/>
  <c r="L20" i="530"/>
  <c r="M20" i="530" s="1"/>
  <c r="K16" i="530"/>
  <c r="L16" i="530"/>
  <c r="F39" i="530"/>
  <c r="F40" i="530" s="1"/>
  <c r="G39" i="530"/>
  <c r="G40" i="530" s="1"/>
  <c r="H39" i="530"/>
  <c r="H40" i="530" s="1"/>
  <c r="Q2" i="338"/>
  <c r="Q4" i="338" s="1"/>
  <c r="AN3" i="338"/>
  <c r="AM3" i="338"/>
  <c r="K8" i="338"/>
  <c r="L8" i="338" a="1"/>
  <c r="V8" i="338" a="1"/>
  <c r="U8" i="338" a="1"/>
  <c r="Q11" i="338" a="1"/>
  <c r="Q12" i="338" a="1"/>
  <c r="Q10" i="338" a="1"/>
  <c r="Q8" i="338" a="1"/>
  <c r="Q9" i="338" a="1"/>
  <c r="U8" i="338" l="1"/>
  <c r="V8" i="338"/>
  <c r="L8" i="338"/>
  <c r="Q9" i="338"/>
  <c r="Q8" i="338"/>
  <c r="Q10" i="338"/>
  <c r="Q12" i="338"/>
  <c r="Q11" i="338"/>
  <c r="AT8" i="338"/>
  <c r="AT9" i="338"/>
  <c r="AD8" i="338"/>
  <c r="AB8" i="338"/>
  <c r="Z8" i="338"/>
  <c r="AO9" i="338"/>
  <c r="AO10" i="338"/>
  <c r="H41" i="530"/>
  <c r="H42" i="530"/>
  <c r="AT10" i="338"/>
  <c r="G41" i="530"/>
  <c r="G42" i="530"/>
  <c r="AO11" i="338"/>
  <c r="F41" i="530"/>
  <c r="F42" i="530"/>
  <c r="AT11" i="338"/>
  <c r="AO12" i="338"/>
  <c r="AT12" i="338"/>
  <c r="AM8" i="338"/>
  <c r="AN11" i="338"/>
  <c r="AN9" i="338"/>
  <c r="AN10" i="338"/>
  <c r="AS10" i="338"/>
  <c r="AR12" i="338"/>
  <c r="AS8" i="338"/>
  <c r="AS11" i="338"/>
  <c r="AM9" i="338"/>
  <c r="AR9" i="338"/>
  <c r="AR11" i="338"/>
  <c r="AM10" i="338"/>
  <c r="AS9" i="338"/>
  <c r="AN12" i="338"/>
  <c r="AR8" i="338"/>
  <c r="AM12" i="338"/>
  <c r="AM11" i="338"/>
  <c r="AN8" i="338"/>
  <c r="AR10" i="338"/>
  <c r="AS12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6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<sst xmlns="http://schemas.openxmlformats.org/spreadsheetml/2006/main" count="4040" uniqueCount="1261">
  <si>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</si>
  <si>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</si>
  <si>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</si>
  <si>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</si>
  <si>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</si>
  <si>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</si>
  <si>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</si>
  <si>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</si>
  <si>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</si>
  <si>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</si>
  <si>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</si>
  <si>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</si>
  <si>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</si>
  <si>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</si>
  <si>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</si>
  <si>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</si>
  <si>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</si>
  <si>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</si>
  <si>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</si>
  <si>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</si>
  <si>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</si>
  <si>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</si>
  <si>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</si>
  <si>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</si>
  <si>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</si>
  <si>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</si>
  <si>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</si>
  <si>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</si>
  <si>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</si>
  <si>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</si>
  <si>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</si>
  <si>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</si>
  <si>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</si>
  <si>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</si>
  <si>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</si>
  <si>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</si>
  <si>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</si>
  <si>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</si>
  <si>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</si>
  <si>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</si>
  <si>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</si>
  <si>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</si>
  <si>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</si>
  <si>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</si>
  <si>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</si>
  <si>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</si>
  <si>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</si>
  <si>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</si>
  <si>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</si>
  <si>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</si>
  <si>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</si>
  <si>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</si>
  <si>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</si>
  <si>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</si>
  <si>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</si>
  <si>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</si>
  <si>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</si>
  <si>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</si>
  <si>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</si>
  <si>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</si>
  <si>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</si>
  <si>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</si>
  <si>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</si>
  <si>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</si>
  <si>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</si>
  <si>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</si>
  <si>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</si>
  <si>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</si>
  <si>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</si>
  <si>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</si>
  <si>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</si>
  <si>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</si>
  <si>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</si>
  <si>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</si>
  <si>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</si>
  <si>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</si>
  <si>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</si>
  <si>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</si>
  <si>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</si>
  <si>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</si>
  <si>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</si>
  <si>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</si>
  <si>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</si>
  <si>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</si>
  <si>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</si>
  <si>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</si>
  <si>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</si>
  <si>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</si>
  <si>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</si>
  <si>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</si>
  <si>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</si>
  <si>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</si>
  <si>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</si>
  <si>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</si>
  <si>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</si>
  <si>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</si>
  <si>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</si>
  <si>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</si>
  <si>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</si>
  <si>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</si>
  <si>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</si>
  <si>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</si>
  <si>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</si>
  <si>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</si>
  <si>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</si>
  <si>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</si>
  <si>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</si>
  <si>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</si>
  <si>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</si>
  <si>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</si>
  <si>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</si>
  <si>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</si>
  <si>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</si>
  <si>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</si>
  <si>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</si>
  <si>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</si>
  <si>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</si>
  <si>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</si>
  <si>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</si>
  <si>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</si>
  <si>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</si>
  <si>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</si>
  <si>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</si>
  <si>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</si>
  <si>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</si>
  <si>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</si>
  <si>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</si>
  <si>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</si>
  <si>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</si>
  <si>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</si>
  <si>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</si>
  <si>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</si>
  <si>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</si>
  <si>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</si>
  <si>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</si>
  <si>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</si>
  <si>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</si>
  <si>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</si>
  <si>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</si>
  <si>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</si>
  <si>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</si>
  <si>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</si>
  <si>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</si>
  <si>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</si>
  <si>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</si>
  <si>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</si>
  <si>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</si>
  <si>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</si>
  <si>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</si>
  <si>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</si>
  <si>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</si>
  <si>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</si>
  <si>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</si>
  <si>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</si>
  <si>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</si>
  <si>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</si>
  <si>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</si>
  <si>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</si>
  <si>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</si>
  <si>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</si>
  <si>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</si>
  <si>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</si>
  <si>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</si>
  <si>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</si>
  <si>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</si>
  <si>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</si>
  <si>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</si>
  <si>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</si>
  <si>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</si>
  <si>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</si>
  <si>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</si>
  <si>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</si>
  <si>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</si>
  <si>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</si>
  <si>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</si>
  <si>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</si>
  <si>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</si>
  <si>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</si>
  <si>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</si>
  <si>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</si>
  <si>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</si>
  <si>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</si>
  <si>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</si>
  <si>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</si>
  <si>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</si>
  <si>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</si>
  <si>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</si>
  <si>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</si>
  <si>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</si>
  <si>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</si>
  <si>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</si>
  <si>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</si>
  <si>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</si>
  <si>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</si>
  <si>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</si>
  <si>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</si>
  <si>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</si>
  <si>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</si>
  <si>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</si>
  <si>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</si>
  <si>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</si>
  <si>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</si>
  <si>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</si>
  <si>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</si>
  <si>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</si>
  <si>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</si>
  <si>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</si>
  <si>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</si>
  <si>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</si>
  <si>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</si>
  <si>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</si>
  <si>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</si>
  <si>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</si>
  <si>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</si>
  <si>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</si>
  <si>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</si>
  <si>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</si>
  <si>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</si>
  <si>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</si>
  <si>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</si>
  <si>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</si>
  <si>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</si>
  <si>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</si>
  <si>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</si>
  <si>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</si>
  <si>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</si>
  <si>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</si>
  <si>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</si>
  <si>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</si>
  <si>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</si>
  <si>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</si>
  <si>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</si>
  <si>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</si>
  <si>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</si>
  <si>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</si>
  <si>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</si>
  <si>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</si>
  <si>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</si>
  <si>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</si>
  <si>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</si>
  <si>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</si>
  <si>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</si>
  <si>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</si>
  <si>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</si>
  <si>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</si>
  <si>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</si>
  <si>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</si>
  <si>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</si>
  <si>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</si>
  <si>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</si>
  <si>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</si>
  <si>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</si>
  <si>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</si>
  <si>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</si>
  <si>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</si>
  <si>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</si>
  <si>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</si>
  <si>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</si>
  <si>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</si>
  <si>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</si>
  <si>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</si>
  <si>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</si>
  <si>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</si>
  <si>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</si>
  <si>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</si>
  <si>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</si>
  <si>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</si>
  <si>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</si>
  <si>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</si>
  <si>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</si>
  <si>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</si>
  <si>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</si>
  <si>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</si>
  <si>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</si>
  <si>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</si>
  <si>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</si>
  <si>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</si>
  <si>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</si>
  <si>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</si>
  <si>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</si>
  <si>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</si>
  <si>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</si>
  <si>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</si>
  <si>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</si>
  <si>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</si>
  <si>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</si>
  <si>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</si>
  <si>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</si>
  <si>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</si>
  <si>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</si>
  <si>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</si>
  <si>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</si>
  <si>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</si>
  <si>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</si>
  <si>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</si>
  <si>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</si>
  <si>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</si>
  <si>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</si>
  <si>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</si>
  <si>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</si>
  <si>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</si>
  <si>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</si>
  <si>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</si>
  <si>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</si>
  <si>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</si>
  <si>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</si>
  <si>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</si>
  <si>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</si>
  <si>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</si>
  <si>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</si>
  <si>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</si>
  <si>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</si>
  <si>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</si>
  <si>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</si>
  <si>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</si>
  <si>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</si>
  <si>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</si>
  <si>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</si>
  <si>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</si>
  <si>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</si>
  <si>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</si>
  <si>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</si>
  <si>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</si>
  <si>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</si>
  <si>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</si>
  <si>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</si>
  <si>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</si>
  <si>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</si>
  <si>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</si>
  <si>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</si>
  <si>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</si>
  <si>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</si>
  <si>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</si>
  <si>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</si>
  <si>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</si>
  <si>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</si>
  <si>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</si>
  <si>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</si>
  <si>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</si>
  <si>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</si>
  <si>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</si>
  <si>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</si>
  <si>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</si>
  <si>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</si>
  <si>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</si>
  <si>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</si>
  <si>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</si>
  <si>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</si>
  <si>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</si>
  <si>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</si>
  <si>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</si>
  <si>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</si>
  <si>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</si>
  <si>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</si>
  <si>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</si>
  <si>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</si>
  <si>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</si>
  <si>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</si>
  <si>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</si>
  <si>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</si>
  <si>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</si>
  <si>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</si>
  <si>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</si>
  <si>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</si>
  <si>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</si>
  <si>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</si>
  <si>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</si>
  <si>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</si>
  <si>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</si>
  <si>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</si>
  <si>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</si>
  <si>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</si>
  <si>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</si>
  <si>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</si>
  <si>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</si>
  <si>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</si>
  <si>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</si>
  <si>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</si>
  <si>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</si>
  <si>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</si>
  <si>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</si>
  <si>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</si>
  <si>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</si>
  <si>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</si>
  <si>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</si>
  <si>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</si>
  <si>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</si>
  <si>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</si>
  <si>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</si>
  <si>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</si>
  <si>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</si>
  <si>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</si>
  <si>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</si>
  <si>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</si>
  <si>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</si>
  <si>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</si>
  <si>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</si>
  <si>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</si>
  <si>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</si>
  <si>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</si>
  <si>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</si>
  <si>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</si>
  <si>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</si>
  <si>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</si>
  <si>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</si>
  <si>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</si>
  <si>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</si>
  <si>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</si>
  <si>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</si>
  <si>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</si>
  <si>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</si>
  <si>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</si>
  <si>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</si>
  <si>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</si>
  <si>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</si>
  <si>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</si>
  <si>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</si>
  <si>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</si>
  <si>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</si>
  <si>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</si>
  <si>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</si>
  <si>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</si>
  <si>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</si>
  <si>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</si>
  <si>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</si>
  <si>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</si>
  <si>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</si>
  <si>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</si>
  <si>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</si>
  <si>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</si>
  <si>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</si>
  <si>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</si>
  <si>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</si>
  <si>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</si>
  <si>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</si>
  <si>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</si>
  <si>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</si>
  <si>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</si>
  <si>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</si>
  <si>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</si>
  <si>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</si>
  <si>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</si>
  <si>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</si>
  <si>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</si>
  <si>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</si>
  <si>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</si>
  <si>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</si>
  <si>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</si>
  <si>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</si>
  <si>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</si>
  <si>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</si>
  <si>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</si>
  <si>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</si>
  <si>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</si>
  <si>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</si>
  <si>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</si>
  <si>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</si>
  <si>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</si>
  <si>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</si>
  <si>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</si>
  <si>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</si>
  <si>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</si>
  <si>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</si>
  <si>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</si>
  <si>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</si>
  <si>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</si>
  <si>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</si>
  <si>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</si>
  <si>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</si>
  <si>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</si>
  <si>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</si>
  <si>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</si>
  <si>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</si>
  <si>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</si>
  <si>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</si>
  <si>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</si>
  <si>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</si>
  <si>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</si>
  <si>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</si>
  <si>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</si>
  <si>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</si>
  <si>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</si>
  <si>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</si>
  <si>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</si>
  <si>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</si>
  <si>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</si>
  <si>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</si>
  <si>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</si>
  <si>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</si>
  <si>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</si>
  <si>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</si>
  <si>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</si>
  <si>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</si>
  <si>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</si>
  <si>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</si>
  <si>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</si>
  <si>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</si>
  <si>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</si>
  <si>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</si>
  <si>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</si>
  <si>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</si>
  <si>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</si>
  <si>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</si>
  <si>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</si>
  <si>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</si>
  <si>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</si>
  <si>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</si>
  <si>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</si>
  <si>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</si>
  <si>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</si>
  <si>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</si>
  <si>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</si>
  <si>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</si>
  <si>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</si>
  <si>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</si>
  <si>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</si>
  <si>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</si>
  <si>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</si>
  <si>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</si>
  <si>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</si>
  <si>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</si>
  <si>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</si>
  <si>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</si>
  <si>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</si>
  <si>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</si>
  <si>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</si>
  <si>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</si>
  <si>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</si>
  <si>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</si>
  <si>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</si>
  <si>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</si>
  <si>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</si>
  <si>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</si>
  <si>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</si>
  <si>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</si>
  <si>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</si>
  <si>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</si>
  <si>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</si>
  <si>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</si>
  <si>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</si>
  <si>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</si>
  <si>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</si>
  <si>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</si>
  <si>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</si>
  <si>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</si>
  <si>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</si>
  <si>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</si>
  <si>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</si>
  <si>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</si>
  <si>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</si>
  <si>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</si>
  <si>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</si>
  <si>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</si>
  <si>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</si>
  <si>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</si>
  <si>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</si>
  <si>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</si>
  <si>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</si>
  <si>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</si>
  <si>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</si>
  <si>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</si>
  <si>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</si>
  <si>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</si>
  <si>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</si>
  <si>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</si>
  <si>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</si>
  <si>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</si>
  <si>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</si>
  <si>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</si>
  <si>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</si>
  <si>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</si>
  <si>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</si>
  <si>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</si>
  <si>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</si>
  <si>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</si>
  <si>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</si>
  <si>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</si>
  <si>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</si>
  <si>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</si>
  <si>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</si>
  <si>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</si>
  <si>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</si>
  <si>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</si>
  <si>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</si>
  <si>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</si>
  <si>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</si>
  <si>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</si>
  <si>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</si>
  <si>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</si>
  <si>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</si>
  <si>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</si>
  <si>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</si>
  <si>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</si>
  <si>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</si>
  <si>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</si>
  <si>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</si>
  <si>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</si>
  <si>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</si>
  <si>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</si>
  <si>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</si>
  <si>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</si>
  <si>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</si>
  <si>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</si>
  <si>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</si>
  <si>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</si>
  <si>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</si>
  <si>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</si>
  <si>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</si>
  <si>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</si>
  <si>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</si>
  <si>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</si>
  <si>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</si>
  <si>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</si>
  <si>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</si>
  <si>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</si>
  <si>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</si>
  <si>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</si>
  <si>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</si>
  <si>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</si>
  <si>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</si>
  <si>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</si>
  <si>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</si>
  <si>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</si>
  <si>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</si>
  <si>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</si>
  <si>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</si>
  <si>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</si>
  <si>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</si>
  <si>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</si>
  <si>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</si>
  <si>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</si>
  <si>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</si>
  <si>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</si>
  <si>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</si>
  <si>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</si>
  <si>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</si>
  <si>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</si>
  <si>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</si>
  <si>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</si>
  <si>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</si>
  <si>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</si>
  <si>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</si>
  <si>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</si>
  <si>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</si>
  <si>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</si>
  <si>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</si>
  <si>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</si>
  <si>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</si>
  <si>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</si>
  <si>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</si>
  <si>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</si>
  <si>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</si>
  <si>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</si>
  <si>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</si>
  <si>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</si>
  <si>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</si>
  <si>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</si>
  <si>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</si>
  <si>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</si>
  <si>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</si>
  <si>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</si>
  <si>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</si>
  <si>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</si>
  <si>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</si>
  <si>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</si>
  <si>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</si>
  <si>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</si>
  <si>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</si>
  <si>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</si>
  <si>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</si>
  <si>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</si>
  <si>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</si>
  <si>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</si>
  <si>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</si>
  <si>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</si>
  <si>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</si>
  <si>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</si>
  <si>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</si>
  <si>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</si>
  <si>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</si>
  <si>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</si>
  <si>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</si>
  <si>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</si>
  <si>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</si>
  <si>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</si>
  <si>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</si>
  <si>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</si>
  <si>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</si>
  <si>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</si>
  <si>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</si>
  <si>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</si>
  <si>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</si>
  <si>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</si>
  <si>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</si>
  <si>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</si>
  <si>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</si>
  <si>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</si>
  <si>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</si>
  <si>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</si>
  <si>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</si>
  <si>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</si>
  <si>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</si>
  <si>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</si>
  <si>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</si>
  <si>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</si>
  <si>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</si>
  <si>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</si>
  <si>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</si>
  <si>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</si>
  <si>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</si>
  <si>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</si>
  <si>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</si>
  <si>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</si>
  <si>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</si>
  <si>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</si>
  <si>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</si>
  <si>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</si>
  <si>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</si>
  <si>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</si>
  <si>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</si>
  <si>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</si>
  <si>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</si>
  <si>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</si>
  <si>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</si>
  <si>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</si>
  <si>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</si>
  <si>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</si>
  <si>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</si>
  <si>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</si>
  <si>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</si>
  <si>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</si>
  <si>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</si>
  <si>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</si>
  <si>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</si>
  <si>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</si>
  <si>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</si>
  <si>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</si>
  <si>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</si>
  <si>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</si>
  <si>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</si>
  <si>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</si>
  <si>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</si>
  <si>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</si>
  <si>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</si>
  <si>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</si>
  <si>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</si>
  <si>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</si>
  <si>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</si>
  <si>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</si>
  <si>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</si>
  <si>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</si>
  <si>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</si>
  <si>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</si>
  <si>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</si>
  <si>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</si>
  <si>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</si>
  <si>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</si>
  <si>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</si>
  <si>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</si>
  <si>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</si>
  <si>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</si>
  <si>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</si>
  <si>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</si>
  <si>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</si>
  <si>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</si>
  <si>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</si>
  <si>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</si>
  <si>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</si>
  <si>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</si>
  <si>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</si>
  <si>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</si>
  <si>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</si>
  <si>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</si>
  <si>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</si>
  <si>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</si>
  <si>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</si>
  <si>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</si>
  <si>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</si>
  <si>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</si>
  <si>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</si>
  <si>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</si>
  <si>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</si>
  <si>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</si>
  <si>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</si>
  <si>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</si>
  <si>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</si>
  <si>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</si>
  <si>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</si>
  <si>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</si>
  <si>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</si>
  <si>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</si>
  <si>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</si>
  <si>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</si>
  <si>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</si>
  <si>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</si>
  <si>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</si>
  <si>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</si>
  <si>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</si>
  <si>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</si>
  <si>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</si>
  <si>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</si>
  <si>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</si>
  <si>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</si>
  <si>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</si>
  <si>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</si>
  <si>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</si>
  <si>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</si>
  <si>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</si>
  <si>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</si>
  <si>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</si>
  <si>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</si>
  <si>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</si>
  <si>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</si>
  <si>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</si>
  <si>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</si>
  <si>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</si>
  <si>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</si>
  <si>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</si>
  <si>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</si>
  <si>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</si>
  <si>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</si>
  <si>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</si>
  <si>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</si>
  <si>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</si>
  <si>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</si>
  <si>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</si>
  <si>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</si>
  <si>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</si>
  <si>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</si>
  <si>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</si>
  <si>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</si>
  <si>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</si>
  <si>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</si>
  <si>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</si>
  <si>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</si>
  <si>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</si>
  <si>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</si>
  <si>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</si>
  <si>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</si>
  <si>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</si>
  <si>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</si>
  <si>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</si>
  <si>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</si>
  <si>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</si>
  <si>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</si>
  <si>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</si>
  <si>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</si>
  <si>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</si>
  <si>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</si>
  <si>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</si>
  <si>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</si>
  <si>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</si>
  <si>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</si>
  <si>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</si>
  <si>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</si>
  <si>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</si>
  <si>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</si>
  <si>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</si>
  <si>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</si>
  <si>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</si>
  <si>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</si>
  <si>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</si>
  <si>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</si>
  <si>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</si>
  <si>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</si>
  <si>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</si>
  <si>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</si>
  <si>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</si>
  <si>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</si>
  <si>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</si>
  <si>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</si>
  <si>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</si>
  <si>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</si>
  <si>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</si>
  <si>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</si>
  <si>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</si>
  <si>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</si>
  <si>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</si>
  <si>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</si>
  <si>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</si>
  <si>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</si>
  <si>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</si>
  <si>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</si>
  <si>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</si>
  <si>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</si>
  <si>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</si>
  <si>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</si>
  <si>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</si>
  <si>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</si>
  <si>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</si>
  <si>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</si>
  <si>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</si>
  <si>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</si>
  <si>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</si>
  <si>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</si>
  <si>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</si>
  <si>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</si>
  <si>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</si>
  <si>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</si>
  <si>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</si>
  <si>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</si>
  <si>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</si>
  <si>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</si>
  <si>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</si>
  <si>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</si>
  <si>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</si>
  <si>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</si>
  <si>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</si>
  <si>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</si>
  <si>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</si>
  <si>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</si>
  <si>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</si>
  <si>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</si>
  <si>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</si>
  <si>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</si>
  <si>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</si>
  <si>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</si>
  <si>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</si>
  <si>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</si>
  <si>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</si>
  <si>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</si>
  <si>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</si>
  <si>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</si>
  <si>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</si>
  <si>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</si>
  <si>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</si>
  <si>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</si>
  <si>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</si>
  <si>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</si>
  <si>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</si>
  <si>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</si>
  <si>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</si>
  <si>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</si>
  <si>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</si>
  <si>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</si>
  <si>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</si>
  <si>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</si>
  <si>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</si>
  <si>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</si>
  <si>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</si>
  <si>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</si>
  <si>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</si>
  <si>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</si>
  <si>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</si>
  <si>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</si>
  <si>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</si>
  <si>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</si>
  <si>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</si>
  <si>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</si>
  <si>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</si>
  <si>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</si>
  <si>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</si>
  <si>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</si>
  <si>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</si>
  <si>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</si>
  <si>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</si>
  <si>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</si>
  <si>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</si>
  <si>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</si>
  <si>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</si>
  <si>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</si>
  <si>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</si>
  <si>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</si>
  <si>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</si>
  <si>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</si>
  <si>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</si>
  <si>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</si>
  <si>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</si>
  <si>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</si>
  <si>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</si>
  <si>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</si>
  <si>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</si>
  <si>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</si>
  <si>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</si>
  <si>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</si>
  <si>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</si>
  <si>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</si>
  <si>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</si>
  <si>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</si>
  <si>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</si>
  <si>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</si>
  <si>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</si>
  <si>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</si>
  <si>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</si>
  <si>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</si>
  <si>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</si>
  <si>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</si>
  <si>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</si>
  <si>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</si>
  <si>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</si>
  <si>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</si>
  <si>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</si>
  <si>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</si>
  <si>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</si>
  <si>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MELI US 02/20/26 C2150 Equity</t>
  </si>
  <si>
    <t>MELI US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</si>
  <si>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</si>
  <si>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</si>
  <si>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</si>
  <si>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</si>
  <si>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</si>
  <si>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</si>
  <si>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</si>
  <si>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</si>
  <si>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</si>
  <si>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</si>
  <si>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</si>
  <si>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</si>
  <si>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</si>
  <si>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</si>
  <si>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</si>
  <si>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</si>
  <si>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</si>
  <si>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</si>
  <si>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</si>
  <si>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</si>
  <si>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</si>
  <si>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</si>
  <si>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</si>
  <si>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</si>
  <si>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</si>
  <si>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</si>
  <si>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</si>
  <si>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</si>
  <si>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</si>
  <si>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</si>
  <si>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</si>
  <si>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</si>
  <si>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</si>
  <si>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</si>
  <si>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</si>
  <si>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</si>
  <si>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</si>
  <si>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</si>
  <si>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</si>
  <si>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</si>
  <si>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</si>
  <si>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</si>
  <si>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</si>
  <si>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</si>
  <si>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</si>
  <si>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</si>
  <si>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</si>
  <si>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</si>
  <si>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</si>
  <si>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</si>
  <si>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</si>
  <si>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EUR Equity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</si>
  <si>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</si>
  <si>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</si>
  <si>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</si>
  <si>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</si>
  <si>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</si>
  <si>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</si>
  <si>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</si>
  <si>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</si>
  <si>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</si>
  <si>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</si>
  <si>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02/20/26 P605</t>
  </si>
  <si>
    <t>QQQ US 02/20/26 P590</t>
  </si>
  <si>
    <t>NVDA US 03/20/26 C200</t>
  </si>
  <si>
    <t>NVDA US 03/20/26 C220</t>
  </si>
  <si>
    <t>AMZN US 07/17/26 P180</t>
  </si>
  <si>
    <t>AMZN US 07/17/26 C240</t>
  </si>
  <si>
    <t>CSCO US 07/17/26 C95</t>
  </si>
  <si>
    <t>CSCO US 07/17/26 C100</t>
  </si>
  <si>
    <t>AKAM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</si>
  <si>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</si>
  <si>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</si>
  <si>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</si>
  <si>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</si>
  <si>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</si>
  <si>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</si>
  <si>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</si>
  <si>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</si>
  <si>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</si>
  <si>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</si>
  <si>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</si>
  <si>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</si>
  <si>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</si>
  <si>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</si>
  <si>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</si>
  <si>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</si>
  <si>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</si>
  <si>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</si>
  <si>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3/20/2026</t>
  </si>
  <si>
    <t>2/20/2026</t>
  </si>
  <si>
    <t>2/13/2026</t>
  </si>
  <si>
    <t>QQQ US 02/20/26 P600 Equity</t>
  </si>
  <si>
    <t>QQQ US 02/27/26 P590 Equity</t>
  </si>
  <si>
    <t>QQQ US 02/27/26 P580 Equity</t>
  </si>
  <si>
    <t>6/19/2026</t>
  </si>
  <si>
    <t>3/18/2026</t>
  </si>
  <si>
    <t>NFLX 4.90% 08/15/34</t>
  </si>
  <si>
    <t xml:space="preserve">                                      </t>
  </si>
  <si>
    <t>AVGO US 02/27/26 C350</t>
  </si>
  <si>
    <t>Y</t>
  </si>
  <si>
    <t>CME Exchange Adjustment_</t>
  </si>
  <si>
    <t>SWAP 005935 KS 20FEB2026 20APR2026 79.191</t>
  </si>
  <si>
    <t>KKR DIVIDEND_</t>
  </si>
  <si>
    <t>7487.249</t>
  </si>
  <si>
    <t>#N/A N/A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</si>
  <si>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</si>
  <si>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</si>
  <si>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</si>
  <si>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</si>
  <si>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</si>
  <si>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</si>
  <si>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</si>
  <si>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</si>
  <si>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</si>
  <si>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</si>
  <si>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</si>
  <si>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</si>
  <si>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</si>
  <si>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</si>
  <si>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</si>
  <si>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</si>
  <si>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490</t>
  </si>
  <si>
    <t>455</t>
  </si>
  <si>
    <t>465</t>
  </si>
  <si>
    <t>80</t>
  </si>
  <si>
    <t>90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</si>
  <si>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</si>
  <si>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</si>
  <si>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</si>
  <si>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</si>
  <si>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</si>
  <si>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</si>
  <si>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</si>
  <si>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</si>
  <si>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</si>
  <si>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</si>
  <si>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</si>
  <si>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</si>
  <si>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</si>
  <si>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330</t>
  </si>
  <si>
    <t>570</t>
  </si>
  <si>
    <t>340</t>
  </si>
  <si>
    <t>380</t>
  </si>
  <si>
    <t>35</t>
  </si>
  <si>
    <t>115</t>
  </si>
  <si>
    <t>105</t>
  </si>
  <si>
    <t>500</t>
  </si>
  <si>
    <t>70</t>
  </si>
  <si>
    <t>670</t>
  </si>
  <si>
    <t>245</t>
  </si>
  <si>
    <t>1000</t>
  </si>
  <si>
    <t>420</t>
  </si>
  <si>
    <t>37</t>
  </si>
  <si>
    <t>50</t>
  </si>
  <si>
    <t>60</t>
  </si>
  <si>
    <t>40</t>
  </si>
  <si>
    <t>475</t>
  </si>
  <si>
    <t>61</t>
  </si>
  <si>
    <t>65</t>
  </si>
  <si>
    <t>700</t>
  </si>
  <si>
    <t>280</t>
  </si>
  <si>
    <t>2150</t>
  </si>
  <si>
    <t>235</t>
  </si>
  <si>
    <t>720</t>
  </si>
  <si>
    <t>100</t>
  </si>
  <si>
    <t>95</t>
  </si>
  <si>
    <t>605</t>
  </si>
  <si>
    <t>240</t>
  </si>
  <si>
    <t>180</t>
  </si>
  <si>
    <t>220</t>
  </si>
  <si>
    <t>AVGO US 02/27/26 C350 Equity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</si>
  <si>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</si>
  <si>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</si>
  <si>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</si>
  <si>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</si>
  <si>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</si>
  <si>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</si>
  <si>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</si>
  <si>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</si>
  <si>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</si>
  <si>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</si>
  <si>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</si>
  <si>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</si>
  <si>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</si>
  <si>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</si>
  <si>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</si>
  <si>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</si>
  <si>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</si>
  <si>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</si>
  <si>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</si>
  <si>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</si>
  <si>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</si>
  <si>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54.50</t>
  </si>
  <si>
    <t>47.00</t>
  </si>
  <si>
    <t>50.50</t>
  </si>
  <si>
    <t>25.31</t>
  </si>
  <si>
    <t>21.31</t>
  </si>
  <si>
    <t>23.31</t>
  </si>
  <si>
    <t>75.90</t>
  </si>
  <si>
    <t>80.90</t>
  </si>
  <si>
    <t>14.92</t>
  </si>
  <si>
    <t>161000</t>
  </si>
  <si>
    <t>Price not found.</t>
  </si>
  <si>
    <t>108</t>
  </si>
  <si>
    <t>113</t>
  </si>
  <si>
    <t>114</t>
  </si>
  <si>
    <t>30.14</t>
  </si>
  <si>
    <t>25.89</t>
  </si>
  <si>
    <t>28.14</t>
  </si>
  <si>
    <t>163000</t>
  </si>
  <si>
    <t>34.15</t>
  </si>
  <si>
    <t>43.25</t>
  </si>
  <si>
    <t>46.25</t>
  </si>
  <si>
    <t>42.50</t>
  </si>
  <si>
    <t>46.50</t>
  </si>
  <si>
    <t>40.94</t>
  </si>
  <si>
    <t>42.88</t>
  </si>
  <si>
    <t>120</t>
  </si>
  <si>
    <t>77.90</t>
  </si>
  <si>
    <t>82.90</t>
  </si>
  <si>
    <t>14.67</t>
  </si>
  <si>
    <t>22.81</t>
  </si>
  <si>
    <t>12.48</t>
  </si>
  <si>
    <t>13.23</t>
  </si>
  <si>
    <t>34.63</t>
  </si>
  <si>
    <t>27.05</t>
  </si>
  <si>
    <t>22.39</t>
  </si>
  <si>
    <t>24.84</t>
  </si>
  <si>
    <t>7.03</t>
  </si>
  <si>
    <t>7.83</t>
  </si>
  <si>
    <t>17.67</t>
  </si>
  <si>
    <t>18.01</t>
  </si>
  <si>
    <t>45.5</t>
  </si>
  <si>
    <t>49.5</t>
  </si>
  <si>
    <t>18.87</t>
  </si>
  <si>
    <t>30.64</t>
  </si>
  <si>
    <t>26.64</t>
  </si>
  <si>
    <t>28.64</t>
  </si>
  <si>
    <t>53.54</t>
  </si>
  <si>
    <t>45.54</t>
  </si>
  <si>
    <t>49.29</t>
  </si>
  <si>
    <t>7.37</t>
  </si>
  <si>
    <t>6.17</t>
  </si>
  <si>
    <t>6.77</t>
  </si>
  <si>
    <t>15.20</t>
  </si>
  <si>
    <t>12.70</t>
  </si>
  <si>
    <t>13.70</t>
  </si>
  <si>
    <t>81.18</t>
  </si>
  <si>
    <t>86.18</t>
  </si>
  <si>
    <t>14.48</t>
  </si>
  <si>
    <t>12.23</t>
  </si>
  <si>
    <t>14.91</t>
  </si>
  <si>
    <t>16.91</t>
  </si>
  <si>
    <t>QQQ US 02/25/26 P590</t>
  </si>
  <si>
    <t>QQQ US 02/25/26 P595</t>
  </si>
  <si>
    <t>SMH US 02/27/26 P400</t>
  </si>
  <si>
    <t>SOXX US 02/27/26 P347.5</t>
  </si>
  <si>
    <t>QQQ US 02/27/26 P595</t>
  </si>
  <si>
    <t>JETS US 02/27/26 P25</t>
  </si>
  <si>
    <t>AF1 FP 03/20/26 P11.5</t>
  </si>
  <si>
    <t>LHA GR 03/20/26 P8.2</t>
  </si>
  <si>
    <t>JETS US 03/20/26 P26</t>
  </si>
  <si>
    <t>QQQ US 02/25/26 C620</t>
  </si>
  <si>
    <t>QQQ US 02/25/26 C615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</si>
</sst>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name val="Calibri"/>
      <family val="2"/>
    </font>
    <font>
      <sz val="10"/>
      <color rgb="FF9C0006"/>
      <name val="Calibri"/>
      <family val="2"/>
    </font>
    <font>
      <sz val="11"/>
      <color rgb="FF000000"/>
      <name val="Aptos Narrow"/>
      <family val="2"/>
    </font>
    <font>
      <b/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100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4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197" fontId="0" fillId="0" borderId="0" xfId="0" applyNumberFormat="1"/>
    <xf numFmtId="0" fontId="101" fillId="0" borderId="1" xfId="0" applyFont="1" applyBorder="1" applyAlignment="1">
      <alignment horizontal="left"/>
    </xf>
    <xf numFmtId="0" fontId="101" fillId="0" borderId="19" xfId="0" applyFont="1" applyBorder="1" applyAlignment="1">
      <alignment horizontal="center"/>
    </xf>
    <xf numFmtId="0" fontId="101" fillId="0" borderId="0" xfId="0" applyFont="1" applyAlignment="1">
      <alignment horizontal="center"/>
    </xf>
    <xf numFmtId="0" fontId="101" fillId="0" borderId="0" xfId="0" applyFont="1"/>
    <xf numFmtId="0" fontId="102" fillId="0" borderId="0" xfId="0" applyFont="1"/>
    <xf numFmtId="0" fontId="101" fillId="91" borderId="0" xfId="0" applyFont="1" applyFill="1" applyAlignment="1">
      <alignment horizontal="center"/>
    </xf>
    <xf numFmtId="0" fontId="103" fillId="92" borderId="18" xfId="0" applyFont="1" applyFill="1" applyBorder="1" applyAlignment="1">
      <alignment horizontal="center"/>
    </xf>
    <xf numFmtId="0" fontId="103" fillId="92" borderId="1" xfId="0" applyFont="1" applyFill="1" applyBorder="1" applyAlignment="1">
      <alignment horizontal="center"/>
    </xf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0" fontId="101" fillId="90" borderId="0" xfId="0" applyFont="1" applyFill="1" applyAlignment="1">
      <alignment horizontal="center"/>
    </xf>
    <xf numFmtId="166" fontId="0" fillId="0" borderId="0" xfId="190" applyNumberFormat="1" applyFont="1" applyAlignment="1"/>
    <xf numFmtId="166" fontId="0" fillId="2" borderId="0" xfId="190" applyNumberFormat="1" applyFont="1" applyFill="1" applyAlignment="1"/>
    <xf numFmtId="166" fontId="0" fillId="0" borderId="7" xfId="190" applyNumberFormat="1" applyFont="1" applyBorder="1" applyAlignment="1"/>
    <xf numFmtId="166" fontId="0" fillId="0" borderId="4" xfId="190" applyNumberFormat="1" applyFont="1" applyBorder="1" applyAlignment="1"/>
    <xf numFmtId="166" fontId="0" fillId="0" borderId="48" xfId="190" applyNumberFormat="1" applyFont="1" applyBorder="1" applyAlignment="1"/>
    <xf numFmtId="0" fontId="0" fillId="0" borderId="0" xfId="0" quotePrefix="1"/>
    <xf numFmtId="166" fontId="0" fillId="0" borderId="0" xfId="190" applyNumberFormat="1" applyFont="1" applyFill="1" applyAlignment="1"/>
    <xf numFmtId="172" fontId="0" fillId="11" borderId="0" xfId="1" applyNumberFormat="1" applyFont="1" applyFill="1"/>
    <xf numFmtId="0" fontId="0" fillId="11" borderId="0" xfId="0" applyFill="1"/>
    <xf numFmtId="10" fontId="0" fillId="11" borderId="0" xfId="1" applyNumberFormat="1" applyFont="1" applyFill="1"/>
    <xf numFmtId="4" fontId="0" fillId="11" borderId="0" xfId="190" applyFont="1" applyFill="1"/>
    <xf numFmtId="4" fontId="24" fillId="11" borderId="0" xfId="190" applyFont="1" applyFill="1"/>
    <xf numFmtId="4" fontId="82" fillId="11" borderId="0" xfId="190" applyFont="1" applyFill="1"/>
    <xf numFmtId="9" fontId="0" fillId="11" borderId="0" xfId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4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169" fontId="0" fillId="11" borderId="0" xfId="190" applyNumberFormat="1" applyFont="1" applyFill="1"/>
    <xf numFmtId="2" fontId="0" fillId="11" borderId="0" xfId="0" applyNumberFormat="1" applyFill="1"/>
    <xf numFmtId="166" fontId="0" fillId="0" borderId="0" xfId="190" applyNumberFormat="1" applyFont="1" applyBorder="1" applyAlignment="1"/>
    <xf numFmtId="43" fontId="0" fillId="0" borderId="60" xfId="190" applyNumberFormat="1" applyFont="1" applyFill="1" applyBorder="1" applyAlignment="1">
      <alignment horizontal="right"/>
    </xf>
    <xf numFmtId="14" fontId="12" fillId="3" borderId="0" xfId="0" applyNumberFormat="1" applyFont="1" applyFill="1" applyAlignment="1">
      <alignment horizontal="center"/>
    </xf>
    <xf numFmtId="0" fontId="105" fillId="94" borderId="52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89" fillId="85" borderId="0" xfId="0" applyFont="1" applyFill="1" applyAlignment="1">
      <alignment horizontal="center"/>
    </xf>
    <xf numFmtId="0" fontId="105" fillId="93" borderId="53" xfId="0" applyFont="1" applyFill="1" applyBorder="1" applyAlignment="1">
      <alignment horizontal="left"/>
    </xf>
    <xf numFmtId="0" fontId="105" fillId="95" borderId="54" xfId="0" applyFont="1" applyFill="1" applyBorder="1" applyAlignment="1">
      <alignment horizontal="center"/>
    </xf>
    <xf numFmtId="0" fontId="105" fillId="95" borderId="55" xfId="0" applyFont="1" applyFill="1" applyBorder="1" applyAlignment="1">
      <alignment horizontal="center"/>
    </xf>
    <xf numFmtId="0" fontId="105" fillId="95" borderId="52" xfId="0" applyFont="1" applyFill="1" applyBorder="1" applyAlignment="1">
      <alignment horizontal="center"/>
    </xf>
    <xf numFmtId="0" fontId="105" fillId="95" borderId="56" xfId="0" applyFont="1" applyFill="1" applyBorder="1" applyAlignment="1">
      <alignment horizontal="center"/>
    </xf>
    <xf numFmtId="0" fontId="105" fillId="95" borderId="57" xfId="0" applyFont="1" applyFill="1" applyBorder="1" applyAlignment="1">
      <alignment horizontal="center"/>
    </xf>
    <xf numFmtId="0" fontId="105" fillId="95" borderId="58" xfId="0" applyFont="1" applyFill="1" applyBorder="1" applyAlignment="1">
      <alignment horizontal="center"/>
    </xf>
    <xf numFmtId="0" fontId="105" fillId="95" borderId="59" xfId="0" applyFont="1" applyFill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2" fillId="0" borderId="19" xfId="0" applyFont="1" applyBorder="1" applyAlignment="1">
      <alignment horizontal="center"/>
    </xf>
    <xf numFmtId="2" fontId="12" fillId="89" borderId="0" xfId="0" applyNumberFormat="1" applyFont="1" applyFill="1" applyAlignment="1">
      <alignment horizontal="center"/>
    </xf>
    <xf numFmtId="2" fontId="12" fillId="89" borderId="1" xfId="0" applyNumberFormat="1" applyFont="1" applyFill="1" applyBorder="1" applyAlignment="1">
      <alignment horizontal="center"/>
    </xf>
    <xf numFmtId="182" fontId="12" fillId="89" borderId="0" xfId="0" applyNumberFormat="1" applyFont="1" applyFill="1" applyAlignment="1">
      <alignment horizontal="center"/>
    </xf>
    <xf numFmtId="0" fontId="24" fillId="0" borderId="0" xfId="0" applyFont="1"/>
    <xf numFmtId="0" fontId="12" fillId="2" borderId="0" xfId="0" applyFont="1" applyFill="1" applyAlignment="1">
      <alignment horizontal="center"/>
    </xf>
    <xf numFmtId="2" fontId="12" fillId="2" borderId="18" xfId="0" applyNumberFormat="1" applyFont="1" applyFill="1" applyBorder="1" applyAlignment="1">
      <alignment horizontal="center"/>
    </xf>
    <xf numFmtId="2" fontId="12" fillId="2" borderId="1" xfId="0" applyNumberFormat="1" applyFont="1" applyFill="1" applyBorder="1" applyAlignment="1">
      <alignment horizontal="center"/>
    </xf>
    <xf numFmtId="0" fontId="12" fillId="12" borderId="0" xfId="0" applyFont="1" applyFill="1" applyAlignment="1">
      <alignment horizontal="center"/>
    </xf>
    <xf numFmtId="0" fontId="82" fillId="0" borderId="0" xfId="0" applyFont="1"/>
    <xf numFmtId="0" fontId="12" fillId="8" borderId="0" xfId="0" applyFont="1" applyFill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6" fillId="2" borderId="0" xfId="0" applyFont="1" applyFill="1" applyAlignment="1">
      <alignment horizontal="center"/>
    </xf>
    <xf numFmtId="0" fontId="106" fillId="0" borderId="0" xfId="0" applyFont="1" applyAlignment="1">
      <alignment horizontal="center"/>
    </xf>
    <xf numFmtId="2" fontId="106" fillId="2" borderId="18" xfId="0" applyNumberFormat="1" applyFont="1" applyFill="1" applyBorder="1" applyAlignment="1">
      <alignment horizontal="center"/>
    </xf>
    <xf numFmtId="2" fontId="106" fillId="2" borderId="1" xfId="0" applyNumberFormat="1" applyFont="1" applyFill="1" applyBorder="1" applyAlignment="1">
      <alignment horizontal="center"/>
    </xf>
    <xf numFmtId="14" fontId="106" fillId="3" borderId="0" xfId="0" applyNumberFormat="1" applyFont="1" applyFill="1" applyAlignment="1">
      <alignment horizontal="center"/>
    </xf>
    <xf numFmtId="0" fontId="106" fillId="0" borderId="19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82" fillId="0" borderId="0" xfId="0" applyFont="1" applyAlignment="1">
      <alignment horizontal="center"/>
    </xf>
    <xf numFmtId="0" fontId="105" fillId="93" borderId="52" xfId="0" applyFont="1" applyFill="1" applyBorder="1" applyAlignment="1">
      <alignment horizontal="center"/>
    </xf>
    <xf numFmtId="0" fontId="12" fillId="0" borderId="0" xfId="0" quotePrefix="1" applyFont="1"/>
    <xf numFmtId="0" fontId="106" fillId="0" borderId="0" xfId="0" quotePrefix="1" applyFont="1"/>
    <xf numFmtId="43" fontId="0" fillId="2" borderId="19" xfId="190" applyNumberFormat="1" applyFont="1" applyFill="1" applyBorder="1" applyAlignment="1">
      <alignment horizontal="right"/>
    </xf>
    <xf numFmtId="171" fontId="0" fillId="2" borderId="0" xfId="190" applyNumberFormat="1" applyFont="1" applyFill="1"/>
    <xf numFmtId="170" fontId="84" fillId="0" borderId="0" xfId="0" applyNumberFormat="1" applyFont="1" applyAlignment="1">
      <alignment horizontal="center" vertical="center" wrapText="1"/>
    </xf>
    <xf numFmtId="172" fontId="83" fillId="0" borderId="0" xfId="0" applyNumberFormat="1" applyFont="1"/>
    <xf numFmtId="0" fontId="83" fillId="0" borderId="0" xfId="0" applyFont="1" applyAlignment="1">
      <alignment horizontal="left" indent="1"/>
    </xf>
    <xf numFmtId="170" fontId="83" fillId="0" borderId="0" xfId="0" applyNumberFormat="1" applyFont="1"/>
    <xf numFmtId="10" fontId="83" fillId="0" borderId="0" xfId="0" applyNumberFormat="1" applyFont="1" applyAlignment="1">
      <alignment horizontal="center" vertical="center" wrapText="1"/>
    </xf>
    <xf numFmtId="0" fontId="0" fillId="2" borderId="0" xfId="190" applyNumberFormat="1" applyFont="1" applyFill="1"/>
    <xf numFmtId="168" fontId="2" fillId="0" borderId="0" xfId="190" applyNumberFormat="1" applyFont="1"/>
    <xf numFmtId="173" fontId="2" fillId="0" borderId="0" xfId="1" applyNumberFormat="1" applyFont="1"/>
    <xf numFmtId="3" fontId="0" fillId="11" borderId="0" xfId="190" applyNumberFormat="1" applyFont="1" applyFill="1"/>
    <xf numFmtId="0" fontId="0" fillId="11" borderId="0" xfId="0" applyFill="1" applyAlignment="1">
      <alignment horizontal="center"/>
    </xf>
    <xf numFmtId="166" fontId="0" fillId="11" borderId="0" xfId="190" applyNumberFormat="1" applyFont="1" applyFill="1" applyAlignment="1"/>
    <xf numFmtId="10" fontId="0" fillId="11" borderId="1" xfId="1" applyNumberFormat="1" applyFont="1" applyFill="1" applyBorder="1"/>
    <xf numFmtId="43" fontId="0" fillId="11" borderId="19" xfId="190" applyNumberFormat="1" applyFont="1" applyFill="1" applyBorder="1" applyAlignment="1">
      <alignment horizontal="right"/>
    </xf>
    <xf numFmtId="168" fontId="0" fillId="11" borderId="0" xfId="190" applyNumberFormat="1" applyFont="1" applyFill="1"/>
    <xf numFmtId="166" fontId="0" fillId="11" borderId="1" xfId="190" applyNumberFormat="1" applyFont="1" applyFill="1" applyBorder="1"/>
    <xf numFmtId="196" fontId="0" fillId="11" borderId="0" xfId="1" applyNumberFormat="1" applyFont="1" applyFill="1"/>
    <xf numFmtId="170" fontId="0" fillId="11" borderId="1" xfId="190" applyNumberFormat="1" applyFont="1" applyFill="1" applyBorder="1"/>
    <xf numFmtId="166" fontId="0" fillId="11" borderId="0" xfId="0" applyNumberFormat="1" applyFill="1"/>
    <xf numFmtId="173" fontId="0" fillId="11" borderId="0" xfId="1" applyNumberFormat="1" applyFont="1" applyFill="1"/>
    <xf numFmtId="3" fontId="0" fillId="11" borderId="0" xfId="190" applyNumberFormat="1" applyFont="1" applyFill="1" applyAlignment="1">
      <alignment horizontal="center"/>
    </xf>
    <xf numFmtId="170" fontId="0" fillId="11" borderId="0" xfId="1" applyNumberFormat="1" applyFont="1" applyFill="1"/>
    <xf numFmtId="170" fontId="0" fillId="11" borderId="0" xfId="190" applyNumberFormat="1" applyFont="1" applyFill="1" applyBorder="1"/>
    <xf numFmtId="10" fontId="0" fillId="11" borderId="0" xfId="1" applyNumberFormat="1" applyFont="1" applyFill="1" applyBorder="1"/>
    <xf numFmtId="195" fontId="0" fillId="11" borderId="0" xfId="0" applyNumberFormat="1" applyFill="1"/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/>
    <xf numFmtId="195" fontId="0" fillId="0" borderId="0" xfId="0" applyNumberFormat="1" applyFill="1"/>
    <xf numFmtId="3" fontId="0" fillId="13" borderId="0" xfId="190" applyNumberFormat="1" applyFont="1" applyFill="1"/>
    <xf numFmtId="172" fontId="0" fillId="13" borderId="0" xfId="1" applyNumberFormat="1" applyFont="1" applyFill="1"/>
    <xf numFmtId="0" fontId="0" fillId="13" borderId="0" xfId="0" applyFill="1"/>
    <xf numFmtId="0" fontId="0" fillId="13" borderId="0" xfId="0" applyFill="1" applyAlignment="1">
      <alignment horizontal="center"/>
    </xf>
    <xf numFmtId="166" fontId="0" fillId="13" borderId="0" xfId="190" applyNumberFormat="1" applyFont="1" applyFill="1"/>
    <xf numFmtId="166" fontId="0" fillId="13" borderId="0" xfId="190" applyNumberFormat="1" applyFont="1" applyFill="1" applyAlignment="1"/>
    <xf numFmtId="43" fontId="0" fillId="13" borderId="0" xfId="190" applyNumberFormat="1" applyFont="1" applyFill="1"/>
    <xf numFmtId="10" fontId="0" fillId="13" borderId="1" xfId="1" applyNumberFormat="1" applyFont="1" applyFill="1" applyBorder="1"/>
    <xf numFmtId="43" fontId="0" fillId="13" borderId="19" xfId="190" applyNumberFormat="1" applyFont="1" applyFill="1" applyBorder="1" applyAlignment="1">
      <alignment horizontal="right"/>
    </xf>
    <xf numFmtId="168" fontId="0" fillId="13" borderId="0" xfId="190" applyNumberFormat="1" applyFont="1" applyFill="1"/>
    <xf numFmtId="166" fontId="0" fillId="13" borderId="1" xfId="190" applyNumberFormat="1" applyFont="1" applyFill="1" applyBorder="1"/>
    <xf numFmtId="196" fontId="0" fillId="13" borderId="0" xfId="1" applyNumberFormat="1" applyFont="1" applyFill="1"/>
    <xf numFmtId="170" fontId="0" fillId="13" borderId="1" xfId="190" applyNumberFormat="1" applyFont="1" applyFill="1" applyBorder="1"/>
    <xf numFmtId="10" fontId="0" fillId="13" borderId="0" xfId="1" applyNumberFormat="1" applyFont="1" applyFill="1"/>
    <xf numFmtId="166" fontId="0" fillId="13" borderId="0" xfId="0" applyNumberFormat="1" applyFill="1"/>
    <xf numFmtId="173" fontId="0" fillId="13" borderId="0" xfId="1" applyNumberFormat="1" applyFont="1" applyFill="1"/>
    <xf numFmtId="3" fontId="0" fillId="13" borderId="0" xfId="190" applyNumberFormat="1" applyFont="1" applyFill="1" applyAlignment="1">
      <alignment horizontal="center"/>
    </xf>
    <xf numFmtId="170" fontId="0" fillId="13" borderId="0" xfId="1" applyNumberFormat="1" applyFont="1" applyFill="1"/>
    <xf numFmtId="4" fontId="0" fillId="13" borderId="0" xfId="190" applyFont="1" applyFill="1"/>
    <xf numFmtId="170" fontId="0" fillId="13" borderId="0" xfId="190" applyNumberFormat="1" applyFont="1" applyFill="1" applyBorder="1"/>
    <xf numFmtId="10" fontId="0" fillId="13" borderId="0" xfId="1" applyNumberFormat="1" applyFont="1" applyFill="1" applyBorder="1"/>
    <xf numFmtId="195" fontId="0" fillId="13" borderId="0" xfId="0" applyNumberFormat="1" applyFill="1"/>
  </cellXfs>
  <cellStyles count="21007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59" xfId="21006" xr:uid="{8B2AD464-36DB-4E63-8BBB-94DEA40CEE01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0.54245376586914063</v>
        <stp/>
        <stp>BDP|10791202107153378113|22</stp>
        <stp>LITE US 06/18/26 C720 Equity</stp>
        <stp>DELTA_MID_RT</stp>
        <tr r="AF15" s="2"/>
      </tp>
      <tp>
        <v>4.9620471894741058E-2</v>
        <stp/>
        <stp>BDP|15245838115152511120|22</stp>
        <stp>LITE US 02/20/26 C690 Equity</stp>
        <stp>DELTA_MID_RT</stp>
        <tr r="W7" s="89"/>
      </tp>
      <tp>
        <v>-0.37158763408660889</v>
        <stp/>
        <stp>BDP|3111986228304051033|22</stp>
        <stp>SOXX US 02/27/26 P347.5 Equity</stp>
        <stp>DELTA_MID_RT</stp>
        <tr r="W36" s="89"/>
      </tp>
      <tp>
        <v>408.30500000000001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7" s="2"/>
      </tp>
      <tp>
        <v>-0.24254418909549713</v>
        <stp/>
        <stp>BDP|13093442189291786816|22</stp>
        <stp>AMZN US 07/17/26 P180 Equity</stp>
        <stp>DELTA_MID_RT</stp>
        <tr r="AF5" s="2"/>
        <tr r="W105" s="89"/>
      </tp>
      <tp t="s">
        <v>#N/A Real Time</v>
        <stp/>
        <stp>BDP|9106857053131827566|22</stp>
        <stp>SPXW US 12/31/25 C6950 Index</stp>
        <stp>DELTA_MID_RT</stp>
        <tr r="W68" s="89"/>
      </tp>
      <tp>
        <v>5.22</v>
        <stp/>
        <stp>BDP|4964852036923624875|22</stp>
        <stp>NVDA US 03/20/26 C200 Equity</stp>
        <stp>mid</stp>
        <tr r="L22" s="2"/>
      </tp>
      <tp>
        <v>0.32262322306632996</v>
        <stp/>
        <stp>BDP|16080044180315030458|22</stp>
        <stp>META US 04/17/26 C690 Equity</stp>
        <stp>DELTA_MID_RT</stp>
        <tr r="W77" s="89"/>
      </tp>
      <tp>
        <v>1.4</v>
        <stp/>
        <stp>BDP|3408059478776228087|22</stp>
        <stp>NVDA US 03/20/26 C220 Equity</stp>
        <stp>mid</stp>
        <tr r="L23" s="2"/>
      </tp>
      <tp>
        <v>6867.25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86" s="89"/>
        <tr r="W87" s="89"/>
      </tp>
      <tp t="s">
        <v>#N/A Real Time</v>
        <stp/>
        <stp>BDP|3954062195024173589|22</stp>
        <stp>RTYWU5C3 2425 Index</stp>
        <stp>ask</stp>
        <tr r="L52" s="89"/>
      </tp>
      <tp>
        <v>567000</v>
        <stp/>
        <stp>BDP|16866508691273641435|22</stp>
        <stp>402340 KS Equity</stp>
        <stp>LAST_PRICE</stp>
        <tr r="I27" s="1"/>
      </tp>
      <tp>
        <v>-0.1501581072807312</v>
        <stp/>
        <stp>BDP|2162853239863021436|22</stp>
        <stp>TSM US 06/18/26 C380 Equity</stp>
        <stp>theta_mid_rt</stp>
        <tr r="AN28" s="2"/>
      </tp>
      <tp>
        <v>0.31827220320701599</v>
        <stp/>
        <stp>BDP|10012779820456568860|22</stp>
        <stp>META US 02/27/26 C660 Equity</stp>
        <stp>DELTA_MID_RT</stp>
        <tr r="W88" s="89"/>
      </tp>
      <tp>
        <v>35.33</v>
        <stp/>
        <stp>BDP|4238048935133024019|22</stp>
        <stp>AVGO US 06/18/26 C350 Equity</stp>
        <stp>mid</stp>
        <tr r="L8" s="2"/>
      </tp>
      <tp>
        <v>8</v>
        <stp/>
        <stp>BDP|7463417341903513692|22</stp>
        <stp>AMZN US 07/17/26 P180 Equity</stp>
        <stp>bid</stp>
        <tr r="P5" s="2"/>
        <tr r="K105" s="89"/>
      </tp>
      <tp>
        <v>5.2</v>
        <stp/>
        <stp>BDP|9604112188718859926|22</stp>
        <stp>NVDA US 03/20/26 C200 Equity</stp>
        <stp>bid</stp>
        <tr r="P22" s="2"/>
        <tr r="K13" s="89"/>
      </tp>
      <tp>
        <v>8.0500000000000007</v>
        <stp/>
        <stp>BDP|3678808639218715288|22</stp>
        <stp>AMZN US 07/17/26 P180 Equity</stp>
        <stp>mid</stp>
        <tr r="L5" s="2"/>
      </tp>
      <tp>
        <v>0.1</v>
        <stp/>
        <stp>BDP|8600931655594281031|22</stp>
        <stp>CSCO US 04/17/26 C100 Equity</stp>
        <stp>ask</stp>
        <tr r="Q11" s="2"/>
      </tp>
      <tp t="s">
        <v>#N/A Real Time</v>
        <stp/>
        <stp>BDP|2533983096932488351|22</stp>
        <stp>RTYWU5C3 2425 Index</stp>
        <stp>bid</stp>
        <tr r="K52" s="89"/>
      </tp>
      <tp>
        <v>0.28000000000000003</v>
        <stp/>
        <stp>BDP|3134495704994157257|22</stp>
        <stp>CSCO US 07/17/26 C100 Equity</stp>
        <stp>bid</stp>
        <tr r="P12" s="2"/>
      </tp>
      <tp>
        <v>0.42077633738517761</v>
        <stp/>
        <stp>BDP|13298101022063198194|22</stp>
        <stp>META US 07/17/26 C700 Equity</stp>
        <stp>DELTA_MID_RT</stp>
        <tr r="W79" s="89"/>
      </tp>
      <tp>
        <v>397.935</v>
        <stp/>
        <stp>BDP|274803756834169207|22</stp>
        <stp>MSFT EQUITY</stp>
        <stp>LAST_PRICE</stp>
        <tr r="C7" s="1"/>
      </tp>
      <tp>
        <v>24821.25</v>
        <stp/>
        <stp>BDP|15202915405080361753|22</stp>
        <stp>NQA index</stp>
        <stp>LAST_PRICE</stp>
        <tr r="AG1" s="1"/>
      </tp>
      <tp>
        <v>-0.26900696754455566</v>
        <stp/>
        <stp>BDP|12625852508096869257|22</stp>
        <stp>NFLX US 05/15/26 P70 Equity</stp>
        <stp>DELTA_MID_RT</stp>
        <tr r="AF20" s="2"/>
      </tp>
      <tp>
        <v>0.6</v>
        <stp/>
        <stp>BDP|2776005219137568435|22</stp>
        <stp>CSCO US 07/17/26 C100 Equity</stp>
        <stp>ask</stp>
        <tr r="Q12" s="2"/>
      </tp>
      <tp t="s">
        <v>USD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3" s="2"/>
      </tp>
      <tp>
        <v>-0.15277642011642456</v>
        <stp/>
        <stp>BDP|11588491611239090012|22</stp>
        <stp>JETS US 03/20/26 P26 Equity</stp>
        <stp>DELTA_MID_RT</stp>
        <tr r="W44" s="89"/>
        <tr r="AF24" s="2"/>
      </tp>
      <tp>
        <v>-5.239168182015419E-2</v>
        <stp/>
        <stp>BDP|378959552877824203|22</stp>
        <stp>AMZN US 07/17/26 C240 Equity</stp>
        <stp>theta_mid_rt</stp>
        <tr r="AN4" s="2"/>
      </tp>
      <tp>
        <v>4.05</v>
        <stp/>
        <stp>BDP|3581149707191566687|22</stp>
        <stp>AVGO US 02/27/26 C350 Equity</stp>
        <stp>bid</stp>
        <tr r="P9" s="2"/>
      </tp>
      <tp>
        <v>1.41</v>
        <stp/>
        <stp>BDP|5807117732816914686|22</stp>
        <stp>NVDA US 03/20/26 C220 Equity</stp>
        <stp>ask</stp>
        <tr r="Q23" s="2"/>
        <tr r="L14" s="89"/>
      </tp>
      <tp>
        <v>0.06</v>
        <stp/>
        <stp>BDP|6891644660652723106|22</stp>
        <stp>CSCO US 04/17/26 C100 Equity</stp>
        <stp>bid</stp>
        <tr r="P11" s="2"/>
      </tp>
      <tp>
        <v>-0.3557751476764679</v>
        <stp/>
        <stp>BDP|4054537048936901282|22</stp>
        <stp>QQQ US 02/25/26 C615 Equity</stp>
        <stp>theta_mid_rt</stp>
        <tr r="AN25" s="2"/>
      </tp>
      <tp>
        <v>11.5</v>
        <stp/>
        <stp>BDP|5246680316890063223|22</stp>
        <stp>NVDA US 05/15/26 C200 Equity</stp>
        <stp>bid</stp>
        <tr r="P21" s="2"/>
      </tp>
      <tp>
        <v>23.7</v>
        <stp/>
        <stp>BDP|3590605343208203473|22</stp>
        <stp>META US 07/17/26 C750 Equity</stp>
        <stp>ask</stp>
        <tr r="Q16" s="2"/>
      </tp>
      <tp>
        <v>0.05</v>
        <stp/>
        <stp>BDP|1884526111144918673|22</stp>
        <stp>LITE US 02/20/26 C690 Equity</stp>
        <stp>bid</stp>
        <tr r="K7" s="89"/>
      </tp>
      <tp t="s">
        <v>#N/A Requesting Data...4168005645</v>
        <stp/>
        <stp>BDP|17013938858517156635</stp>
        <tr r="AR13" s="2"/>
      </tp>
      <tp t="s">
        <v>#N/A N/A</v>
        <stp/>
        <stp>BDP|10279292815169732005</stp>
        <tr r="AG27" s="1"/>
      </tp>
      <tp t="s">
        <v>#N/A Requesting Data...4168623129</v>
        <stp/>
        <stp>BDP|15582332073698885344</stp>
        <tr r="G19" s="446"/>
      </tp>
      <tp t="s">
        <v>#N/A N/A</v>
        <stp/>
        <stp>BDP|18146375769712507536</stp>
        <tr r="E2" s="1"/>
      </tp>
      <tp t="s">
        <v>#N/A Requesting Data...4176427176</v>
        <stp/>
        <stp>BDP|10066844572713969664</stp>
        <tr r="AR9" s="2"/>
      </tp>
      <tp t="s">
        <v>#N/A Requesting Data...4248605045</v>
        <stp/>
        <stp>BDP|10639276692284852548</stp>
        <tr r="F28" s="446"/>
      </tp>
      <tp t="s">
        <v>#N/A Requesting Data...4231615724</v>
        <stp/>
        <stp>BDP|13787613079740634862</stp>
        <tr r="C12" s="2"/>
      </tp>
      <tp t="s">
        <v>#N/A N/A</v>
        <stp/>
        <stp>BDP|16988359206909621622</stp>
        <tr r="AB18" s="1"/>
        <tr r="AB17" s="1"/>
        <tr r="AB19" s="1"/>
      </tp>
      <tp t="s">
        <v>#N/A Requesting Data...4277464405</v>
        <stp/>
        <stp>BDP|10749518787913680498</stp>
        <tr r="G41" s="446"/>
      </tp>
      <tp t="s">
        <v>#N/A N/A</v>
        <stp/>
        <stp>BDP|18200647556593243237</stp>
        <tr r="AG30" s="1"/>
      </tp>
      <tp t="s">
        <v>#N/A Requesting Data...4279892460</v>
        <stp/>
        <stp>BDP|17029491200290809912</stp>
        <tr r="O36" s="89"/>
      </tp>
      <tp t="s">
        <v>#N/A Requesting Data...4228072759</v>
        <stp/>
        <stp>BDP|10145867011121078252</stp>
        <tr r="E79" s="89"/>
      </tp>
      <tp t="s">
        <v>#N/A N/A</v>
        <stp/>
        <stp>BDP|12363723043083315837</stp>
        <tr r="R68" s="89"/>
      </tp>
      <tp t="s">
        <v>#N/A Requesting Data...4275509822</v>
        <stp/>
        <stp>BDP|11086842551085825384</stp>
        <tr r="D15" s="2"/>
      </tp>
      <tp t="s">
        <v>#N/A Requesting Data...4217064050</v>
        <stp/>
        <stp>BDP|16345337779170546884</stp>
        <tr r="T25" s="2"/>
        <tr r="O95" s="89"/>
        <tr r="O19" s="89"/>
      </tp>
      <tp t="s">
        <v>#N/A Requesting Data...4266625348</v>
        <stp/>
        <stp>BDP|16761382649589718257</stp>
        <tr r="F27" s="446"/>
      </tp>
      <tp t="s">
        <v>#N/A N/A</v>
        <stp/>
        <stp>BDP|10560430593062313514</stp>
        <tr r="AG39" s="1"/>
      </tp>
      <tp t="s">
        <v>#N/A N/A</v>
        <stp/>
        <stp>BDP|13546818454494181070</stp>
        <tr r="AC39" s="1"/>
      </tp>
      <tp t="b">
        <v>0</v>
        <stp/>
        <stp>BDH|15464971223040443466</stp>
        <tr r="AU8" s="338"/>
      </tp>
      <tp t="b">
        <v>0</v>
        <stp/>
        <stp>BDH|16051659681912176009</stp>
        <tr r="AP10" s="338"/>
      </tp>
      <tp>
        <v>0.46788883209228516</v>
        <stp/>
        <stp>BDP|11754717216942473893|22</stp>
        <stp>INTC US 07/17/26 C50 Equity</stp>
        <stp>DELTA_MID_RT</stp>
        <tr r="AF13" s="2"/>
      </tp>
      <tp t="s">
        <v>#N/A Requesting Data...4219550062</v>
        <stp/>
        <stp>BDP|14708527546846978837</stp>
        <tr r="F22" s="446"/>
      </tp>
      <tp t="s">
        <v>#N/A Requesting Data...4267784314</v>
        <stp/>
        <stp>BDP|17382508591454336498</stp>
        <tr r="F10" s="446"/>
      </tp>
      <tp t="s">
        <v>#N/A N/A</v>
        <stp/>
        <stp>BDP|17953939637996030051</stp>
        <tr r="AI28" s="1"/>
      </tp>
      <tp t="s">
        <v>#N/A Requesting Data...4244797928</v>
        <stp/>
        <stp>BDP|15393992280169008616</stp>
        <tr r="F24" s="446"/>
      </tp>
      <tp t="s">
        <v>#N/A Requesting Data...959104304</v>
        <stp/>
        <stp>BDP|10256865635189905931</stp>
        <tr r="AC21" s="1"/>
        <tr r="D26" s="446"/>
      </tp>
      <tp t="s">
        <v>#N/A Requesting Data...4279486316</v>
        <stp/>
        <stp>BDP|10232111098733952085</stp>
        <tr r="AD14" s="2"/>
      </tp>
      <tp t="s">
        <v>#N/A N/A</v>
        <stp/>
        <stp>BDP|15227860359674919793</stp>
        <tr r="E96" s="89"/>
      </tp>
      <tp t="s">
        <v>#N/A Requesting Data...4268140357</v>
        <stp/>
        <stp>BDP|17408802988725227915</stp>
        <tr r="Z62" s="89"/>
        <tr r="AA62" s="89"/>
      </tp>
      <tp t="s">
        <v>#N/A N/A</v>
        <stp/>
        <stp>BDP|15319109960459527098</stp>
        <tr r="AC21" s="2"/>
        <tr r="AC22" s="2"/>
        <tr r="AC23" s="2"/>
      </tp>
      <tp t="s">
        <v>#N/A Requesting Data...4241970771</v>
        <stp/>
        <stp>BDP|12625403616855824991</stp>
        <tr r="F15" s="446"/>
      </tp>
      <tp t="s">
        <v>#N/A N/A</v>
        <stp/>
        <stp>BDP|10884990929338192894</stp>
        <tr r="K29" s="1"/>
      </tp>
      <tp t="s">
        <v>#N/A Requesting Data...4246533225</v>
        <stp/>
        <stp>BDP|11303103177094040870</stp>
        <tr r="V43" s="89"/>
      </tp>
      <tp t="s">
        <v>#N/A Requesting Data...4285549591</v>
        <stp/>
        <stp>BDP|10865582194811567656</stp>
        <tr r="C78" s="89"/>
      </tp>
      <tp t="s">
        <v>#N/A Requesting Data...4223091897</v>
        <stp/>
        <stp>BDP|15688519024610633913</stp>
        <tr r="C13" s="2"/>
      </tp>
      <tp t="s">
        <v>#N/A Requesting Data...4275598113</v>
        <stp/>
        <stp>BDP|16354487536428919237</stp>
        <tr r="P12" s="338"/>
      </tp>
      <tp t="s">
        <v>#N/A N/A</v>
        <stp/>
        <stp>BDP|12631196112900993923</stp>
        <tr r="AG16" s="1"/>
      </tp>
      <tp t="s">
        <v>#N/A Requesting Data...4227500790</v>
        <stp/>
        <stp>BDP|16382697175628205742</stp>
        <tr r="J1" s="24"/>
        <tr r="K2" s="2"/>
      </tp>
      <tp t="s">
        <v>#N/A N/A</v>
        <stp/>
        <stp>BDP|12568958234819466988</stp>
        <tr r="AI23" s="1"/>
      </tp>
      <tp t="s">
        <v>#N/A N/A</v>
        <stp/>
        <stp>BDP|17730399697900202503</stp>
        <tr r="AF40" s="1"/>
      </tp>
      <tp t="s">
        <v>#N/A N/A</v>
        <stp/>
        <stp>BDP|11826078532009062376</stp>
        <tr r="K37" s="1"/>
      </tp>
      <tp t="s">
        <v>#N/A N/A</v>
        <stp/>
        <stp>BDP|16441706496850628092</stp>
        <tr r="AF30" s="1"/>
      </tp>
      <tp t="s">
        <v>#N/A Requesting Data...4263014416</v>
        <stp/>
        <stp>BDP|15520986271344702744</stp>
        <tr r="C15" s="2"/>
      </tp>
      <tp t="s">
        <v>#N/A Requesting Data...4244779162</v>
        <stp/>
        <stp>BDP|15994141085646062260</stp>
        <tr r="AA7" s="2"/>
      </tp>
      <tp t="s">
        <v>#N/A Requesting Data...4274589501</v>
        <stp/>
        <stp>BDP|10419279402533124916</stp>
        <tr r="D25" s="2"/>
        <tr r="C95" s="89"/>
        <tr r="C19" s="89"/>
      </tp>
      <tp t="s">
        <v>#N/A N/A</v>
        <stp/>
        <stp>BDP|18355353104331140221</stp>
        <tr r="E6" s="1"/>
      </tp>
      <tp t="s">
        <v>#N/A N/A</v>
        <stp/>
        <stp>BDP|15808701373659965426</stp>
        <tr r="J5" s="1"/>
      </tp>
      <tp t="s">
        <v>#N/A Requesting Data...4260351545</v>
        <stp/>
        <stp>BDP|10984584463823555844</stp>
        <tr r="D10" s="2"/>
      </tp>
      <tp t="s">
        <v>#N/A Requesting Data...4290350735</v>
        <stp/>
        <stp>BDP|14077436120512876887</stp>
        <tr r="AH11" s="338"/>
      </tp>
      <tp t="s">
        <v>#N/A N/A</v>
        <stp/>
        <stp>BDP|17639067980584765335</stp>
        <tr r="R36" s="89"/>
      </tp>
      <tp t="s">
        <v>#N/A N/A</v>
        <stp/>
        <stp>BDP|11209184266078842639</stp>
        <tr r="AC20" s="1"/>
      </tp>
      <tp t="s">
        <v>#N/A Requesting Data...4243432934</v>
        <stp/>
        <stp>BDP|14264052336898754717</stp>
        <tr r="T79" s="89"/>
      </tp>
      <tp t="b">
        <v>0</v>
        <stp/>
        <stp>BDH|13752817677197884389</stp>
        <tr r="AS8" s="338"/>
      </tp>
      <tp>
        <v>0.43351873755455017</v>
        <stp/>
        <stp>BDP|10080332628046700882|22</stp>
        <stp>NVDA US 05/15/26 C200 Equity</stp>
        <stp>DELTA_MID_RT</stp>
        <tr r="AF21" s="2"/>
      </tp>
      <tp>
        <v>7.58</v>
        <stp/>
        <stp>BDP|9104155785178681261|22</stp>
        <stp>AMZN US 07/17/26 C240 Equity</stp>
        <stp>mid</stp>
        <tr r="L4" s="2"/>
      </tp>
      <tp t="s">
        <v>#N/A Requesting Data...4291992851</v>
        <stp/>
        <stp>BDP|11522415572249854250</stp>
        <tr r="C25" s="2"/>
      </tp>
      <tp t="s">
        <v>#N/A Requesting Data...4250317163</v>
        <stp/>
        <stp>BDP|10379287684220430311</stp>
        <tr r="F6" s="2"/>
      </tp>
      <tp t="s">
        <v>#N/A Requesting Data...4273719154</v>
        <stp/>
        <stp>BDP|15959271808308527692</stp>
        <tr r="V79" s="89"/>
      </tp>
      <tp t="s">
        <v>#N/A Requesting Data...4271481251</v>
        <stp/>
        <stp>BDP|15503790003338181325</stp>
        <tr r="AA19" s="2"/>
      </tp>
      <tp t="s">
        <v>#N/A Requesting Data...4238008356</v>
        <stp/>
        <stp>BDP|10372265847399603683</stp>
        <tr r="AD12" s="2"/>
      </tp>
      <tp t="s">
        <v>#N/A Requesting Data...4284275309</v>
        <stp/>
        <stp>BDP|16116625899439695927</stp>
        <tr r="AD7" s="2"/>
      </tp>
      <tp t="s">
        <v>#N/A N/A</v>
        <stp/>
        <stp>BDP|15913509287530529158</stp>
        <tr r="AF41" s="1"/>
      </tp>
      <tp t="s">
        <v>#N/A Requesting Data...4274562875</v>
        <stp/>
        <stp>BDP|12248451547969098213</stp>
        <tr r="F26" s="2"/>
      </tp>
      <tp t="s">
        <v>#N/A N/A</v>
        <stp/>
        <stp>BDP|18279909896309755834</stp>
        <tr r="AG14" s="1"/>
      </tp>
      <tp t="s">
        <v>#N/A Requesting Data...4294218451</v>
        <stp/>
        <stp>BDP|12571041380342291138</stp>
        <tr r="F34" s="446"/>
      </tp>
      <tp t="s">
        <v>#N/A N/A</v>
        <stp/>
        <stp>BDP|14378960337990766762</stp>
        <tr r="K32" s="1"/>
      </tp>
      <tp t="s">
        <v>#N/A N/A</v>
        <stp/>
        <stp>BDP|18294824894201725105</stp>
        <tr r="AC13" s="2"/>
      </tp>
      <tp t="s">
        <v>#N/A Requesting Data...4269713326</v>
        <stp/>
        <stp>BDP|16648478878978208488</stp>
        <tr r="O86" s="89"/>
        <tr r="O87" s="89"/>
      </tp>
      <tp t="s">
        <v>#N/A Requesting Data...4276158989</v>
        <stp/>
        <stp>BDP|18096821285957052647</stp>
        <tr r="F18" s="446"/>
      </tp>
      <tp t="s">
        <v>#N/A N/A</v>
        <stp/>
        <stp>BDP|12912684483811638411</stp>
        <tr r="L26" s="1"/>
        <tr r="L27" s="1"/>
        <tr r="L28" s="1"/>
        <tr r="L29" s="1"/>
      </tp>
      <tp t="s">
        <v>#N/A N/A</v>
        <stp/>
        <stp>BDP|15921350059549435346</stp>
        <tr r="AB36" s="89"/>
      </tp>
      <tp t="s">
        <v>#N/A Requesting Data...4275766808</v>
        <stp/>
        <stp>BDP|16080473360335288805</stp>
        <tr r="AF21" s="1"/>
        <tr r="AF9" s="338"/>
      </tp>
      <tp t="s">
        <v>#N/A Requesting Data...4260658856</v>
        <stp/>
        <stp>BDP|10266278304482033950</stp>
        <tr r="AR18" s="2"/>
      </tp>
      <tp t="s">
        <v>#N/A Requesting Data...4275894656</v>
        <stp/>
        <stp>BDP|18082660766744672526</stp>
        <tr r="X10" s="338"/>
      </tp>
      <tp>
        <v>1.8</v>
        <stp/>
        <stp>BDP|7956679718482049249|22</stp>
        <stp>LITE US 02/20/26 C680 Equity</stp>
        <stp>ask</stp>
        <tr r="L8" s="89"/>
      </tp>
      <tp>
        <v>7.5</v>
        <stp/>
        <stp>BDP|5835390435891478673|22</stp>
        <stp>AMZN US 07/17/26 C240 Equity</stp>
        <stp>bid</stp>
        <tr r="P4" s="2"/>
      </tp>
      <tp>
        <v>1.25</v>
        <stp/>
        <stp>BDP|3157958502139968082|22</stp>
        <stp>LITE US 02/20/26 C680 Equity</stp>
        <stp>bid</stp>
        <tr r="K8" s="89"/>
      </tp>
      <tp t="s">
        <v>#N/A Requesting Data...4266156754</v>
        <stp/>
        <stp>BDP|15816931278674113197</stp>
        <tr r="C6" s="2"/>
      </tp>
      <tp t="s">
        <v>#N/A N/A</v>
        <stp/>
        <stp>BDP|15466705637537159880</stp>
        <tr r="AF12" s="1"/>
      </tp>
      <tp t="s">
        <v>#N/A Requesting Data...4265606213</v>
        <stp/>
        <stp>BDP|13093615138228722049</stp>
        <tr r="T96" s="89"/>
        <tr r="AA26" s="2"/>
      </tp>
      <tp t="s">
        <v>#N/A Requesting Data...4292087182</v>
        <stp/>
        <stp>BDP|13179291398911974755</stp>
        <tr r="V20" s="89"/>
      </tp>
      <tp t="s">
        <v>#N/A N/A</v>
        <stp/>
        <stp>BDP|11861498416348360286</stp>
        <tr r="AF42" s="1"/>
      </tp>
      <tp t="s">
        <v>#N/A Requesting Data...4286234503</v>
        <stp/>
        <stp>BDP|15724899473817422353</stp>
        <tr r="O13" s="89"/>
        <tr r="T22" s="2"/>
      </tp>
      <tp t="s">
        <v>#N/A Requesting Data...4285527960</v>
        <stp/>
        <stp>BDP|11575592951459437656</stp>
        <tr r="E23" s="2"/>
      </tp>
      <tp t="s">
        <v>#N/A Requesting Data...4283365695</v>
        <stp/>
        <stp>BDP|11850369712449475477</stp>
        <tr r="Z103" s="89"/>
        <tr r="AA103" s="89"/>
      </tp>
      <tp t="s">
        <v>#N/A N/A</v>
        <stp/>
        <stp>BDP|14902852357240652727</stp>
        <tr r="J1" s="1"/>
      </tp>
      <tp t="s">
        <v>#N/A Requesting Data...4281051502</v>
        <stp/>
        <stp>BDP|17255225148738161764</stp>
        <tr r="E16" s="2"/>
      </tp>
      <tp t="s">
        <v>#N/A Requesting Data...4277525731</v>
        <stp/>
        <stp>BDP|11004855748816491574</stp>
        <tr r="AA53" s="89"/>
        <tr r="Z53" s="89"/>
      </tp>
      <tp t="s">
        <v>#N/A N/A</v>
        <stp/>
        <stp>BDP|14026845325197194708</stp>
        <tr r="AB24" s="1"/>
        <tr r="AB25" s="1"/>
      </tp>
      <tp t="s">
        <v>#N/A Requesting Data...4279712421</v>
        <stp/>
        <stp>BDP|10959915758722387039</stp>
        <tr r="AR22" s="2"/>
      </tp>
      <tp t="s">
        <v>#N/A Requesting Data...4282611461</v>
        <stp/>
        <stp>BDP|15662606014445331913</stp>
        <tr r="E15" s="2"/>
      </tp>
      <tp t="s">
        <v>#N/A Requesting Data...4289829705</v>
        <stp/>
        <stp>BDP|10269247907004315810</stp>
        <tr r="T43" s="89"/>
      </tp>
      <tp t="s">
        <v>#N/A Requesting Data...4283488238</v>
        <stp/>
        <stp>BDP|11330118382132131431</stp>
        <tr r="D31" s="89"/>
      </tp>
      <tp t="s">
        <v>#N/A N/A</v>
        <stp/>
        <stp>BDP|12293130266649152236</stp>
        <tr r="AC18" s="1"/>
        <tr r="AC17" s="1"/>
        <tr r="AC19" s="1"/>
      </tp>
      <tp t="s">
        <v>#N/A Requesting Data...4291524307</v>
        <stp/>
        <stp>BDP|12254931781748441511</stp>
        <tr r="AA6" s="2"/>
      </tp>
      <tp t="s">
        <v>#N/A N/A</v>
        <stp/>
        <stp>BDP|16747972762296741126</stp>
        <tr r="AF24" s="1"/>
        <tr r="AF25" s="1"/>
      </tp>
      <tp t="s">
        <v>#N/A Requesting Data...4290491219</v>
        <stp/>
        <stp>BDP|11380026222574540903</stp>
        <tr r="F4" s="2"/>
      </tp>
      <tp t="s">
        <v>#N/A N/A</v>
        <stp/>
        <stp>BDP|16966852497278566182</stp>
        <tr r="J6" s="1"/>
      </tp>
      <tp t="s">
        <v>#N/A Requesting Data...4290846983</v>
        <stp/>
        <stp>BDP|17125127792252061376</stp>
        <tr r="V7" s="89"/>
      </tp>
      <tp t="b">
        <v>0</v>
        <stp/>
        <stp>BDH|10869764582676617743</stp>
        <tr r="AU9" s="338"/>
      </tp>
      <tp>
        <v>0.51342421770095825</v>
        <stp/>
        <stp>BDP|18110796337974702583|22</stp>
        <stp>AVGO US 06/18/26 C350 Equity</stp>
        <stp>DELTA_MID_RT</stp>
        <tr r="AF8" s="2"/>
      </tp>
      <tp>
        <v>118.7</v>
        <stp/>
        <stp>BDP|5001717955705267450|22</stp>
        <stp>LITE US 06/18/26 C720 Equity</stp>
        <stp>bid</stp>
        <tr r="P15" s="2"/>
      </tp>
      <tp t="s">
        <v>#N/A N/A</v>
        <stp/>
        <stp>BDP|14736502366221001988</stp>
        <tr r="AG22" s="1"/>
      </tp>
      <tp t="s">
        <v>#N/A Requesting Data...1733410238</v>
        <stp/>
        <stp>BDP|15951677892556593302</stp>
        <tr r="AA11" s="2"/>
      </tp>
      <tp t="s">
        <v>#N/A N/A</v>
        <stp/>
        <stp>BDP|13719327490656774082</stp>
        <tr r="K35" s="1"/>
      </tp>
      <tp t="s">
        <v>#N/A N/A</v>
        <stp/>
        <stp>BDP|12067346968488625077</stp>
        <tr r="N9" s="1"/>
      </tp>
      <tp t="s">
        <v>#N/A N/A</v>
        <stp/>
        <stp>BDP|18091452871706919222</stp>
        <tr r="AC30" s="1"/>
      </tp>
      <tp t="s">
        <v>#N/A Requesting Data...1114314947</v>
        <stp/>
        <stp>BDP|11838162923915231807</stp>
        <tr r="E104" s="89"/>
      </tp>
      <tp t="s">
        <v>#N/A Requesting Data...2193829098</v>
        <stp/>
        <stp>BDP|10458872348380612322</stp>
        <tr r="D32" s="446"/>
      </tp>
      <tp t="s">
        <v>#N/A Requesting Data...3937747491</v>
        <stp/>
        <stp>BDP|11607763991426641696</stp>
        <tr r="O88" s="89"/>
      </tp>
      <tp t="s">
        <v>#N/A N/A</v>
        <stp/>
        <stp>BDP|12446616610012704839</stp>
        <tr r="AF14" s="1"/>
      </tp>
      <tp t="s">
        <v>#N/A Requesting Data...328826594</v>
        <stp/>
        <stp>BDP|15520885965692162698</stp>
        <tr r="P11" s="338"/>
      </tp>
      <tp t="s">
        <v>#N/A N/A</v>
        <stp/>
        <stp>BDP|18411820983824502305</stp>
        <tr r="E9" s="1"/>
      </tp>
      <tp t="s">
        <v>#N/A N/A</v>
        <stp/>
        <stp>BDP|14116642911908550426</stp>
        <tr r="AI26" s="1"/>
      </tp>
      <tp t="s">
        <v>#N/A N/A</v>
        <stp/>
        <stp>BDP|15088949515073653147</stp>
        <tr r="AI24" s="1"/>
        <tr r="AI25" s="1"/>
      </tp>
      <tp t="s">
        <v>#N/A N/A</v>
        <stp/>
        <stp>BDP|13400157600295352875</stp>
        <tr r="AQ6" s="2"/>
        <tr r="AQ7" s="2"/>
      </tp>
      <tp t="s">
        <v>#N/A Requesting Data...3998263588</v>
        <stp/>
        <stp>BDP|10282731194108712961</stp>
        <tr r="X8" s="338"/>
      </tp>
      <tp t="s">
        <v>#N/A Requesting Data...2704202001</v>
        <stp/>
        <stp>BDP|11825565969849644458</stp>
        <tr r="G26" s="446"/>
      </tp>
      <tp t="s">
        <v>#N/A Requesting Data...1600993370</v>
        <stp/>
        <stp>BDP|15847969359184061200</stp>
        <tr r="C8" s="89"/>
      </tp>
      <tp t="s">
        <v>#N/A Requesting Data...2961067528</v>
        <stp/>
        <stp>BDP|10754652992714129477</stp>
        <tr r="E78" s="89"/>
      </tp>
      <tp t="s">
        <v>USD</v>
        <stp/>
        <stp>BDP|9800175734147310091|22</stp>
        <stp>NFLX US 05/15/26 P70 Equity</stp>
        <stp>QUOTED_CURRENCY_REALTIME</stp>
        <tr r="G20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Requesting Data...4156355579</v>
        <stp/>
        <stp>BDP|17197269406560960918</stp>
        <tr r="AR11" s="2"/>
      </tp>
      <tp t="s">
        <v>#N/A N/A</v>
        <stp/>
        <stp>BDP|14151613796081423680</stp>
        <tr r="AI14" s="1"/>
      </tp>
      <tp t="s">
        <v>#N/A Requesting Data...525258696</v>
        <stp/>
        <stp>BDP|10754154393075488187</stp>
        <tr r="C36" s="89"/>
      </tp>
      <tp t="s">
        <v>#N/A Requesting Data...3514813630</v>
        <stp/>
        <stp>BDP|11028786820390522815</stp>
        <tr r="AK10" s="338"/>
        <tr r="AK11" s="338"/>
        <tr r="AK12" s="338"/>
      </tp>
      <tp t="s">
        <v>#N/A Requesting Data...1972021575</v>
        <stp/>
        <stp>BDP|15549933334837718499</stp>
        <tr r="AJ12" s="338"/>
      </tp>
      <tp t="s">
        <v>#N/A Requesting Data...2675111085</v>
        <stp/>
        <stp>BDP|18320744229995860492</stp>
        <tr r="E20" s="89"/>
      </tp>
      <tp t="s">
        <v>#N/A Requesting Data...2176766818</v>
        <stp/>
        <stp>BDP|13021422978704305879</stp>
        <tr r="F33" s="446"/>
      </tp>
      <tp t="s">
        <v>#N/A N/A</v>
        <stp/>
        <stp>BDP|16521478898015424206</stp>
        <tr r="AV16" s="2"/>
        <tr r="R77" s="89"/>
        <tr r="R78" s="89"/>
        <tr r="R79" s="89"/>
        <tr r="R88" s="89"/>
      </tp>
      <tp t="s">
        <v>#N/A Requesting Data...3855950105</v>
        <stp/>
        <stp>BDP|16877024025140252836</stp>
        <tr r="F37" s="446"/>
      </tp>
      <tp t="s">
        <v>#N/A N/A</v>
        <stp/>
        <stp>BDP|10281815271105854697</stp>
        <tr r="K34" s="1"/>
      </tp>
      <tp t="s">
        <v>#N/A N/A</v>
        <stp/>
        <stp>BDP|17431748397947127250</stp>
        <tr r="AG37" s="1"/>
      </tp>
      <tp t="s">
        <v>#N/A Requesting Data...3943719671</v>
        <stp/>
        <stp>BDP|14508373378954970866</stp>
        <tr r="D19" s="2"/>
      </tp>
      <tp t="s">
        <v>#N/A Requesting Data...1424248215</v>
        <stp/>
        <stp>BDP|14259965167551312659</stp>
        <tr r="F21" s="2"/>
      </tp>
      <tp t="s">
        <v>#N/A N/A</v>
        <stp/>
        <stp>BDP|12413850570425657438</stp>
        <tr r="K22" s="1"/>
      </tp>
      <tp t="s">
        <v>#N/A Requesting Data...4028842058</v>
        <stp/>
        <stp>BDP|10336989308101719404</stp>
        <tr r="V103" s="89"/>
      </tp>
      <tp t="s">
        <v>#N/A Requesting Data...2046992591</v>
        <stp/>
        <stp>BDP|15471333738329989013</stp>
        <tr r="AD9" s="2"/>
      </tp>
      <tp t="s">
        <v>#N/A Requesting Data...2917762115</v>
        <stp/>
        <stp>BDP|12603143287034451379</stp>
        <tr r="D27" s="446"/>
      </tp>
      <tp t="s">
        <v>#N/A Requesting Data...1337476199</v>
        <stp/>
        <stp>BDP|10004210412887167840</stp>
        <tr r="D40" s="446"/>
      </tp>
      <tp t="s">
        <v>#N/A Invalid Security</v>
        <stp/>
        <stp>BDP|11076688730849429560|22</stp>
        <stp xml:space="preserve"> Equity</stp>
        <stp>bid</stp>
        <tr r="P2" s="2"/>
        <tr r="K86" s="89"/>
        <tr r="K87" s="89"/>
      </tp>
      <tp>
        <v>631.85500000000002</v>
        <stp/>
        <stp>BDP|336164456245703188|22</stp>
        <stp>LITE US Equity</stp>
        <stp>LAST_PRICE</stp>
        <tr r="Z14" s="2"/>
        <tr r="S7" s="89"/>
        <tr r="S8" s="89"/>
        <tr r="Z15" s="2"/>
      </tp>
      <tp t="s">
        <v>#N/A Requesting Data...162506700</v>
        <stp/>
        <stp>BDP|12514485676904256829</stp>
        <tr r="E68" s="89"/>
      </tp>
      <tp t="s">
        <v>#N/A N/A</v>
        <stp/>
        <stp>BDP|13594164286172898577</stp>
        <tr r="K13" s="1"/>
      </tp>
      <tp t="s">
        <v>#N/A Requesting Data...560836028</v>
        <stp/>
        <stp>BDP|16688954571813116693</stp>
        <tr r="T13" s="89"/>
        <tr r="AA22" s="2"/>
      </tp>
      <tp t="s">
        <v>#N/A Requesting Data...1174244364</v>
        <stp/>
        <stp>BDP|10028687100653384862</stp>
        <tr r="T8" s="2"/>
      </tp>
      <tp t="s">
        <v>#N/A Requesting Data...1236177906</v>
        <stp/>
        <stp>BDP|15843140282036113720</stp>
        <tr r="G22" s="446"/>
      </tp>
      <tp t="s">
        <v>#N/A Requesting Data...3643257578</v>
        <stp/>
        <stp>BDP|10814833293595079976</stp>
        <tr r="E61" s="89"/>
      </tp>
      <tp t="s">
        <v>#N/A Requesting Data...2276890775</v>
        <stp/>
        <stp>BDP|17319342610009091197</stp>
        <tr r="G27" s="446"/>
      </tp>
      <tp t="s">
        <v>#N/A N/A</v>
        <stp/>
        <stp>BDP|11924439292996409721</stp>
        <tr r="AG33" s="1"/>
      </tp>
      <tp t="s">
        <v>#N/A Requesting Data...2395715922</v>
        <stp/>
        <stp>BDP|15203515109285203885</stp>
        <tr r="D4" s="2"/>
      </tp>
      <tp t="s">
        <v>#N/A N/A</v>
        <stp/>
        <stp>BDP|18096474274854136215</stp>
        <tr r="R20" s="89"/>
        <tr r="R30" s="89"/>
        <tr r="R96" s="89"/>
        <tr r="R31" s="89"/>
        <tr r="R19" s="89"/>
        <tr r="AV26" s="2"/>
        <tr r="R95" s="89"/>
        <tr r="AV25" s="2"/>
      </tp>
      <tp t="s">
        <v>#N/A Requesting Data...3706008147</v>
        <stp/>
        <stp>BDP|12757548240707053963</stp>
        <tr r="C96" s="89"/>
        <tr r="D26" s="2"/>
      </tp>
      <tp t="s">
        <v>#N/A N/A</v>
        <stp/>
        <stp>BDP|11804015925529096782</stp>
        <tr r="AI43" s="1"/>
      </tp>
      <tp t="s">
        <v>#N/A Requesting Data...2872377577</v>
        <stp/>
        <stp>BDP|18134613475974825091</stp>
        <tr r="AA14" s="2"/>
      </tp>
      <tp t="s">
        <v>#N/A N/A</v>
        <stp/>
        <stp>BDP|10476670090364142661</stp>
        <tr r="K21" s="1"/>
      </tp>
      <tp t="s">
        <v>#N/A Requesting Data...900684456</v>
        <stp/>
        <stp>BDP|14574759861540790819</stp>
        <tr r="S10" s="338"/>
      </tp>
      <tp t="s">
        <v>#N/A Requesting Data...2554277740</v>
        <stp/>
        <stp>BDP|11934537446469823426</stp>
        <tr r="E21" s="2"/>
      </tp>
      <tp t="b">
        <v>0</v>
        <stp/>
        <stp>BDH|16068681381123805602</stp>
        <tr r="AR9" s="338"/>
      </tp>
      <tp>
        <v>602.49400000000003</v>
        <stp/>
        <stp>BDP|8629289523220789997|22</stp>
        <stp>QQQ Equity</stp>
        <stp>LAST PRICE</stp>
        <tr r="I9" s="338"/>
      </tp>
      <tp>
        <v>0.28000777959823608</v>
        <stp/>
        <stp>BDP|10365373849937299623|22</stp>
        <stp>AVGO US 02/27/26 C350 Equity</stp>
        <stp>DELTA_MID_RT</stp>
        <tr r="AF9" s="2"/>
      </tp>
      <tp>
        <v>38.6</v>
        <stp/>
        <stp>BDP|4911432985148125573|22</stp>
        <stp>META US 07/17/26 C700 Equity</stp>
        <stp>ask</stp>
        <tr r="L79" s="89"/>
      </tp>
      <tp t="s">
        <v>#N/A Requesting Data...1635231268</v>
        <stp/>
        <stp>BDP|12479552531952149481</stp>
        <tr r="C22" s="2"/>
      </tp>
      <tp t="s">
        <v>#N/A Requesting Data...419616623</v>
        <stp/>
        <stp>BDP|12339741374220877028</stp>
        <tr r="F21" s="446"/>
      </tp>
      <tp t="s">
        <v>#N/A Requesting Data...2657291216</v>
        <stp/>
        <stp>BDP|15108137503044913212</stp>
        <tr r="T78" s="89"/>
      </tp>
      <tp t="s">
        <v>#N/A Requesting Data...3571963554</v>
        <stp/>
        <stp>BDP|11490202904425845435</stp>
        <tr r="D105" s="89"/>
      </tp>
      <tp t="s">
        <v>#N/A Requesting Data...1695593679</v>
        <stp/>
        <stp>BDP|12832425312094016130</stp>
        <tr r="D21" s="2"/>
      </tp>
      <tp t="s">
        <v>#N/A N/A</v>
        <stp/>
        <stp>BDP|16848172745796591757</stp>
        <tr r="J9" s="1"/>
      </tp>
      <tp t="s">
        <v>#N/A Requesting Data...682952345</v>
        <stp/>
        <stp>BDP|16562634359111464613</stp>
        <tr r="AR20" s="2"/>
      </tp>
      <tp t="s">
        <v>#N/A Requesting Data...3952449571</v>
        <stp/>
        <stp>BDP|12394829048358209468</stp>
        <tr r="AR19" s="2"/>
      </tp>
      <tp t="s">
        <v>#N/A N/A</v>
        <stp/>
        <stp>BDP|15571587832455231410</stp>
        <tr r="AC28" s="1"/>
      </tp>
      <tp t="s">
        <v>#N/A N/A</v>
        <stp/>
        <stp>BDP|12274481806484777070</stp>
        <tr r="J4" s="1"/>
      </tp>
      <tp t="s">
        <v>#N/A Requesting Data...1972485289</v>
        <stp/>
        <stp>BDP|13522017112801049192</stp>
        <tr r="E8" s="89"/>
      </tp>
      <tp t="s">
        <v>#N/A Requesting Data...627158154</v>
        <stp/>
        <stp>BDP|17837162092485093832</stp>
        <tr r="E22" s="2"/>
      </tp>
      <tp t="s">
        <v>#N/A Requesting Data...3354664605</v>
        <stp/>
        <stp>BDP|17216633965664243193</stp>
        <tr r="L11" s="338"/>
        <tr r="L12" s="338"/>
        <tr r="L10" s="338"/>
        <tr r="J10" s="338"/>
        <tr r="J11" s="338"/>
        <tr r="J12" s="338"/>
      </tp>
      <tp t="s">
        <v>#N/A Requesting Data...2641815856</v>
        <stp/>
        <stp>BDP|16719292853193179031</stp>
        <tr r="T27" s="2"/>
      </tp>
      <tp t="s">
        <v>#N/A Requesting Data...3117507225</v>
        <stp/>
        <stp>BDP|11176508983946829848</stp>
        <tr r="O20" s="89"/>
      </tp>
      <tp t="s">
        <v>#N/A Requesting Data...3963438723</v>
        <stp/>
        <stp>BDP|13150872693841225199</stp>
        <tr r="AR21" s="2"/>
      </tp>
      <tp t="s">
        <v>#N/A N/A</v>
        <stp/>
        <stp>BDP|13283561452487447630</stp>
        <tr r="AI40" s="1"/>
      </tp>
      <tp t="s">
        <v>#N/A Requesting Data...2258893561</v>
        <stp/>
        <stp>BDP|13698454327306550105</stp>
        <tr r="T88" s="89"/>
      </tp>
      <tp t="s">
        <v>#N/A Requesting Data...2307395611</v>
        <stp/>
        <stp>BDP|10642633497488173538</stp>
        <tr r="Z104" s="89"/>
        <tr r="AA104" s="89"/>
      </tp>
      <tp t="s">
        <v>#N/A Requesting Data...304536633</v>
        <stp/>
        <stp>BDP|17950909593432390797</stp>
        <tr r="G29" s="446"/>
      </tp>
      <tp t="s">
        <v>#N/A N/A</v>
        <stp/>
        <stp>BDP|16665812118984554998</stp>
        <tr r="AC17" s="2"/>
        <tr r="AC18" s="2"/>
      </tp>
      <tp t="s">
        <v>#N/A Requesting Data...3602788782</v>
        <stp/>
        <stp>BDP|12909617883408150686</stp>
        <tr r="F17" s="446"/>
      </tp>
      <tp t="s">
        <v>#N/A Requesting Data...4143948480</v>
        <stp/>
        <stp>BDP|14907590063523957686</stp>
        <tr r="D39" s="446"/>
      </tp>
      <tp t="s">
        <v>#N/A Requesting Data...294811997</v>
        <stp/>
        <stp>BDP|15427086549125422631</stp>
        <tr r="F29" s="446"/>
      </tp>
      <tp t="s">
        <v>#N/A Requesting Data...3468329483</v>
        <stp/>
        <stp>BDP|14798833541272440858</stp>
        <tr r="L9" s="338"/>
        <tr r="H9" s="338"/>
      </tp>
      <tp t="s">
        <v>#N/A N/A</v>
        <stp/>
        <stp>BDP|17447943913214573912</stp>
        <tr r="AC27" s="2"/>
        <tr r="AC28" s="2"/>
      </tp>
      <tp t="s">
        <v>#N/A Requesting Data...1300577827</v>
        <stp/>
        <stp>BDP|10540491936722929740</stp>
        <tr r="F13" s="446"/>
      </tp>
      <tp t="s">
        <v>#N/A Requesting Data...3990930043</v>
        <stp/>
        <stp>BDP|16945025923542868477</stp>
        <tr r="Q11" s="338"/>
      </tp>
      <tp t="s">
        <v>#N/A Requesting Data...1634995828</v>
        <stp/>
        <stp>BDP|12465228967747275351</stp>
        <tr r="F8" s="2"/>
      </tp>
      <tp>
        <v>134.76</v>
        <stp/>
        <stp>BDP|1868269163989593436|22</stp>
        <stp>EWY Equity</stp>
        <stp>LAST_PRICE</stp>
        <tr r="I24" s="1"/>
        <tr r="I25" s="1"/>
      </tp>
      <tp>
        <v>6.1</v>
        <stp/>
        <stp>BDP|3322764634781769714|22</stp>
        <stp>META US 02/27/26 C660 Equity</stp>
        <stp>ask</stp>
        <tr r="L88" s="89"/>
      </tp>
      <tp t="s">
        <v>#N/A N/A</v>
        <stp/>
        <stp>BDP|15895214585768543406</stp>
        <tr r="AB22" s="1"/>
      </tp>
      <tp t="s">
        <v>#N/A N/A</v>
        <stp/>
        <stp>BDP|12506693576836787640</stp>
        <tr r="AC22" s="1"/>
      </tp>
      <tp t="s">
        <v>#N/A Requesting Data...805030720</v>
        <stp/>
        <stp>BDP|10102679327761087681</stp>
        <tr r="E18" s="2"/>
      </tp>
      <tp t="s">
        <v>#N/A N/A</v>
        <stp/>
        <stp>BDP|16916588204673977342</stp>
        <tr r="AB61" s="89"/>
      </tp>
      <tp t="s">
        <v>#N/A Requesting Data...604929665</v>
        <stp/>
        <stp>BDP|18367520190396877112</stp>
        <tr r="AR5" s="2"/>
      </tp>
      <tp t="s">
        <v>#N/A N/A</v>
        <stp/>
        <stp>BDP|17356384253186180443</stp>
        <tr r="R37" s="89"/>
      </tp>
      <tp t="s">
        <v>#N/A Requesting Data...1307786923</v>
        <stp/>
        <stp>BDP|12197625641431851271</stp>
        <tr r="D17" s="2"/>
      </tp>
      <tp t="s">
        <v>#N/A Requesting Data...3277844985</v>
        <stp/>
        <stp>BDP|15919437567850131436</stp>
        <tr r="G28" s="446"/>
      </tp>
      <tp t="s">
        <v>#N/A N/A</v>
        <stp/>
        <stp>BDP|12988555714434708108</stp>
        <tr r="AV19" s="2"/>
        <tr r="AV20" s="2"/>
      </tp>
      <tp t="s">
        <v>#N/A Requesting Data...693082943</v>
        <stp/>
        <stp>BDP|13013981730743016977</stp>
        <tr r="AA4" s="2"/>
      </tp>
      <tp t="s">
        <v>#N/A Requesting Data...2030354517</v>
        <stp/>
        <stp>BDP|14039658452871166584</stp>
        <tr r="C9" s="2"/>
      </tp>
      <tp t="s">
        <v>#N/A Requesting Data...4187552649</v>
        <stp/>
        <stp>BDP|17039732835313216359</stp>
        <tr r="G13" s="446"/>
      </tp>
      <tp t="s">
        <v>#N/A Requesting Data...2499709613</v>
        <stp/>
        <stp>BDP|10212284669224289309</stp>
        <tr r="G15" s="446"/>
      </tp>
      <tp t="s">
        <v>#N/A Requesting Data...2657454352</v>
        <stp/>
        <stp>BDP|13453491635420155791</stp>
        <tr r="F14" s="2"/>
      </tp>
      <tp t="s">
        <v>#N/A Requesting Data...728898028</v>
        <stp/>
        <stp>BDP|16139528108117140790</stp>
        <tr r="AA16" s="2"/>
      </tp>
      <tp t="s">
        <v>#N/A N/A</v>
        <stp/>
        <stp>BDP|12577068118946906617</stp>
        <tr r="AF27" s="1"/>
      </tp>
      <tp t="s">
        <v>#N/A Requesting Data...3522092083</v>
        <stp/>
        <stp>BDP|16931852689404443127</stp>
        <tr r="AB15" s="1"/>
        <tr r="F23" s="446"/>
      </tp>
      <tp t="s">
        <v>#N/A Requesting Data...3510886973</v>
        <stp/>
        <stp>BDP|14461057417982680435</stp>
        <tr r="AA17" s="2"/>
      </tp>
      <tp t="s">
        <v>#N/A Requesting Data...811645691</v>
        <stp/>
        <stp>BDP|14468716151160495523</stp>
        <tr r="AA79" s="89"/>
        <tr r="Z79" s="89"/>
      </tp>
      <tp t="s">
        <v>#N/A Requesting Data...2486947121</v>
        <stp/>
        <stp>BDP|13623102692689602106</stp>
        <tr r="AD25" s="2"/>
        <tr r="V95" s="89"/>
        <tr r="V19" s="89"/>
      </tp>
      <tp t="s">
        <v>#N/A Requesting Data...2268761017</v>
        <stp/>
        <stp>BDP|11488079128501837162</stp>
        <tr r="O79" s="89"/>
      </tp>
      <tp t="s">
        <v>#N/A N/A</v>
        <stp/>
        <stp>BDP|16066178257148215968</stp>
        <tr r="AV17" s="2"/>
        <tr r="AV18" s="2"/>
      </tp>
      <tp t="s">
        <v>#N/A N/A</v>
        <stp/>
        <stp>BDP|12718343677950174519</stp>
        <tr r="E7" s="1"/>
      </tp>
      <tp t="s">
        <v>#N/A Requesting Data...753313656</v>
        <stp/>
        <stp>BDP|16466552942653782727</stp>
        <tr r="F24" s="2"/>
      </tp>
      <tp t="s">
        <v>#N/A Requesting Data...161576127</v>
        <stp/>
        <stp>BDP|11858630116733963622</stp>
        <tr r="E14" s="2"/>
      </tp>
      <tp t="b">
        <v>0</v>
        <stp/>
        <stp>BDH|16375465525643561014</stp>
        <tr r="AU10" s="338"/>
        <tr r="AU11" s="338"/>
        <tr r="AU12" s="338"/>
      </tp>
      <tp>
        <v>8.3169825375080109E-2</v>
        <stp/>
        <stp>BDP|13450063745953703993|22</stp>
        <stp>CSCO US 07/17/26 C100 Equity</stp>
        <stp>DELTA_MID_RT</stp>
        <tr r="AF12" s="2"/>
      </tp>
      <tp>
        <v>38.25</v>
        <stp/>
        <stp>BDP|3120711432826724576|22</stp>
        <stp>META US 07/17/26 C700 Equity</stp>
        <stp>bid</stp>
        <tr r="K79" s="89"/>
      </tp>
      <tp t="s">
        <v>#N/A N/A</v>
        <stp/>
        <stp>BDP|16634752858660747458</stp>
        <tr r="K39" s="1"/>
      </tp>
      <tp t="s">
        <v>#N/A N/A</v>
        <stp/>
        <stp>BDP|14881796519496077416</stp>
        <tr r="AC37" s="1"/>
      </tp>
      <tp t="s">
        <v>#N/A N/A</v>
        <stp/>
        <stp>BDP|13564540922234351091</stp>
        <tr r="AI18" s="1"/>
        <tr r="AI17" s="1"/>
        <tr r="AI19" s="1"/>
      </tp>
      <tp t="s">
        <v>#N/A Requesting Data...3028024527</v>
        <stp/>
        <stp>BDP|10384653628097195348</stp>
        <tr r="V9" s="338"/>
      </tp>
      <tp t="s">
        <v>#N/A Requesting Data...293721902</v>
        <stp/>
        <stp>BDP|18157396268365948849</stp>
        <tr r="G32" s="446"/>
      </tp>
      <tp t="s">
        <v>#N/A Requesting Data...2453872674</v>
        <stp/>
        <stp>BDP|12322490716684467354</stp>
        <tr r="AD28" s="2"/>
      </tp>
      <tp t="s">
        <v>#N/A Requesting Data...2573028530</v>
        <stp/>
        <stp>BDP|11850099902500446183</stp>
        <tr r="AR28" s="2"/>
      </tp>
      <tp t="s">
        <v>#N/A Requesting Data...909825033</v>
        <stp/>
        <stp>BDP|11843415176814869697</stp>
        <tr r="D12" s="2"/>
      </tp>
      <tp t="s">
        <v>#N/A N/A</v>
        <stp/>
        <stp>BDP|13846974553487624841</stp>
        <tr r="AQ25" s="2"/>
        <tr r="AB96" s="89"/>
        <tr r="AB95" s="89"/>
        <tr r="AQ26" s="2"/>
        <tr r="AB19" s="89"/>
        <tr r="AB20" s="89"/>
        <tr r="AB30" s="89"/>
        <tr r="AB31" s="89"/>
      </tp>
      <tp t="s">
        <v>#N/A N/A</v>
        <stp/>
        <stp>BDP|16321240075941788241</stp>
        <tr r="AB103" s="89"/>
      </tp>
      <tp t="s">
        <v>#N/A Requesting Data...1540088040</v>
        <stp/>
        <stp>BDP|14667087596678820507</stp>
        <tr r="AI9" s="338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5" s="1"/>
      </tp>
      <tp t="s">
        <v>#N/A Requesting Data...3151371794</v>
        <stp/>
        <stp>BDP|14701623612717173449</stp>
        <tr r="T12" s="2"/>
      </tp>
      <tp t="s">
        <v>#N/A Requesting Data...2650396344</v>
        <stp/>
        <stp>BDP|11184865175579332734</stp>
        <tr r="F12" s="446"/>
      </tp>
      <tp t="s">
        <v>#N/A N/A</v>
        <stp/>
        <stp>BDP|16647795119072066249</stp>
        <tr r="AF43" s="1"/>
      </tp>
      <tp t="s">
        <v>#N/A Requesting Data...2041105081</v>
        <stp/>
        <stp>BDP|13716613912505019165</stp>
        <tr r="Q8" s="338"/>
      </tp>
      <tp t="s">
        <v>#N/A N/A</v>
        <stp/>
        <stp>BDP|10633791113720948675</stp>
        <tr r="AB43" s="1"/>
      </tp>
      <tp t="s">
        <v>#N/A Requesting Data...1119061957</v>
        <stp/>
        <stp>BDP|11314646408085283288</stp>
        <tr r="C31" s="89"/>
      </tp>
      <tp t="s">
        <v>#N/A N/A</v>
        <stp/>
        <stp>BDP|14646160180655233875</stp>
        <tr r="AC19" s="2"/>
        <tr r="AC20" s="2"/>
      </tp>
      <tp t="s">
        <v>#N/A Requesting Data...3172834182</v>
        <stp/>
        <stp>BDP|14165374870954459465</stp>
        <tr r="D14" s="89"/>
      </tp>
      <tp t="s">
        <v>#N/A Requesting Data...2642381563</v>
        <stp/>
        <stp>BDP|18077332096143404159</stp>
        <tr r="D20" s="89"/>
      </tp>
      <tp t="s">
        <v>#N/A Requesting Data...1980998991</v>
        <stp/>
        <stp>BDP|15047991938189051660</stp>
        <tr r="E10" s="2"/>
      </tp>
      <tp t="s">
        <v>#N/A Requesting Data...3956979660</v>
        <stp/>
        <stp>BDP|16290698561125564386</stp>
        <tr r="Q12" s="338"/>
      </tp>
      <tp t="s">
        <v>#N/A Requesting Data...758559092</v>
        <stp/>
        <stp>BDP|13870357115230719185</stp>
        <tr r="AA14" s="89"/>
        <tr r="Z14" s="89"/>
      </tp>
      <tp t="s">
        <v>#N/A Requesting Data...1028543721</v>
        <stp/>
        <stp>BDP|11542574144783666360</stp>
        <tr r="F41" s="446"/>
      </tp>
      <tp t="s">
        <v>#N/A N/A</v>
        <stp/>
        <stp>BDP|13962656139830169628</stp>
        <tr r="R44" s="89"/>
        <tr r="R43" s="89"/>
        <tr r="AV24" s="2"/>
      </tp>
      <tp t="s">
        <v>#N/A Requesting Data...1908991701</v>
        <stp/>
        <stp>BDP|15940757831551810033</stp>
        <tr r="C62" s="89"/>
      </tp>
      <tp t="b">
        <v>0</v>
        <stp/>
        <stp>BDH|10736244277906107367</stp>
        <tr r="AR8" s="338"/>
      </tp>
      <tp t="s">
        <v>#N/A N/A</v>
        <stp/>
        <stp>BDP|16159638923959198317|22</stp>
        <stp>2OG6P 24750 Index</stp>
        <stp>ask</stp>
        <tr r="L61" s="89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 t="s">
        <v>#N/A Requesting Data...3300000092</v>
        <stp/>
        <stp>BDP|12055500611067822013</stp>
        <tr r="AJ8" s="338"/>
        <tr r="AH8" s="338"/>
      </tp>
      <tp t="s">
        <v>#N/A Requesting Data...4171759294</v>
        <stp/>
        <stp>BDP|17147919501118941730</stp>
        <tr r="C37" s="89"/>
      </tp>
      <tp t="s">
        <v>#N/A N/A</v>
        <stp/>
        <stp>BDP|10827554593684445907</stp>
        <tr r="AG34" s="1"/>
      </tp>
      <tp t="s">
        <v>#N/A Requesting Data...3316984934</v>
        <stp/>
        <stp>BDP|10435868994421818135</stp>
        <tr r="C28" s="2"/>
      </tp>
      <tp t="s">
        <v>#N/A Requesting Data...525660255</v>
        <stp/>
        <stp>BDP|15326278043742855029</stp>
        <tr r="AA37" s="89"/>
        <tr r="Z37" s="89"/>
      </tp>
      <tp t="s">
        <v>#N/A N/A</v>
        <stp/>
        <stp>BDP|10107602623444913161</stp>
        <tr r="AF26" s="1"/>
      </tp>
      <tp t="s">
        <v>#N/A Requesting Data...1337658199</v>
        <stp/>
        <stp>BDP|18017376398746707540</stp>
        <tr r="G37" s="446"/>
      </tp>
      <tp t="s">
        <v>#N/A Requesting Data...3302344469</v>
        <stp/>
        <stp>BDP|13441577411456885069</stp>
        <tr r="E9" s="2"/>
      </tp>
      <tp t="s">
        <v>#N/A Requesting Data...3136890449</v>
        <stp/>
        <stp>BDP|15485750022721819043</stp>
        <tr r="AA61" s="89"/>
        <tr r="Z61" s="89"/>
      </tp>
      <tp t="s">
        <v>#N/A Requesting Data...3234281184</v>
        <stp/>
        <stp>BDP|16597931359479698264</stp>
        <tr r="D36" s="89"/>
      </tp>
      <tp t="s">
        <v>#N/A N/A</v>
        <stp/>
        <stp>BDP|17365785494690778868</stp>
        <tr r="E5" s="1"/>
      </tp>
      <tp t="s">
        <v>#N/A N/A</v>
        <stp/>
        <stp>BDP|15797485450435917089</stp>
        <tr r="AG28" s="1"/>
      </tp>
      <tp t="s">
        <v>#N/A N/A</v>
        <stp/>
        <stp>BDP|10629460632567404161</stp>
        <tr r="AF38" s="1"/>
      </tp>
      <tp t="s">
        <v>#N/A N/A</v>
        <stp/>
        <stp>BDP|11658442792988593552</stp>
        <tr r="AC23" s="1"/>
      </tp>
      <tp t="s">
        <v>#N/A N/A</v>
        <stp/>
        <stp>BDP|10036162177410701751</stp>
        <tr r="K27" s="1"/>
      </tp>
      <tp t="s">
        <v>#N/A Requesting Data...2577789259</v>
        <stp/>
        <stp>BDP|12568089488138014375</stp>
        <tr r="E5" s="2"/>
      </tp>
      <tp t="s">
        <v>#N/A N/A</v>
        <stp/>
        <stp>BDP|15698160403534380128</stp>
        <tr r="AB20" s="1"/>
      </tp>
      <tp t="s">
        <v>#N/A Requesting Data...3904410110</v>
        <stp/>
        <stp>BDP|11998355979195097173</stp>
        <tr r="T68" s="89"/>
      </tp>
      <tp t="s">
        <v>#N/A Requesting Data...3451233611</v>
        <stp/>
        <stp>BDP|16353514989043023996</stp>
        <tr r="AH11" s="338"/>
        <tr r="AJ11" s="338"/>
      </tp>
      <tp t="s">
        <v>#N/A Requesting Data...720963131</v>
        <stp/>
        <stp>BDP|11770034533254322711</stp>
        <tr r="T20" s="89"/>
      </tp>
      <tp t="s">
        <v>#N/A Requesting Data...972055703</v>
        <stp/>
        <stp>BDP|11341619984086995887</stp>
        <tr r="F12" s="2"/>
      </tp>
      <tp t="s">
        <v>#N/A Requesting Data...3025521360</v>
        <stp/>
        <stp>BDP|10764751743486083471</stp>
        <tr r="E6" s="2"/>
      </tp>
      <tp t="s">
        <v>#N/A Requesting Data...474158390</v>
        <stp/>
        <stp>BDP|14914589903223067341</stp>
        <tr r="AH8" s="338"/>
      </tp>
      <tp t="b">
        <v>0</v>
        <stp/>
        <stp>BDH|10078057274596776098</stp>
        <tr r="AR10" s="338"/>
        <tr r="AR11" s="338"/>
        <tr r="AR12" s="338"/>
      </tp>
      <tp t="s">
        <v>#N/A Requesting Data...3995197181</v>
        <stp/>
        <stp>BDP|12390370547582903136</stp>
        <tr r="F11" s="2"/>
      </tp>
      <tp t="s">
        <v>#N/A Requesting Data...377810348</v>
        <stp/>
        <stp>BDP|17999460540594333555</stp>
        <tr r="C7" s="89"/>
      </tp>
      <tp t="s">
        <v>#N/A Requesting Data...3117997619</v>
        <stp/>
        <stp>BDP|10297523734239490992</stp>
        <tr r="F19" s="446"/>
      </tp>
      <tp t="s">
        <v>#N/A Requesting Data...2918230699</v>
        <stp/>
        <stp>BDP|12827562533772148040</stp>
        <tr r="O37" s="89"/>
      </tp>
      <tp t="s">
        <v>#N/A Requesting Data...1951653420</v>
        <stp/>
        <stp>BDP|10811773521330276340</stp>
        <tr r="F42" s="446"/>
      </tp>
      <tp t="s">
        <v>#N/A Requesting Data...1999020559</v>
        <stp/>
        <stp>BDP|14221141493348873252</stp>
        <tr r="T24" s="2"/>
        <tr r="O44" s="89"/>
      </tp>
      <tp t="s">
        <v>#N/A Requesting Data...1891869672</v>
        <stp/>
        <stp>BDP|12660690144555599352</stp>
        <tr r="C103" s="89"/>
      </tp>
      <tp>
        <v>24821.25</v>
        <stp/>
        <stp>BDP|9834598325284437758|22</stp>
        <stp>2OH6 Index</stp>
        <stp>LAST_PRICE</stp>
        <tr r="S61" s="89"/>
      </tp>
      <tp t="s">
        <v>#N/A Requesting Data...1860605137</v>
        <stp/>
        <stp>BDP|15675123836972697391</stp>
        <tr r="AA20" s="89"/>
        <tr r="Z20" s="89"/>
      </tp>
      <tp t="s">
        <v>#N/A Requesting Data...3848827375</v>
        <stp/>
        <stp>BDP|18269203655158880133</stp>
        <tr r="F39" s="446"/>
      </tp>
      <tp t="s">
        <v>#N/A Requesting Data...2605270060</v>
        <stp/>
        <stp>BDP|10740391927894157376</stp>
        <tr r="AA25" s="2"/>
        <tr r="T95" s="89"/>
        <tr r="T19" s="89"/>
      </tp>
      <tp t="s">
        <v>#N/A Requesting Data...3838174672</v>
        <stp/>
        <stp>BDP|18224492743199735712</stp>
        <tr r="O14" s="89"/>
        <tr r="T23" s="2"/>
      </tp>
      <tp t="s">
        <v>#N/A N/A</v>
        <stp/>
        <stp>BDP|13639162762852624052</stp>
        <tr r="AF36" s="1"/>
      </tp>
      <tp t="s">
        <v>#N/A Requesting Data...3453031305</v>
        <stp/>
        <stp>BDP|14765019069313776788</stp>
        <tr r="V8" s="89"/>
      </tp>
      <tp t="s">
        <v>#N/A Requesting Data...2981023919</v>
        <stp/>
        <stp>BDP|18365939499897354990</stp>
        <tr r="D68" s="89"/>
      </tp>
      <tp t="s">
        <v>#N/A Requesting Data...2043655732</v>
        <stp/>
        <stp>BDP|17537017727307383479</stp>
        <tr r="V14" s="89"/>
        <tr r="AD23" s="2"/>
      </tp>
      <tp t="s">
        <v>#N/A N/A</v>
        <stp/>
        <stp>BDP|16274053040156958289</stp>
        <tr r="R104" s="89"/>
      </tp>
      <tp t="s">
        <v>USD</v>
        <stp/>
        <stp>BDP|1070042515455230643|22</stp>
        <stp>JETS US 02/27/26 P25 Equity</stp>
        <stp>QUOTED_CURRENCY_REALTIME</stp>
        <tr r="F43" s="89"/>
      </tp>
      <tp>
        <v>15.2</v>
        <stp/>
        <stp>BDP|5005092167591802286|22</stp>
        <stp>META US 04/17/26 C690 Equity</stp>
        <stp>bid</stp>
        <tr r="K77" s="89"/>
      </tp>
      <tp t="s">
        <v>#N/A N/A</v>
        <stp/>
        <stp>BDP|16372986296784191555</stp>
        <tr r="AC41" s="1"/>
      </tp>
      <tp t="s">
        <v>#N/A Requesting Data...1438740201</v>
        <stp/>
        <stp>BDP|14531256854956960242</stp>
        <tr r="D13" s="2"/>
      </tp>
      <tp t="s">
        <v>#N/A N/A</v>
        <stp/>
        <stp>BDP|17370707244810639397</stp>
        <tr r="AC8" s="2"/>
        <tr r="AC9" s="2"/>
      </tp>
      <tp t="s">
        <v>#N/A Requesting Data...3526700646</v>
        <stp/>
        <stp>BDP|14546342925643453186</stp>
        <tr r="L8" s="338"/>
        <tr r="J8" s="338"/>
      </tp>
      <tp t="s">
        <v>#N/A Requesting Data...1897197145</v>
        <stp/>
        <stp>BDP|14112351219779481819</stp>
        <tr r="C13" s="89"/>
        <tr r="D22" s="2"/>
      </tp>
      <tp t="s">
        <v>#N/A Requesting Data...2725836489</v>
        <stp/>
        <stp>BDP|15404493773766767722</stp>
        <tr r="G36" s="446"/>
      </tp>
      <tp t="s">
        <v>#N/A N/A</v>
        <stp/>
        <stp>BDP|14556104661927858316</stp>
        <tr r="N6" s="1"/>
      </tp>
      <tp t="s">
        <v>#N/A Requesting Data...2815481895</v>
        <stp/>
        <stp>BDP|12341108167772818008</stp>
        <tr r="T11" s="338"/>
      </tp>
      <tp t="s">
        <v>#N/A N/A</v>
        <stp/>
        <stp>BDP|15780779710184950054</stp>
        <tr r="AI30" s="1"/>
      </tp>
      <tp t="s">
        <v>#N/A N/A</v>
        <stp/>
        <stp>BDP|15607530839212696655</stp>
        <tr r="AG44" s="1"/>
      </tp>
      <tp t="s">
        <v>#N/A N/A</v>
        <stp/>
        <stp>BDP|14683885016388086260</stp>
        <tr r="K44" s="1"/>
      </tp>
      <tp t="s">
        <v>#N/A Requesting Data...267311400</v>
        <stp/>
        <stp>BDP|16190103000157320731</stp>
        <tr r="V52" s="89"/>
      </tp>
      <tp t="s">
        <v>#N/A Requesting Data...3728805369</v>
        <stp/>
        <stp>BDP|12052868717818962496</stp>
        <tr r="AI8" s="338"/>
      </tp>
      <tp t="s">
        <v>#N/A N/A</v>
        <stp/>
        <stp>BDP|14605168762492000638</stp>
        <tr r="K24" s="1"/>
      </tp>
      <tp t="s">
        <v>#N/A Requesting Data...1798567545</v>
        <stp/>
        <stp>BDP|12678050625094398357</stp>
        <tr r="AC31" s="1"/>
        <tr r="D35" s="446"/>
      </tp>
      <tp t="s">
        <v>#N/A Requesting Data...2841871415</v>
        <stp/>
        <stp>BDP|10174429034410523025</stp>
        <tr r="E8" s="2"/>
      </tp>
      <tp t="s">
        <v>#N/A N/A</v>
        <stp/>
        <stp>BDP|12276525472755323212</stp>
        <tr r="AB41" s="1"/>
      </tp>
      <tp t="s">
        <v>#N/A Requesting Data...1729313851</v>
        <stp/>
        <stp>BDP|13691107662271159260</stp>
        <tr r="AR27" s="2"/>
      </tp>
      <tp t="s">
        <v>#N/A N/A</v>
        <stp/>
        <stp>BDP|13455264535315284065</stp>
        <tr r="AF29" s="1"/>
      </tp>
      <tp t="s">
        <v>#N/A N/A</v>
        <stp/>
        <stp>BDP|14541260223906476575</stp>
        <tr r="K20" s="1"/>
      </tp>
      <tp t="s">
        <v>#N/A Requesting Data...3214877308</v>
        <stp/>
        <stp>BDP|13888955992961875542</stp>
        <tr r="C26" s="2"/>
      </tp>
      <tp t="s">
        <v>#N/A N/A</v>
        <stp/>
        <stp>BDP|13548034063303146173</stp>
        <tr r="AC25" s="2"/>
        <tr r="AC26" s="2"/>
      </tp>
      <tp t="s">
        <v>#N/A N/A</v>
        <stp/>
        <stp>BDP|12760762958325303288</stp>
        <tr r="K31" s="1"/>
      </tp>
      <tp t="s">
        <v>#N/A Requesting Data...3750010622</v>
        <stp/>
        <stp>BDP|16678311834407962683</stp>
        <tr r="V88" s="89"/>
      </tp>
      <tp t="s">
        <v>#N/A N/A</v>
        <stp/>
        <stp>BDP|17610933289947663688</stp>
        <tr r="K33" s="1"/>
      </tp>
      <tp t="s">
        <v>#N/A N/A</v>
        <stp/>
        <stp>BDP|12020891338657290965</stp>
        <tr r="K43" s="1"/>
      </tp>
      <tp t="s">
        <v>#N/A Requesting Data...3773567620</v>
        <stp/>
        <stp>BDP|10716425290372363833</stp>
        <tr r="C30" s="89"/>
      </tp>
      <tp t="s">
        <v>#N/A Requesting Data...3723316446</v>
        <stp/>
        <stp>BDP|17117535562106038540</stp>
        <tr r="X11" s="338"/>
      </tp>
      <tp t="s">
        <v>#N/A Requesting Data...1722367062</v>
        <stp/>
        <stp>BDP|11947265064485960753</stp>
        <tr r="U8" s="338"/>
      </tp>
      <tp t="s">
        <v>#N/A Requesting Data...3060009586</v>
        <stp/>
        <stp>BDP|18073219310938684416</stp>
        <tr r="C61" s="89"/>
      </tp>
      <tp t="s">
        <v>#N/A N/A</v>
        <stp/>
        <stp>BDP|13856641820218803820</stp>
        <tr r="AB13" s="1"/>
      </tp>
      <tp t="b">
        <v>0</v>
        <stp/>
        <stp>BDH|11210242545151890151</stp>
        <tr r="AP12" s="338"/>
      </tp>
      <tp>
        <v>23.55</v>
        <stp/>
        <stp>BDP|8316763994800088980|22</stp>
        <stp>META US 07/17/26 C750 Equity</stp>
        <stp>mid</stp>
        <tr r="L16" s="2"/>
      </tp>
      <tp t="s">
        <v>#N/A N/A</v>
        <stp/>
        <stp>BDP|12136399326041179666</stp>
        <tr r="AC43" s="1"/>
      </tp>
      <tp t="s">
        <v>#N/A Requesting Data...4048501304</v>
        <stp/>
        <stp>BDP|16918803796942195175</stp>
        <tr r="AR10" s="2"/>
      </tp>
      <tp t="s">
        <v>#N/A N/A</v>
        <stp/>
        <stp>BDP|12194689278231069699</stp>
        <tr r="AI12" s="1"/>
      </tp>
      <tp t="s">
        <v>#N/A N/A</v>
        <stp/>
        <stp>BDP|15839339977736656325</stp>
        <tr r="AB7" s="89"/>
        <tr r="AB8" s="89"/>
        <tr r="AQ14" s="2"/>
        <tr r="AQ15" s="2"/>
      </tp>
      <tp t="s">
        <v>#N/A Requesting Data...3920419503</v>
        <stp/>
        <stp>BDP|16851834935831563802</stp>
        <tr r="T21" s="2"/>
      </tp>
      <tp t="s">
        <v>#N/A N/A</v>
        <stp/>
        <stp>BDP|18129626680660034281</stp>
        <tr r="AB26" s="1"/>
      </tp>
      <tp t="s">
        <v>#N/A Requesting Data...2451816493</v>
        <stp/>
        <stp>BDP|13172652676595068396</stp>
        <tr r="E43" s="89"/>
      </tp>
      <tp t="s">
        <v>#N/A Requesting Data...404787739</v>
        <stp/>
        <stp>BDP|10276659037702882326</stp>
        <tr r="O8" s="89"/>
      </tp>
      <tp t="s">
        <v>#N/A Requesting Data...1217374756</v>
        <stp/>
        <stp>BDP|17303082674511603530</stp>
        <tr r="C88" s="89"/>
      </tp>
      <tp t="s">
        <v>#N/A N/A</v>
        <stp/>
        <stp>BDP|17958159524868336813</stp>
        <tr r="AI27" s="1"/>
      </tp>
      <tp t="s">
        <v>#N/A Requesting Data...3236006001</v>
        <stp/>
        <stp>BDP|11697784175497336241</stp>
        <tr r="F20" s="2"/>
      </tp>
      <tp t="s">
        <v>#N/A Requesting Data...539713023</v>
        <stp/>
        <stp>BDP|13362587002474685639</stp>
        <tr r="G33" s="446"/>
      </tp>
      <tp t="s">
        <v>#N/A N/A</v>
        <stp/>
        <stp>BDP|12253664208158718848</stp>
        <tr r="AC42" s="1"/>
      </tp>
      <tp t="s">
        <v>#N/A Requesting Data...3584428444</v>
        <stp/>
        <stp>BDP|13306279038280095632</stp>
        <tr r="AR4" s="2"/>
      </tp>
      <tp t="s">
        <v>#N/A Requesting Data...1972446613</v>
        <stp/>
        <stp>BDP|16454410544065930770</stp>
        <tr r="D62" s="89"/>
      </tp>
      <tp t="s">
        <v>#N/A N/A</v>
        <stp/>
        <stp>BDP|13774687273273960549</stp>
        <tr r="D96" s="89"/>
      </tp>
      <tp t="s">
        <v>#N/A Requesting Data...2786556461</v>
        <stp/>
        <stp>BDP|10930560316549062982</stp>
        <tr r="C68" s="89"/>
      </tp>
      <tp t="s">
        <v>#N/A Requesting Data...1235251306</v>
        <stp/>
        <stp>BDP|17030445403737628004</stp>
        <tr r="AR24" s="2"/>
      </tp>
      <tp t="s">
        <v>#N/A N/A</v>
        <stp/>
        <stp>BDP|14406440625767437102</stp>
        <tr r="J10" s="1"/>
      </tp>
      <tp t="s">
        <v>#N/A Requesting Data...3708689980</v>
        <stp/>
        <stp>BDP|11571309850413428012</stp>
        <tr r="D103" s="89"/>
      </tp>
      <tp t="s">
        <v>#N/A Requesting Data...3454653509</v>
        <stp/>
        <stp>BDP|14437871301241284935</stp>
        <tr r="AJ12" s="338"/>
      </tp>
      <tp t="s">
        <v>#N/A Requesting Data...3073215983</v>
        <stp/>
        <stp>BDP|11214745035248274920</stp>
        <tr r="V8" s="338"/>
      </tp>
      <tp t="s">
        <v>#N/A Requesting Data...3147587968</v>
        <stp/>
        <stp>BDP|12168490429210433067</stp>
        <tr r="T77" s="89"/>
      </tp>
      <tp t="s">
        <v>#N/A Requesting Data...3381073886</v>
        <stp/>
        <stp>BDP|11625676250200786659</stp>
        <tr r="T8" s="338"/>
      </tp>
      <tp t="s">
        <v>#N/A N/A</v>
        <stp/>
        <stp>BDP|18042899846108511886</stp>
        <tr r="AB13" s="89"/>
        <tr r="AB14" s="89"/>
        <tr r="AQ21" s="2"/>
        <tr r="AQ22" s="2"/>
        <tr r="AQ23" s="2"/>
      </tp>
      <tp t="s">
        <v>#N/A Requesting Data...3935438493</v>
        <stp/>
        <stp>BDP|14059396921424230587</stp>
        <tr r="AF34" s="1"/>
        <tr r="AF11" s="338"/>
      </tp>
      <tp t="s">
        <v>#N/A Requesting Data...1875382147</v>
        <stp/>
        <stp>BDP|17956776735294864366</stp>
        <tr r="E53" s="89"/>
      </tp>
      <tp t="s">
        <v>#N/A Requesting Data...4210736618</v>
        <stp/>
        <stp>BDP|15190670839412363684</stp>
        <tr r="AR26" s="2"/>
      </tp>
      <tp t="s">
        <v>#N/A Requesting Data...1367037015</v>
        <stp/>
        <stp>BDP|10337841861653211939</stp>
        <tr r="F14" s="446"/>
      </tp>
      <tp t="s">
        <v>#N/A Requesting Data...2366361403</v>
        <stp/>
        <stp>BDP|15476791369729744947</stp>
        <tr r="D24" s="2"/>
        <tr r="C44" s="89"/>
      </tp>
      <tp t="s">
        <v>#N/A N/A</v>
        <stp/>
        <stp>BDP|11243430201469561835</stp>
        <tr r="AI32" s="1"/>
      </tp>
      <tp t="s">
        <v>#N/A N/A</v>
        <stp/>
        <stp>BDP|12113265951137044605</stp>
        <tr r="AI41" s="1"/>
      </tp>
      <tp t="b">
        <v>0</v>
        <stp/>
        <stp>BDH|10395376236073824730</stp>
        <tr r="AN9" s="338"/>
      </tp>
      <tp t="s">
        <v>#N/A Invalid Security</v>
        <stp/>
        <stp>BDP|17276935431976766163|22</stp>
        <stp xml:space="preserve"> Equity</stp>
        <stp>QUOTED_CURRENCY_REALTIME</stp>
        <tr r="F86" s="89"/>
        <tr r="F87" s="89"/>
      </tp>
      <tp>
        <v>167.5</v>
        <stp/>
        <stp>BDP|5871926180393537825|22</stp>
        <stp>LITE US 06/18/26 C600 Equity</stp>
        <stp>ask</stp>
        <tr r="Q14" s="2"/>
      </tp>
      <tp>
        <v>23.4</v>
        <stp/>
        <stp>BDP|1435529279737285533|22</stp>
        <stp>META US 07/17/26 C750 Equity</stp>
        <stp>bid</stp>
        <tr r="P16" s="2"/>
      </tp>
      <tp>
        <v>165.6</v>
        <stp/>
        <stp>BDP|2338299991529458350|22</stp>
        <stp>LITE US 06/18/26 C600 Equity</stp>
        <stp>mid</stp>
        <tr r="L14" s="2"/>
      </tp>
      <tp>
        <v>6</v>
        <stp/>
        <stp>BDP|3455432218402996031|22</stp>
        <stp>META US 02/27/26 C660 Equity</stp>
        <stp>bid</stp>
        <tr r="K88" s="89"/>
      </tp>
      <tp>
        <v>163.69999999999999</v>
        <stp/>
        <stp>BDP|3994129037389910433|22</stp>
        <stp>LITE US 06/18/26 C600 Equity</stp>
        <stp>bid</stp>
        <tr r="P14" s="2"/>
      </tp>
      <tp t="s">
        <v>#N/A N/A</v>
        <stp/>
        <stp>BDP|10976567873595722239</stp>
        <tr r="AV27" s="2"/>
        <tr r="AV28" s="2"/>
      </tp>
      <tp t="s">
        <v>#N/A Requesting Data...2118523620</v>
        <stp/>
        <stp>BDP|11893620415402742107</stp>
        <tr r="AA43" s="89"/>
        <tr r="Z43" s="89"/>
      </tp>
      <tp t="s">
        <v>#N/A Requesting Data...652489596</v>
        <stp/>
        <stp>BDP|15688066863846340087</stp>
        <tr r="D28" s="446"/>
      </tp>
      <tp t="s">
        <v>#N/A N/A</v>
        <stp/>
        <stp>BDP|10187425150716047280</stp>
        <tr r="AB42" s="1"/>
      </tp>
      <tp t="s">
        <v>#N/A Requesting Data...3418237837</v>
        <stp/>
        <stp>BDP|15767057305588506896</stp>
        <tr r="AH9" s="338"/>
      </tp>
      <tp t="s">
        <v>#N/A N/A</v>
        <stp/>
        <stp>BDP|15429696736422623764</stp>
        <tr r="K26" s="1"/>
      </tp>
      <tp t="s">
        <v>#N/A N/A</v>
        <stp/>
        <stp>BDP|12598914732268945550</stp>
        <tr r="E10" s="1"/>
      </tp>
      <tp t="s">
        <v>#N/A Requesting Data...4232950079</v>
        <stp/>
        <stp>BDP|10968744678995921066</stp>
        <tr r="C87" s="89"/>
        <tr r="C86" s="89"/>
      </tp>
      <tp t="s">
        <v>#N/A Requesting Data...878137960</v>
        <stp/>
        <stp>BDP|12490577043850363694</stp>
        <tr r="C77" s="89"/>
      </tp>
      <tp t="s">
        <v>#N/A Requesting Data...2375355057</v>
        <stp/>
        <stp>BDP|15541299241081269729</stp>
        <tr r="O105" s="89"/>
        <tr r="T5" s="2"/>
      </tp>
      <tp t="s">
        <v>#N/A Requesting Data...1152167766</v>
        <stp/>
        <stp>BDP|15872646771885299421</stp>
        <tr r="F16" s="446"/>
      </tp>
      <tp t="s">
        <v>#N/A Requesting Data...3847675019</v>
        <stp/>
        <stp>BDP|14521485953094621461</stp>
        <tr r="T19" s="2"/>
      </tp>
      <tp t="s">
        <v>#N/A N/A</v>
        <stp/>
        <stp>BDP|15051140014688420859</stp>
        <tr r="AC12" s="1"/>
      </tp>
      <tp t="s">
        <v>#N/A Requesting Data...1277053007</v>
        <stp/>
        <stp>BDP|16068368952433220674</stp>
        <tr r="D53" s="89"/>
      </tp>
      <tp t="s">
        <v>#N/A N/A</v>
        <stp/>
        <stp>BDP|17289014403731542359</stp>
        <tr r="AQ13" s="2"/>
      </tp>
      <tp t="s">
        <v>#N/A Requesting Data...4136110236</v>
        <stp/>
        <stp>BDP|14342024613619901985</stp>
        <tr r="F32" s="446"/>
      </tp>
      <tp t="s">
        <v>#N/A Requesting Data...4186612948</v>
        <stp/>
        <stp>BDP|10937692769253805623</stp>
        <tr r="F10" s="2"/>
      </tp>
      <tp t="s">
        <v>#N/A Requesting Data...3711310352</v>
        <stp/>
        <stp>BDP|15647809597228039929</stp>
        <tr r="F15" s="2"/>
      </tp>
      <tp t="s">
        <v>#N/A Requesting Data...1294886254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N/A</v>
        <stp/>
        <stp>BDP|12540520710212521104</stp>
        <tr r="AC44" s="1"/>
      </tp>
      <tp t="s">
        <v>#N/A Requesting Data...2971503411</v>
        <stp/>
        <stp>BDP|14997193200018500815</stp>
        <tr r="AR15" s="2"/>
      </tp>
      <tp t="s">
        <v>#N/A N/A</v>
        <stp/>
        <stp>BDP|18269255641489268206</stp>
        <tr r="AC36" s="1"/>
      </tp>
      <tp t="s">
        <v>#N/A N/A</v>
        <stp/>
        <stp>BDP|15660791077340487089</stp>
        <tr r="E1" s="1"/>
      </tp>
      <tp t="s">
        <v>#N/A Requesting Data...670095787</v>
        <stp/>
        <stp>BDP|13255031060755606509</stp>
        <tr r="D30" s="89"/>
      </tp>
      <tp t="s">
        <v>#N/A Requesting Data...2829417233</v>
        <stp/>
        <stp>BDP|16850696776401981397</stp>
        <tr r="E14" s="89"/>
      </tp>
      <tp t="s">
        <v>#N/A Requesting Data...2452979337</v>
        <stp/>
        <stp>BDP|17271244710975447452</stp>
        <tr r="AK9" s="338"/>
      </tp>
      <tp t="s">
        <v>#N/A N/A</v>
        <stp/>
        <stp>BDP|14505061934744038618</stp>
        <tr r="AB2" s="1"/>
      </tp>
      <tp t="s">
        <v>#N/A Requesting Data...2968101887</v>
        <stp/>
        <stp>BDP|11370170641465778442</stp>
        <tr r="O77" s="89"/>
      </tp>
    </main>
    <main first="bofaddin.rtdserver">
      <tp>
        <v>263.27999999999997</v>
        <stp/>
        <stp>BDP|7062867511992634566|22</stp>
        <stp>IWM EQUITY</stp>
        <stp>LAST_PRICE</stp>
        <tr r="L8" s="1"/>
      </tp>
      <tp>
        <v>33.8155</v>
        <stp/>
        <stp>BDP|16778716474861008512|22</stp>
        <stp>ASHR US Equity</stp>
        <stp>LAST_PRICE</stp>
        <tr r="Z6" s="2"/>
        <tr r="Z7" s="2"/>
      </tp>
      <tp>
        <v>188900</v>
        <stp/>
        <stp>BDP|2801672589713003233|22</stp>
        <stp>005930 KS Equity</stp>
        <stp>LAST_PRICE</stp>
        <tr r="I28" s="1"/>
      </tp>
      <tp>
        <v>202.51499999999999</v>
        <stp/>
        <stp>BDP|8139972387614957050|22</stp>
        <stp>AMD EQUITY</stp>
        <stp>LAST_PRICE</stp>
        <tr r="C4" s="1"/>
      </tp>
    </main>
    <main first="bofaddin.rtdserver">
      <tp t="s">
        <v>USD</v>
        <stp/>
        <stp>BDP|7913488954069722292|22</stp>
        <stp>AVGO US 02/27/26 C350 Equity</stp>
        <stp>QUOTED_CURRENCY_REALTIME</stp>
        <tr r="G9" s="2"/>
      </tp>
      <tp t="s">
        <v>#N/A Real Time</v>
        <stp/>
        <stp>BDP|11820070012775282534|22</stp>
        <stp>RTYWU5C3 2500 Index</stp>
        <stp>ask</stp>
        <tr r="L53" s="89"/>
      </tp>
      <tp>
        <v>333.565</v>
        <stp/>
        <stp>BDP|17019897193923426340|22</stp>
        <stp>AVGO US Equity</stp>
        <stp>LAST_PRICE</stp>
        <tr r="Z8" s="2"/>
        <tr r="Z9" s="2"/>
      </tp>
      <tp t="s">
        <v>#N/A Real Time</v>
        <stp/>
        <stp>BDP|16831399122066681226|22</stp>
        <stp>RTYWU5C3 2500 Index</stp>
        <stp>bid</stp>
        <tr r="K53" s="89"/>
      </tp>
      <tp>
        <v>133500</v>
        <stp/>
        <stp>BDP|7576338108149543793|22</stp>
        <stp>005935 KS Equity</stp>
        <stp>LAST_PRICE</stp>
        <tr r="I29" s="1"/>
      </tp>
      <tp t="s">
        <v>#N/A Real Time</v>
        <stp/>
        <stp>BDP|9893971634581157776|22</stp>
        <stp>RTYWU5C3 2425 Index</stp>
        <stp>DELTA_MID_RT</stp>
        <tr r="W52" s="89"/>
      </tp>
      <tp>
        <v>-0.33782339096069336</v>
        <stp/>
        <stp>BDP|5597882704130502438|22</stp>
        <stp>QQQ US 02/25/26 P595 Equity</stp>
        <stp>DELTA_MID_RT</stp>
        <tr r="W30" s="89"/>
      </tp>
      <tp t="s">
        <v>USD</v>
        <stp/>
        <stp>BDP|5660057333270635761|22</stp>
        <stp>CSCO US 07/17/26 C100 Equity</stp>
        <stp>QUOTED_CURRENCY_REALTIME</stp>
        <tr r="G12" s="2"/>
      </tp>
      <tp t="s">
        <v>USD</v>
        <stp/>
        <stp>BDP|7415188276848735494|22</stp>
        <stp>NVDA US 03/20/26 C200 Equity</stp>
        <stp>QUOTED_CURRENCY_REALTIME</stp>
        <tr r="G22" s="2"/>
        <tr r="F13" s="89"/>
      </tp>
      <tp>
        <v>1915</v>
        <stp/>
        <stp>BDP|7006367744653116074|22</stp>
        <stp>2330 TT Equity</stp>
        <stp>LAST_PRICE</stp>
        <tr r="I30" s="1"/>
      </tp>
      <tp>
        <v>359.95</v>
        <stp/>
        <stp>BDP|5454315708850008901|22</stp>
        <stp>TSM EQUITY</stp>
        <stp>LAST_PRICE</stp>
        <tr r="C3" s="1"/>
      </tp>
      <tp t="s">
        <v>USD</v>
        <stp/>
        <stp>BDP|2430132797707671505|22</stp>
        <stp>NVDA US 05/15/26 C200 Equity</stp>
        <stp>QUOTED_CURRENCY_REALTIME</stp>
        <tr r="G21" s="2"/>
      </tp>
      <tp t="s">
        <v>#N/A Real Time</v>
        <stp/>
        <stp>BDP|3644211716247599726|22</stp>
        <stp>RTYWU5C3 2500 Index</stp>
        <stp>DELTA_MID_RT</stp>
        <tr r="W53" s="89"/>
      </tp>
      <tp t="s">
        <v>EUR</v>
        <stp/>
        <stp>BDP|11879158159542228314|22</stp>
        <stp>LHA GR 03/20/26 P8.2 Equity</stp>
        <stp>QUOTED_CURRENCY_REALTIME</stp>
        <tr r="F103" s="89"/>
      </tp>
      <tp>
        <v>-1.2664822861552238E-2</v>
        <stp/>
        <stp>BDP|13286199336537530126|22</stp>
        <stp>ASHR US 02/27/26 C35 Equity</stp>
        <stp>theta_mid_rt</stp>
        <tr r="AN7" s="2"/>
      </tp>
      <tp>
        <v>7</v>
        <stp/>
        <stp>BDP|10139950202357300908|22</stp>
        <stp>SOXX US 02/27/26 P347.5 Equity</stp>
        <stp>ask</stp>
        <tr r="L36" s="89"/>
      </tp>
      <tp>
        <v>890000</v>
        <stp/>
        <stp>BDP|6431978350865048428|22</stp>
        <stp>000660 KS Equity</stp>
        <stp>LAST_PRICE</stp>
        <tr r="I26" s="1"/>
      </tp>
      <tp>
        <v>287.81</v>
        <stp/>
        <stp>BDP|4895281984520079725|22</stp>
        <stp>WDC EQUITY</stp>
        <stp>LAST_PRICE</stp>
        <tr r="H7" s="1"/>
      </tp>
      <tp>
        <v>-2.8322590515017509E-2</v>
        <stp/>
        <stp>BDP|11687415304317098980|22</stp>
        <stp>NFLX US 05/15/26 C90 Equity</stp>
        <stp>theta_mid_rt</stp>
        <tr r="AN19" s="2"/>
      </tp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BDP|6088342743599646986|22</stp>
        <stp>LITE US 06/18/26 C720 Equity</stp>
        <stp>QUOTED_CURRENCY_REALTIME</stp>
        <tr r="G15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#N/A Invalid Security</v>
        <stp/>
        <stp>BDP|4149584775528543730|22</stp>
        <stp xml:space="preserve"> Equity</stp>
        <stp>ask</stp>
        <tr r="Q2" s="2"/>
        <tr r="L86" s="89"/>
        <tr r="L87" s="89"/>
      </tp>
      <tp>
        <v>414.54</v>
        <stp/>
        <stp>BDP|12429311880057526361|22</stp>
        <stp>MU EQUITY</stp>
        <stp>LAST_PRICE</stp>
        <tr r="H2" s="1"/>
      </tp>
      <tp>
        <v>-0.15191027522087097</v>
        <stp/>
        <stp>BDP|12749296897091541940|22</stp>
        <stp>NVDA US 03/20/26 C200 Equity</stp>
        <stp>theta_mid_rt</stp>
        <tr r="AN22" s="2"/>
      </tp>
      <tp>
        <v>-8.14247727394104E-2</v>
        <stp/>
        <stp>BDP|12746170727172974965|22</stp>
        <stp>NVDA US 03/20/26 C220 Equity</stp>
        <stp>theta_mid_rt</stp>
        <tr r="AN23" s="2"/>
      </tp>
      <tp t="s">
        <v>USD</v>
        <stp/>
        <stp>BDP|9373829889527232263|22</stp>
        <stp>META US 07/17/26 C750 Equity</stp>
        <stp>QUOTED_CURRENCY_REALTIME</stp>
        <tr r="G16" s="2"/>
      </tp>
      <tp t="s">
        <v>#N/A Real Time</v>
        <stp/>
        <stp>BDP|14971432828971535518|22</stp>
        <stp>RTYWU5C3 2500 Index</stp>
        <stp>QUOTED_CURRENCY_REALTIME</stp>
        <tr r="F53" s="89"/>
      </tp>
      <tp>
        <v>44.615000000000002</v>
        <stp/>
        <stp>BDP|15280641543212915371|22</stp>
        <stp>INTC US Equity</stp>
        <stp>LAST_PRICE</stp>
        <tr r="Z13" s="2"/>
      </tp>
      <tp>
        <v>-8.4023840725421906E-2</v>
        <stp/>
        <stp>BDP|16456111785153391042|22</stp>
        <stp>MRVL US 03/20/26 P70 Equity</stp>
        <stp>theta_mid_rt</stp>
        <tr r="AN17" s="2"/>
      </tp>
      <tp t="s">
        <v>USD</v>
        <stp/>
        <stp>BDP|17054243420434455914|22</stp>
        <stp>QQQ US 02/25/26 C615 Equity</stp>
        <stp>QUOTED_CURRENCY_REALTIME</stp>
        <tr r="G25" s="2"/>
        <tr r="F95" s="89"/>
        <tr r="F19" s="89"/>
      </tp>
      <tp t="s">
        <v>USD</v>
        <stp/>
        <stp>BDP|3371138276627182525|22</stp>
        <stp>AMZN US 07/17/26 C240 Equity</stp>
        <stp>QUOTED_CURRENCY_REALTIME</stp>
        <tr r="G4" s="2"/>
      </tp>
      <tp>
        <v>204.53100000000001</v>
        <stp/>
        <stp>BDP|11431942920512482031|22</stp>
        <stp>AMZN US Equity</stp>
        <stp>LAST_PRICE</stp>
        <tr r="Z4" s="2"/>
        <tr r="Z5" s="2"/>
        <tr r="S105" s="89"/>
      </tp>
      <tp>
        <v>107.25</v>
        <stp/>
        <stp>BDP|5743631822536954954|22</stp>
        <stp>NOW EQUITY</stp>
        <stp>LAST_PRICE</stp>
        <tr r="H10" s="1"/>
      </tp>
      <tp t="s">
        <v>USD</v>
        <stp/>
        <stp>BDP|2475667770607843421|22</stp>
        <stp>AMZN US 07/17/26 P180 Equity</stp>
        <stp>QUOTED_CURRENCY_REALTIME</stp>
        <tr r="G5" s="2"/>
        <tr r="F105" s="89"/>
      </tp>
      <tp>
        <v>602.49400000000003</v>
        <stp/>
        <stp>BDP|360499996244621952|22</stp>
        <stp>QQQ US Equity</stp>
        <stp>LAST_PRICE</stp>
        <tr r="S20" s="89"/>
        <tr r="S30" s="89"/>
        <tr r="S96" s="89"/>
        <tr r="S19" s="89"/>
        <tr r="S31" s="89"/>
        <tr r="Z26" s="2"/>
        <tr r="S95" s="89"/>
        <tr r="Z25" s="2"/>
      </tp>
      <tp>
        <v>644.38499999999999</v>
        <stp/>
        <stp>BDP|12884552599081678750|22</stp>
        <stp>META US Equity</stp>
        <stp>LAST_PRICE</stp>
        <tr r="Z16" s="2"/>
        <tr r="S77" s="89"/>
        <tr r="S78" s="89"/>
        <tr r="S79" s="89"/>
        <tr r="S88" s="89"/>
      </tp>
      <tp>
        <v>-2.3189319297671318E-2</v>
        <stp/>
        <stp>BDP|17856461713270669920|22</stp>
        <stp>INTC US 07/17/26 C50 Equity</stp>
        <stp>theta_mid_rt</stp>
        <tr r="AN13" s="2"/>
      </tp>
      <tp>
        <v>-5.1370348781347275E-2</v>
        <stp/>
        <stp>BDP|10014400757682207201|22</stp>
        <stp>MRVL US 03/20/26 P60 Equity</stp>
        <stp>theta_mid_rt</stp>
        <tr r="AN18" s="2"/>
      </tp>
      <tp>
        <v>-0.36276006698608398</v>
        <stp/>
        <stp>BDP|8995965620496968446|22</stp>
        <stp>SMH US 02/27/26 P400 Equity</stp>
        <stp>DELTA_MID_RT</stp>
        <tr r="W37" s="89"/>
      </tp>
      <tp>
        <v>81.56</v>
        <stp/>
        <stp>BDP|2213699979188169021|22</stp>
        <stp>IGV EQUITY</stp>
        <stp>LAST_PRICE</stp>
        <tr r="L2" s="1"/>
      </tp>
      <tp>
        <v>-6.3825696706771851E-3</v>
        <stp/>
        <stp>BDP|12282787928556568649|22</stp>
        <stp>CSCO US 07/17/26 C100 Equity</stp>
        <stp>theta_mid_rt</stp>
        <tr r="AN12" s="2"/>
      </tp>
      <tp>
        <v>79.025000000000006</v>
        <stp/>
        <stp>BDP|224343272968290990|22</stp>
        <stp>CSCO Equity</stp>
        <stp>LAST_PRICE</stp>
        <tr r="I38" s="1"/>
      </tp>
      <tp t="s">
        <v>USD</v>
        <stp/>
        <stp>BDP|13986027331601173038|22</stp>
        <stp>QQQ US 02/25/26 P595 Equity</stp>
        <stp>QUOTED_CURRENCY_REALTIME</stp>
        <tr r="F30" s="89"/>
      </tp>
      <tp t="s">
        <v>USD</v>
        <stp/>
        <stp>BDP|8551146402332547609|22</stp>
        <stp>META US 07/17/26 C700 Equity</stp>
        <stp>QUOTED_CURRENCY_REALTIME</stp>
        <tr r="F79" s="89"/>
      </tp>
      <tp t="s">
        <v>EUR</v>
        <stp/>
        <stp>BDP|3313498425117227226|22</stp>
        <stp>AF1 FP 03/20/26 P11.5 Equity</stp>
        <stp>QUOTED_CURRENCY_REALTIME</stp>
        <tr r="F104" s="89"/>
      </tp>
      <tp t="s">
        <v>#N/A Invalid Security</v>
        <stp/>
        <stp>BDP|7846864529941089881|22</stp>
        <stp xml:space="preserve"> Equity</stp>
        <stp>mid</stp>
        <tr r="L2" s="2"/>
      </tp>
      <tp>
        <v>602.49400000000003</v>
        <stp/>
        <stp>BDP|2689810960265066336|22</stp>
        <stp>QQQ EQUITY</stp>
        <stp>LAST_PRICE</stp>
        <tr r="L6" s="1"/>
      </tp>
      <tp>
        <v>-9.0952858328819275E-2</v>
        <stp/>
        <stp>BDP|11554504603472673655|22</stp>
        <stp>NVDA US 05/15/26 C200 Equity</stp>
        <stp>theta_mid_rt</stp>
        <tr r="AN21" s="2"/>
      </tp>
      <tp t="s">
        <v>#N/A Requesting Data...4141262338</v>
        <stp/>
        <stp>BDP|3970119255888163378</stp>
        <tr r="L11" s="338"/>
        <tr r="H11" s="338"/>
      </tp>
      <tp t="s">
        <v>#N/A N/A</v>
        <stp/>
        <stp>BDP|1780817128230709721</stp>
        <tr r="AC33" s="1"/>
      </tp>
      <tp t="s">
        <v>#N/A Requesting Data...2024662753</v>
        <stp/>
        <stp>BDP|6875767680954769102</stp>
        <tr r="AR8" s="2"/>
      </tp>
      <tp t="s">
        <v>#N/A N/A</v>
        <stp/>
        <stp>BDP|7500005297250850236</stp>
        <tr r="N1" s="1"/>
      </tp>
      <tp t="s">
        <v>#N/A Requesting Data...2104673680</v>
        <stp/>
        <stp>BDP|7828562231434179977</stp>
        <tr r="G30" s="446"/>
      </tp>
      <tp t="s">
        <v>#N/A Requesting Data...1324019065</v>
        <stp/>
        <stp>BDP|4792760710096869864</stp>
        <tr r="E12" s="2"/>
      </tp>
      <tp t="s">
        <v>#N/A N/A</v>
        <stp/>
        <stp>BDP|8367283627072476679</stp>
        <tr r="AC32" s="1"/>
      </tp>
      <tp t="s">
        <v>#N/A Requesting Data...765930870</v>
        <stp/>
        <stp>BDP|7453097082282498144</stp>
        <tr r="E31" s="89"/>
      </tp>
      <tp t="s">
        <v>#N/A N/A</v>
        <stp/>
        <stp>BDP|4596394917382492801</stp>
        <tr r="AF10" s="1"/>
      </tp>
      <tp t="s">
        <v>#N/A N/A</v>
        <stp/>
        <stp>BDP|8267476373493896423</stp>
        <tr r="N2" s="1"/>
      </tp>
      <tp t="s">
        <v>#N/A N/A</v>
        <stp/>
        <stp>BDP|3432349159669557008</stp>
        <tr r="AV10" s="2"/>
        <tr r="AV11" s="2"/>
        <tr r="AV12" s="2"/>
      </tp>
      <tp t="s">
        <v>#N/A Requesting Data...2128240766</v>
        <stp/>
        <stp>BDP|7707682811374333805</stp>
        <tr r="AR12" s="2"/>
      </tp>
      <tp t="s">
        <v>#N/A Requesting Data...1997794516</v>
        <stp/>
        <stp>BDP|4738998939235389797</stp>
        <tr r="F8" s="446"/>
      </tp>
      <tp t="s">
        <v>#N/A N/A</v>
        <stp/>
        <stp>BDP|5580113800851198970</stp>
        <tr r="J3" s="1"/>
      </tp>
      <tp t="s">
        <v>#N/A N/A</v>
        <stp/>
        <stp>BDP|5357847351561143559</stp>
        <tr r="AG23" s="1"/>
      </tp>
      <tp t="s">
        <v>#N/A N/A</v>
        <stp/>
        <stp>BDP|2282995976142786289</stp>
        <tr r="AV8" s="2"/>
        <tr r="AV9" s="2"/>
      </tp>
      <tp t="s">
        <v>#N/A N/A</v>
        <stp/>
        <stp>BDP|8370148836023021531</stp>
        <tr r="AF35" s="1"/>
      </tp>
      <tp t="s">
        <v>#N/A Requesting Data...2145720081</v>
        <stp/>
        <stp>BDP|1367410484473609226</stp>
        <tr r="AK8" s="338"/>
        <tr r="AI8" s="338"/>
      </tp>
      <tp t="s">
        <v>#N/A Requesting Data...4204194072</v>
        <stp/>
        <stp>BDP|6725903547447211018</stp>
        <tr r="AA9" s="2"/>
      </tp>
      <tp t="s">
        <v>#N/A Requesting Data...2699179165</v>
        <stp/>
        <stp>BDP|8514095229714171271</stp>
        <tr r="O104" s="89"/>
      </tp>
      <tp t="s">
        <v>#N/A N/A</v>
        <stp/>
        <stp>BDP|2737330982055463026</stp>
        <tr r="AG35" s="1"/>
      </tp>
      <tp t="s">
        <v>#N/A Requesting Data...3009667804</v>
        <stp/>
        <stp>BDP|3098041072779459130</stp>
        <tr r="E77" s="89"/>
      </tp>
      <tp t="s">
        <v>#N/A Requesting Data...1390854447</v>
        <stp/>
        <stp>BDP|1557865840324483567</stp>
        <tr r="C5" s="2"/>
      </tp>
      <tp t="s">
        <v>#N/A N/A</v>
        <stp/>
        <stp>BDP|3167979772692033355</stp>
        <tr r="AQ24" s="2"/>
        <tr r="AB43" s="89"/>
        <tr r="AB44" s="89"/>
      </tp>
      <tp t="s">
        <v>#N/A Requesting Data...1106442992</v>
        <stp/>
        <stp>BDP|4670123577217166936</stp>
        <tr r="D16" s="2"/>
      </tp>
      <tp t="s">
        <v>#N/A Requesting Data...2626227480</v>
        <stp/>
        <stp>BDP|5489377534060375922</stp>
        <tr r="T53" s="89"/>
      </tp>
      <tp t="s">
        <v>#N/A Requesting Data...3542207921</v>
        <stp/>
        <stp>BDP|3262255082576563363</stp>
        <tr r="AD19" s="2"/>
      </tp>
      <tp t="s">
        <v>#N/A Requesting Data...2907734514</v>
        <stp/>
        <stp>BDP|9515949913399601436</stp>
        <tr r="G25" s="446"/>
      </tp>
      <tp t="s">
        <v>#N/A Requesting Data...3320761190</v>
        <stp/>
        <stp>BDP|8263574395840153846</stp>
        <tr r="AA15" s="2"/>
      </tp>
      <tp t="s">
        <v>#N/A Requesting Data...1448225137</v>
        <stp/>
        <stp>BDP|6094571479378853035</stp>
        <tr r="C23" s="2"/>
      </tp>
      <tp t="s">
        <v>#N/A Requesting Data...3735448054</v>
        <stp/>
        <stp>BDP|8438357318146538099</stp>
        <tr r="AA20" s="2"/>
      </tp>
      <tp>
        <v>353.90499999999997</v>
        <stp/>
        <stp>BDP|7097736725424241752|22</stp>
        <stp>SOXX US Equity</stp>
        <stp>LAST_PRICE</stp>
        <tr r="S36" s="89"/>
      </tp>
      <tp>
        <v>0.26573807001113892</v>
        <stp/>
        <stp>BDP|1548409391739816515|22</stp>
        <stp>NFLX US 05/15/26 C90 Equity</stp>
        <stp>DELTA_MID_RT</stp>
        <tr r="AF19" s="2"/>
      </tp>
      <tp t="s">
        <v>#N/A Requesting Data...3744466570</v>
        <stp/>
        <stp>BDP|5724061600450888835</stp>
        <tr r="T30" s="89"/>
      </tp>
      <tp t="s">
        <v>#N/A N/A</v>
        <stp/>
        <stp>BDP|5045731932505373990</stp>
        <tr r="R103" s="89"/>
      </tp>
      <tp t="s">
        <v>#N/A Requesting Data...1655207166</v>
        <stp/>
        <stp>BDP|3337761684491833019</stp>
        <tr r="F44" s="446"/>
      </tp>
      <tp t="s">
        <v>#N/A Requesting Data...4140544353</v>
        <stp/>
        <stp>BDP|4245700180187394193</stp>
        <tr r="E52" s="89"/>
      </tp>
      <tp t="s">
        <v>#N/A N/A</v>
        <stp/>
        <stp>BDP|9699474378527567053</stp>
        <tr r="AC24" s="1"/>
        <tr r="AC25" s="1"/>
      </tp>
      <tp t="s">
        <v>#N/A Requesting Data...3795310994</v>
        <stp/>
        <stp>BDP|5883800860920691608</stp>
        <tr r="F5" s="2"/>
      </tp>
      <tp t="s">
        <v>#N/A Requesting Data...2564850054</v>
        <stp/>
        <stp>BDP|8663395671000280107</stp>
        <tr r="AA105" s="89"/>
        <tr r="Z105" s="89"/>
      </tp>
      <tp t="s">
        <v>#N/A Requesting Data...1648059932</v>
        <stp/>
        <stp>BDP|4958570254160242959</stp>
        <tr r="T9" s="338"/>
      </tp>
      <tp t="s">
        <v>#N/A Requesting Data...3251174099</v>
        <stp/>
        <stp>BDP|7223883239641187000</stp>
        <tr r="G16" s="446"/>
      </tp>
      <tp t="s">
        <v>#N/A Requesting Data...3379956860</v>
        <stp/>
        <stp>BDP|5114854945934215018</stp>
        <tr r="V77" s="89"/>
      </tp>
      <tp t="s">
        <v>#N/A Requesting Data...725661646</v>
        <stp/>
        <stp>BDP|8023230975554206472</stp>
        <tr r="U9" s="338"/>
      </tp>
      <tp t="s">
        <v>#N/A Requesting Data...2108887631</v>
        <stp/>
        <stp>BDP|2832828567039648888</stp>
        <tr r="D6" s="2"/>
      </tp>
      <tp t="s">
        <v>#N/A Requesting Data...1787630157</v>
        <stp/>
        <stp>BDP|1449141764908407306</stp>
        <tr r="F11" s="446"/>
      </tp>
      <tp t="s">
        <v>#N/A Requesting Data...2513642219</v>
        <stp/>
        <stp>BDP|7951947862590616582</stp>
        <tr r="AF31" s="1"/>
        <tr r="AF10" s="338"/>
      </tp>
      <tp t="s">
        <v>#N/A Requesting Data...3939079925</v>
        <stp/>
        <stp>BDP|9891481019803044282</stp>
        <tr r="G23" s="446"/>
      </tp>
      <tp t="s">
        <v>#N/A Requesting Data...1480513461</v>
        <stp/>
        <stp>BDP|4140538680732569611</stp>
        <tr r="V78" s="89"/>
      </tp>
      <tp t="s">
        <v>#N/A Requesting Data...3678560038</v>
        <stp/>
        <stp>BDP|1020228396141745649</stp>
        <tr r="T14" s="2"/>
      </tp>
      <tp t="s">
        <v>#N/A Requesting Data...2745043974</v>
        <stp/>
        <stp>BDP|2494420299585377788</stp>
        <tr r="E24" s="2"/>
      </tp>
      <tp t="s">
        <v>#N/A Requesting Data...2241191504</v>
        <stp/>
        <stp>BDP|7612533417436704812</stp>
        <tr r="AJ10" s="338"/>
      </tp>
      <tp t="s">
        <v>#N/A Requesting Data...3435484232</v>
        <stp/>
        <stp>BDP|9574059420494792234</stp>
        <tr r="L9" s="338"/>
        <tr r="J9" s="338"/>
      </tp>
      <tp t="s">
        <v>#N/A Requesting Data...1196015069</v>
        <stp/>
        <stp>BDP|3007975292676340821</stp>
        <tr r="G24" s="446"/>
      </tp>
      <tp>
        <v>49.95</v>
        <stp/>
        <stp>BDP|10089550128122679017|22</stp>
        <stp>TSM US 06/18/26 C340 Equity</stp>
        <stp>ask</stp>
        <tr r="Q27" s="2"/>
      </tp>
      <tp>
        <v>-0.24487738311290741</v>
        <stp/>
        <stp>BDP|3431413272118379814|22</stp>
        <stp>MRVL US 03/20/26 P70 Equity</stp>
        <stp>DELTA_MID_RT</stp>
        <tr r="AF17" s="2"/>
      </tp>
      <tp t="s">
        <v>#N/A Requesting Data...4037012134</v>
        <stp/>
        <stp>BDP|5266989866390412427</stp>
        <tr r="D38" s="446"/>
      </tp>
      <tp t="s">
        <v>#N/A N/A</v>
        <stp/>
        <stp>BDP|1156396167338661238</stp>
        <tr r="AQ10" s="2"/>
        <tr r="AQ11" s="2"/>
        <tr r="AQ12" s="2"/>
      </tp>
      <tp t="s">
        <v>#N/A Requesting Data...1987671810</v>
        <stp/>
        <stp>BDP|5976037388462069185</stp>
        <tr r="D95" s="89"/>
        <tr r="D19" s="89"/>
      </tp>
      <tp t="s">
        <v>#N/A N/A</v>
        <stp/>
        <stp>BDP|8452001835880289581</stp>
        <tr r="AB38" s="1"/>
      </tp>
      <tp t="s">
        <v>#N/A Requesting Data...3825078428</v>
        <stp/>
        <stp>BDP|6865956502756622717</stp>
        <tr r="AH12" s="338"/>
        <tr r="AJ12" s="338"/>
      </tp>
      <tp t="s">
        <v>#N/A Requesting Data...746856288</v>
        <stp/>
        <stp>BDP|2379295593121097618</stp>
        <tr r="D44" s="446"/>
      </tp>
      <tp t="b">
        <v>0</v>
        <stp/>
        <stp>BDH|9889812587324002378</stp>
        <tr r="AM9" s="338"/>
      </tp>
      <tp t="s">
        <v>#N/A N/A</v>
        <stp/>
        <stp>BDP|8927803377951233812</stp>
        <tr r="AB68" s="89"/>
      </tp>
      <tp t="s">
        <v>#N/A Requesting Data...1792543370</v>
        <stp/>
        <stp>BDP|4428327227242666945</stp>
        <tr r="O43" s="89"/>
      </tp>
      <tp t="b">
        <v>0</v>
        <stp/>
        <stp>BDH|8552975597433734518</stp>
        <tr r="AN10" s="338"/>
      </tp>
      <tp t="s">
        <v>#N/A Requesting Data...2982607825</v>
        <stp/>
        <stp>BDP|9017729885150533822</stp>
        <tr r="D9" s="2"/>
      </tp>
      <tp t="s">
        <v>#N/A Requesting Data...913024994</v>
        <stp/>
        <stp>BDP|3634566470506988994</stp>
        <tr r="E20" s="2"/>
      </tp>
      <tp t="s">
        <v>#N/A Requesting Data...593330386</v>
        <stp/>
        <stp>BDP|2292616657717420814</stp>
        <tr r="AF8" s="338"/>
      </tp>
      <tp t="s">
        <v>#N/A N/A</v>
        <stp/>
        <stp>BDP|1704402293557704529</stp>
        <tr r="N7" s="1"/>
      </tp>
      <tp t="s">
        <v>#N/A Requesting Data...1094532779</v>
        <stp/>
        <stp>BDP|8563663333841210245</stp>
        <tr r="T11" s="2"/>
      </tp>
      <tp t="s">
        <v>#N/A Requesting Data...1211941567</v>
        <stp/>
        <stp>BDP|5623416671028593055</stp>
        <tr r="AI9" s="338"/>
        <tr r="AK9" s="338"/>
      </tp>
      <tp t="s">
        <v>#N/A Requesting Data...2380024003</v>
        <stp/>
        <stp>BDP|8367650055794286172</stp>
        <tr r="T4" s="2"/>
      </tp>
      <tp t="s">
        <v>#N/A Requesting Data...3663683980</v>
        <stp/>
        <stp>BDP|3440269980961798639</stp>
        <tr r="AR25" s="2"/>
      </tp>
      <tp t="s">
        <v>#N/A Requesting Data...2285755419</v>
        <stp/>
        <stp>BDP|2314906258085901552</stp>
        <tr r="E105" s="89"/>
      </tp>
      <tp t="s">
        <v>#N/A Requesting Data...973954054</v>
        <stp/>
        <stp>BDP|2644203280360986688</stp>
        <tr r="AB31" s="1"/>
        <tr r="F35" s="446"/>
      </tp>
      <tp>
        <v>18.329999999999998</v>
        <stp/>
        <stp>BDP|1056906607050736285|22</stp>
        <stp>CPNG Equity</stp>
        <stp>LAST PRICE</stp>
        <tr r="L7" s="446"/>
      </tp>
      <tp>
        <v>359.95</v>
        <stp/>
        <stp>BDP|10734773146792366841|22</stp>
        <stp>TSM US Equity</stp>
        <stp>LAST_PRICE</stp>
        <tr r="Z27" s="2"/>
        <tr r="Z28" s="2"/>
      </tp>
      <tp t="s">
        <v>#N/A Requesting Data...1268686615</v>
        <stp/>
        <stp>BDP|3786323124408946521</stp>
        <tr r="D45" s="446"/>
      </tp>
      <tp t="s">
        <v>#N/A N/A</v>
        <stp/>
        <stp>BDP|2806504826139638334</stp>
        <tr r="AG31" s="1"/>
      </tp>
      <tp t="s">
        <v>#N/A Requesting Data...2255550497</v>
        <stp/>
        <stp>BDP|4784976331940308190</stp>
        <tr r="AA52" s="89"/>
        <tr r="Z52" s="89"/>
      </tp>
      <tp t="s">
        <v>#N/A N/A</v>
        <stp/>
        <stp>BDP|8119275495638947437</stp>
        <tr r="AI39" s="1"/>
      </tp>
      <tp t="s">
        <v>#N/A N/A</v>
        <stp/>
        <stp>BDP|1636156311717256992</stp>
        <tr r="AC24" s="2"/>
      </tp>
      <tp t="s">
        <v>#N/A Requesting Data...3492979812</v>
        <stp/>
        <stp>BDP|2842170687233636700</stp>
        <tr r="AH10" s="338"/>
      </tp>
      <tp t="s">
        <v>#N/A N/A</v>
        <stp/>
        <stp>BDP|4869589199183306457</stp>
        <tr r="K14" s="1"/>
      </tp>
      <tp t="s">
        <v>#N/A N/A</v>
        <stp/>
        <stp>BDP|7952717157178061208</stp>
        <tr r="AI44" s="1"/>
      </tp>
      <tp t="s">
        <v>#N/A Requesting Data...4128081076</v>
        <stp/>
        <stp>BDP|6268649388386345129</stp>
        <tr r="D52" s="89"/>
      </tp>
      <tp t="s">
        <v>#N/A Requesting Data...3778955296</v>
        <stp/>
        <stp>BDP|7576730522755872830</stp>
        <tr r="F38" s="446"/>
      </tp>
      <tp t="s">
        <v>#N/A Requesting Data...1966803038</v>
        <stp/>
        <stp>BDP|9298275616650973564</stp>
        <tr r="AR14" s="2"/>
      </tp>
      <tp t="s">
        <v>#N/A N/A</v>
        <stp/>
        <stp>BDP|4511290661908043710</stp>
        <tr r="AB28" s="1"/>
      </tp>
      <tp t="s">
        <v>#N/A N/A</v>
        <stp/>
        <stp>BDP|3243919885914808926</stp>
        <tr r="AB14" s="1"/>
      </tp>
      <tp t="s">
        <v>#N/A Requesting Data...2936099622</v>
        <stp/>
        <stp>BDP|4227835034271013190</stp>
        <tr r="D11" s="2"/>
      </tp>
      <tp t="s">
        <v>#N/A Requesting Data...3196978692</v>
        <stp/>
        <stp>BDP|9539667201337640785</stp>
        <tr r="U12" s="338"/>
      </tp>
      <tp t="s">
        <v>#N/A Requesting Data...1580346280</v>
        <stp/>
        <stp>BDP|7446900777882759491</stp>
        <tr r="AF15" s="1"/>
        <tr r="AG9" s="338"/>
      </tp>
      <tp t="s">
        <v>#N/A Requesting Data...1695145506</v>
        <stp/>
        <stp>BDP|8622760163721094706</stp>
        <tr r="Z86" s="89"/>
        <tr r="Z87" s="89"/>
        <tr r="AA86" s="89"/>
        <tr r="AA87" s="89"/>
      </tp>
      <tp t="s">
        <v>#N/A Requesting Data...1802588421</v>
        <stp/>
        <stp>BDP|6981952152763597689</stp>
        <tr r="C19" s="2"/>
      </tp>
      <tp t="s">
        <v>#N/A Requesting Data...3026075102</v>
        <stp/>
        <stp>BDP|5576438787561382724</stp>
        <tr r="AJ9" s="338"/>
      </tp>
      <tp t="s">
        <v>#N/A Requesting Data...2975052941</v>
        <stp/>
        <stp>BDP|7606334015923428957</stp>
        <tr r="E44" s="89"/>
      </tp>
      <tp t="s">
        <v>#N/A Requesting Data...2390587188</v>
        <stp/>
        <stp>BDP|2475069015355307957</stp>
        <tr r="V87" s="89"/>
        <tr r="V86" s="89"/>
      </tp>
      <tp t="s">
        <v>#N/A Requesting Data...3987566377</v>
        <stp/>
        <stp>BDP|9274343827420648768</stp>
        <tr r="G10" s="446"/>
      </tp>
      <tp t="s">
        <v>#N/A Requesting Data...1225188170</v>
        <stp/>
        <stp>BDP|1937197186723171466</stp>
        <tr r="F27" s="2"/>
      </tp>
      <tp t="s">
        <v>#N/A N/A</v>
        <stp/>
        <stp>BDP|7385638697900780713</stp>
        <tr r="AB36" s="1"/>
      </tp>
      <tp t="s">
        <v>#N/A Requesting Data...2486813949</v>
        <stp/>
        <stp>BDP|9728149439951510598</stp>
        <tr r="F17" s="2"/>
      </tp>
      <tp t="s">
        <v>#N/A Requesting Data...2789526383</v>
        <stp/>
        <stp>BDP|6970093451128790412</stp>
        <tr r="T16" s="2"/>
      </tp>
      <tp t="s">
        <v>#N/A Requesting Data...2787049164</v>
        <stp/>
        <stp>BDP|1070029333065182873</stp>
        <tr r="E7" s="2"/>
      </tp>
      <tp t="s">
        <v>#N/A N/A</v>
        <stp/>
        <stp>BDP|7185263421080695874</stp>
        <tr r="AG43" s="1"/>
      </tp>
      <tp t="s">
        <v>#N/A Requesting Data...1789688519</v>
        <stp/>
        <stp>BDP|6160662584120657700</stp>
        <tr r="G12" s="446"/>
      </tp>
      <tp>
        <v>1.69</v>
        <stp/>
        <stp>BDP|18030939548714344171|22</stp>
        <stp>QQQ US 02/25/26 C615 Equity</stp>
        <stp>ask</stp>
        <tr r="L95" s="89"/>
        <tr r="L19" s="89"/>
        <tr r="Q25" s="2"/>
      </tp>
      <tp>
        <v>333.565</v>
        <stp/>
        <stp>BDP|6093066913446547993|22</stp>
        <stp>AVGO Equity</stp>
        <stp>LAST_PRICE</stp>
        <tr r="I32" s="1"/>
      </tp>
      <tp>
        <v>366.56</v>
        <stp/>
        <stp>BDP|18350845475156370580|22</stp>
        <stp>AMAT EQUITY</stp>
        <stp>LAST_PRICE</stp>
        <tr r="H4" s="1"/>
      </tp>
      <tp>
        <v>47.05</v>
        <stp/>
        <stp>BDP|14476957307763141828|22</stp>
        <stp>TSM US 06/18/26 C340 Equity</stp>
        <stp>bid</stp>
        <tr r="P27" s="2"/>
      </tp>
      <tp>
        <v>-9.6327304840087891E-2</v>
        <stp/>
        <stp>BDP|2641201430782788314|22</stp>
        <stp>MRVL US 03/20/26 P60 Equity</stp>
        <stp>DELTA_MID_RT</stp>
        <tr r="AF18" s="2"/>
      </tp>
      <tp>
        <v>683.47</v>
        <stp/>
        <stp>BDP|11764468863197025710|22</stp>
        <stp>SPY EQUITY</stp>
        <stp>LAST_PRICE</stp>
        <tr r="L4" s="1"/>
      </tp>
      <tp t="s">
        <v>#N/A N/A</v>
        <stp/>
        <stp>BDP|2898694498747321222</stp>
        <tr r="E3" s="1"/>
      </tp>
      <tp t="s">
        <v>#N/A N/A</v>
        <stp/>
        <stp>BDP|7297889124804724106</stp>
        <tr r="K40" s="1"/>
      </tp>
      <tp t="s">
        <v>#N/A N/A</v>
        <stp/>
        <stp>BDP|5010474986457760687</stp>
        <tr r="AC16" s="1"/>
      </tp>
      <tp t="s">
        <v>#N/A N/A</v>
        <stp/>
        <stp>BDP|9333244719414698648</stp>
        <tr r="AG26" s="1"/>
      </tp>
      <tp t="s">
        <v>#N/A Requesting Data...3803315275</v>
        <stp/>
        <stp>BDP|3570060505739354288</stp>
        <tr r="F22" s="2"/>
      </tp>
      <tp t="s">
        <v>#N/A Requesting Data...4094140141</v>
        <stp/>
        <stp>BDP|7099656161528162789</stp>
        <tr r="E13" s="2"/>
      </tp>
      <tp t="s">
        <v>#N/A Requesting Data...887901269</v>
        <stp/>
        <stp>BDP|9541693808182769518</stp>
        <tr r="D29" s="446"/>
      </tp>
      <tp t="s">
        <v>#N/A N/A</v>
        <stp/>
        <stp>BDP|4088796183165826605</stp>
        <tr r="J8" s="1"/>
      </tp>
      <tp t="s">
        <v>#N/A Requesting Data...2807895426</v>
        <stp/>
        <stp>BDP|6024155984106720147</stp>
        <tr r="D28" s="2"/>
      </tp>
      <tp t="s">
        <v>#N/A Requesting Data...962279630</v>
        <stp/>
        <stp>BDP|6839173327418343594</stp>
        <tr r="F7" s="446"/>
      </tp>
      <tp t="s">
        <v>#N/A Requesting Data...1484430647</v>
        <stp/>
        <stp>BDP|8120807551048404570</stp>
        <tr r="V104" s="89"/>
      </tp>
      <tp t="b">
        <v>0</v>
        <stp/>
        <stp>BDH|6177299482167155382</stp>
        <tr r="AS12" s="338"/>
        <tr r="AS11" s="338"/>
        <tr r="AS10" s="338"/>
      </tp>
      <tp t="s">
        <v>#N/A N/A</v>
        <stp/>
        <stp>BDP|3552831651294208248</stp>
        <tr r="K30" s="1"/>
      </tp>
      <tp t="s">
        <v>#N/A Requesting Data...2089409570</v>
        <stp/>
        <stp>BDP|7027987678572062314</stp>
        <tr r="AC34" s="1"/>
        <tr r="D36" s="446"/>
      </tp>
      <tp t="s">
        <v>#N/A N/A</v>
        <stp/>
        <stp>BDP|9400997768466424874</stp>
        <tr r="AV13" s="2"/>
      </tp>
      <tp t="s">
        <v>#N/A Requesting Data...3748975247</v>
        <stp/>
        <stp>BDP|3206760488552923633</stp>
        <tr r="AR7" s="2"/>
      </tp>
      <tp t="s">
        <v>#N/A Requesting Data...1970985862</v>
        <stp/>
        <stp>BDP|9700577072422456111</stp>
        <tr r="C18" s="2"/>
      </tp>
      <tp t="s">
        <v>#N/A Requesting Data...4200286152</v>
        <stp/>
        <stp>BDP|7729357933776037950</stp>
        <tr r="F18" s="2"/>
      </tp>
      <tp t="s">
        <v>#N/A Requesting Data...1706789119</v>
        <stp/>
        <stp>BDP|9450040674965070308</stp>
        <tr r="E28" s="2"/>
      </tp>
      <tp>
        <v>0.1</v>
        <stp/>
        <stp>BDP|107856669483007268|22</stp>
        <stp>CSCO US 04/17/26 C95 Equity</stp>
        <stp>bid</stp>
        <tr r="P10" s="2"/>
      </tp>
      <tp t="s">
        <v>#N/A Requesting Data...1672141091</v>
        <stp/>
        <stp>BDP|9788785317823069539</stp>
        <tr r="C53" s="89"/>
      </tp>
      <tp t="s">
        <v>#N/A Requesting Data...1894271204</v>
        <stp/>
        <stp>BDP|8867427686274035940</stp>
        <tr r="C7" s="2"/>
      </tp>
      <tp t="s">
        <v>#N/A Requesting Data...1866972626</v>
        <stp/>
        <stp>BDP|2257884823860585153</stp>
        <tr r="C52" s="89"/>
      </tp>
      <tp t="s">
        <v>#N/A Requesting Data...3123551207</v>
        <stp/>
        <stp>BDP|2463897743725982291</stp>
        <tr r="F20" s="446"/>
      </tp>
      <tp t="s">
        <v>#N/A N/A</v>
        <stp/>
        <stp>BDP|8207706352447744484</stp>
        <tr r="AG38" s="1"/>
      </tp>
      <tp t="s">
        <v>#N/A Requesting Data...2015392675</v>
        <stp/>
        <stp>BDP|3807152186686212561</stp>
        <tr r="V13" s="89"/>
        <tr r="AD22" s="2"/>
      </tp>
      <tp t="s">
        <v>#N/A N/A</v>
        <stp/>
        <stp>BDP|4257808009861032472</stp>
        <tr r="AC10" s="2"/>
        <tr r="AC11" s="2"/>
        <tr r="AC12" s="2"/>
      </tp>
      <tp t="s">
        <v>#N/A N/A</v>
        <stp/>
        <stp>BDP|9841476796028359579</stp>
        <tr r="AG41" s="1"/>
      </tp>
      <tp t="s">
        <v>#N/A N/A</v>
        <stp/>
        <stp>BDP|3087266777367014837</stp>
        <tr r="AI16" s="1"/>
      </tp>
      <tp t="s">
        <v>#N/A Requesting Data...2523798339</v>
        <stp/>
        <stp>BDP|3411193788855096676</stp>
        <tr r="AA28" s="2"/>
      </tp>
      <tp t="s">
        <v>#N/A Requesting Data...3648629207</v>
        <stp/>
        <stp>BDP|7993388784955622003</stp>
        <tr r="L42" s="1"/>
        <tr r="N103" s="89"/>
        <tr r="N104" s="89"/>
      </tp>
      <tp t="s">
        <v>#N/A N/A</v>
        <stp/>
        <stp>BDP|1209552834247328939</stp>
        <tr r="AC26" s="1"/>
      </tp>
      <tp t="s">
        <v>#N/A Requesting Data...3756264396</v>
        <stp/>
        <stp>BDP|3793014736688669153</stp>
        <tr r="E25" s="2"/>
      </tp>
      <tp t="b">
        <v>0</v>
        <stp/>
        <stp>BDH|2486378690419907895</stp>
        <tr r="AM10" s="338"/>
      </tp>
      <tp t="b">
        <v>0</v>
        <stp/>
        <stp>BDH|9494833481495571506</stp>
        <tr r="AP8" s="338"/>
      </tp>
      <tp t="s">
        <v>#N/A Requesting Data...2951085967</v>
        <stp/>
        <stp>BDP|2048477006706491956</stp>
        <tr r="X9" s="338"/>
      </tp>
      <tp t="s">
        <v>#N/A Requesting Data...3570448335</v>
        <stp/>
        <stp>BDP|8993500628312049404</stp>
        <tr r="E88" s="89"/>
      </tp>
      <tp t="s">
        <v>#N/A Requesting Data...3411319207</v>
        <stp/>
        <stp>BDP|6996528135771925816</stp>
        <tr r="T36" s="89"/>
      </tp>
      <tp t="s">
        <v>#N/A Requesting Data...1922029659</v>
        <stp/>
        <stp>BDP|8690033388548820123</stp>
        <tr r="AJ11" s="338"/>
      </tp>
      <tp t="s">
        <v>#N/A Requesting Data...2299422901</v>
        <stp/>
        <stp>BDP|6141864573737095712</stp>
        <tr r="T86" s="89"/>
        <tr r="T87" s="89"/>
      </tp>
      <tp t="s">
        <v>#N/A N/A</v>
        <stp/>
        <stp>BDP|8508395004434515685</stp>
        <tr r="AQ19" s="2"/>
        <tr r="AQ20" s="2"/>
      </tp>
      <tp>
        <v>15.4</v>
        <stp/>
        <stp>BDP|14111141271769378618|22</stp>
        <stp>META US 04/17/26 C690 Equity</stp>
        <stp>ask</stp>
        <tr r="L77" s="89"/>
      </tp>
      <tp>
        <v>7.65</v>
        <stp/>
        <stp>BDP|11099776990089383032|22</stp>
        <stp>AMZN US 07/17/26 C240 Equity</stp>
        <stp>ask</stp>
        <tr r="Q4" s="2"/>
      </tp>
      <tp>
        <v>353.90499999999997</v>
        <stp/>
        <stp>BDP|18199450611944645778|22</stp>
        <stp>SOXX EQUITY</stp>
        <stp>LAST_PRICE</stp>
        <tr r="L3" s="1"/>
      </tp>
      <tp t="s">
        <v>#N/A Requesting Data...3695952212</v>
        <stp/>
        <stp>BDP|7230833674217968563</stp>
        <tr r="S12" s="338"/>
      </tp>
      <tp t="s">
        <v>#N/A Requesting Data...2070743334</v>
        <stp/>
        <stp>BDP|2861406847140540819</stp>
        <tr r="V96" s="89"/>
        <tr r="AD26" s="2"/>
      </tp>
      <tp t="s">
        <v>#N/A Requesting Data...3891200789</v>
        <stp/>
        <stp>BDP|7579945312460858501</stp>
        <tr r="AD24" s="2"/>
        <tr r="V44" s="89"/>
      </tp>
      <tp t="s">
        <v>#N/A N/A</v>
        <stp/>
        <stp>BDP|3603190722478324251</stp>
        <tr r="AI34" s="1"/>
      </tp>
      <tp t="s">
        <v>#N/A N/A</v>
        <stp/>
        <stp>BDP|1841797186795773188</stp>
        <tr r="AV14" s="2"/>
        <tr r="R7" s="89"/>
        <tr r="R8" s="89"/>
        <tr r="AV15" s="2"/>
      </tp>
      <tp t="s">
        <v>#N/A N/A</v>
        <stp/>
        <stp>BDP|6392840872006556586</stp>
        <tr r="E8" s="1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Requesting Data...2753003896</v>
        <stp/>
        <stp>BDP|5694566739191472812</stp>
        <tr r="AA36" s="89"/>
        <tr r="Z36" s="89"/>
      </tp>
      <tp t="s">
        <v>#N/A Requesting Data...3092753328</v>
        <stp/>
        <stp>BDP|2322958882768230140</stp>
        <tr r="E86" s="89"/>
        <tr r="E62" s="89"/>
        <tr r="E87" s="89"/>
      </tp>
      <tp t="s">
        <v>#N/A Requesting Data...2864953220</v>
        <stp/>
        <stp>BDP|7636537087070841094</stp>
        <tr r="T31" s="89"/>
      </tp>
      <tp t="s">
        <v>#N/A Requesting Data...1933800518</v>
        <stp/>
        <stp>BDP|8997220511470826124</stp>
        <tr r="E103" s="89"/>
      </tp>
      <tp t="s">
        <v>#N/A N/A</v>
        <stp/>
        <stp>BDP|8471485932241814460</stp>
        <tr r="AB105" s="89"/>
        <tr r="AQ4" s="2"/>
        <tr r="AQ5" s="2"/>
      </tp>
      <tp t="s">
        <v>#N/A N/A</v>
        <stp/>
        <stp>BDP|6310164690724411011</stp>
        <tr r="J7" s="1"/>
      </tp>
      <tp t="s">
        <v>#N/A N/A</v>
        <stp/>
        <stp>BDP|8582278211013363216</stp>
        <tr r="AI15" s="1"/>
      </tp>
      <tp t="s">
        <v>#N/A Requesting Data...1312416736</v>
        <stp/>
        <stp>BDP|9965794027725386324</stp>
        <tr r="AB21" s="1"/>
        <tr r="F26" s="446"/>
      </tp>
      <tp t="s">
        <v>#N/A Requesting Data...1165656593</v>
        <stp/>
        <stp>BDP|6264442686087790708</stp>
        <tr r="T8" s="89"/>
      </tp>
      <tp t="s">
        <v>#N/A Requesting Data...2993816902</v>
        <stp/>
        <stp>BDP|1250588599646551134</stp>
        <tr r="E36" s="89"/>
      </tp>
      <tp t="s">
        <v>#N/A N/A</v>
        <stp/>
        <stp>BDP|2140911238616808459</stp>
        <tr r="AB77" s="89"/>
        <tr r="AB78" s="89"/>
        <tr r="AB79" s="89"/>
        <tr r="AB88" s="89"/>
        <tr r="AQ16" s="2"/>
      </tp>
      <tp>
        <v>1.3</v>
        <stp/>
        <stp>BDP|14632644245714909657|22</stp>
        <stp>LITE US 02/20/26 C690 Equity</stp>
        <stp>ask</stp>
        <tr r="L7" s="89"/>
      </tp>
      <tp t="s">
        <v>#N/A Real Time</v>
        <stp/>
        <stp>BDP|11422101846013417478|22</stp>
        <stp>SPXW US 12/31/25 C6950 Index</stp>
        <stp>bid</stp>
        <tr r="K68" s="89"/>
      </tp>
      <tp>
        <v>48.5</v>
        <stp/>
        <stp>BDP|12794319931511644694|22</stp>
        <stp>TSM US 06/18/26 C340 Equity</stp>
        <stp>mid</stp>
        <tr r="L27" s="2"/>
      </tp>
      <tp t="s">
        <v>#N/A N/A</v>
        <stp/>
        <stp>BDP|8113848798580680214</stp>
        <tr r="AG42" s="1"/>
      </tp>
      <tp t="s">
        <v>#N/A Requesting Data...3453630533</v>
        <stp/>
        <stp>BDP|4720977352876139588</stp>
        <tr r="AD15" s="2"/>
      </tp>
      <tp t="s">
        <v>#N/A Requesting Data...1324515343</v>
        <stp/>
        <stp>BDP|6510947886299847572</stp>
        <tr r="E26" s="2"/>
      </tp>
      <tp t="s">
        <v>#N/A Requesting Data...4224964473</v>
        <stp/>
        <stp>BDP|7947858597459107431</stp>
        <tr r="T62" s="89"/>
      </tp>
      <tp t="s">
        <v>#N/A Requesting Data...2045294247</v>
        <stp/>
        <stp>BDP|4502789287684003446</stp>
        <tr r="AR16" s="2"/>
      </tp>
      <tp t="s">
        <v>#N/A Requesting Data...1397180299</v>
        <stp/>
        <stp>BDP|5898664320393671969</stp>
        <tr r="C43" s="89"/>
      </tp>
      <tp t="s">
        <v>#N/A N/A</v>
        <stp/>
        <stp>BDP|9866940913692641877</stp>
        <tr r="AF22" s="1"/>
      </tp>
      <tp t="s">
        <v>#N/A Requesting Data...3053596923</v>
        <stp/>
        <stp>BDP|8737954890503872047</stp>
        <tr r="D33" s="446"/>
      </tp>
      <tp t="s">
        <v>#N/A Requesting Data...3633883237</v>
        <stp/>
        <stp>BDP|2112788937098040510</stp>
        <tr r="AJ9" s="338"/>
        <tr r="AH9" s="338"/>
      </tp>
      <tp t="s">
        <v>#N/A Requesting Data...2385769638</v>
        <stp/>
        <stp>BDP|7374956153436911633</stp>
        <tr r="T7" s="2"/>
      </tp>
      <tp t="s">
        <v>#N/A Requesting Data...1222033966</v>
        <stp/>
        <stp>BDP|8251598477526082702</stp>
        <tr r="V37" s="89"/>
      </tp>
      <tp t="s">
        <v>#N/A N/A</v>
        <stp/>
        <stp>BDP|8260183404423443160</stp>
        <tr r="L30" s="1"/>
      </tp>
      <tp t="s">
        <v>#N/A Requesting Data...840950967</v>
        <stp/>
        <stp>BDP|7001248851652159998</stp>
        <tr r="T10" s="338"/>
      </tp>
      <tp t="s">
        <v>#N/A Requesting Data...3123003976</v>
        <stp/>
        <stp>BDP|9495447526942096644</stp>
        <tr r="AD18" s="2"/>
      </tp>
      <tp t="s">
        <v>#N/A Requesting Data...3910498861</v>
        <stp/>
        <stp>BDP|8877503375972789382</stp>
        <tr r="E19" s="2"/>
      </tp>
      <tp t="s">
        <v>#N/A N/A</v>
        <stp/>
        <stp>BDP|2220703499371845606</stp>
        <tr r="AV21" s="2"/>
        <tr r="AV22" s="2"/>
        <tr r="AV23" s="2"/>
        <tr r="R13" s="89"/>
        <tr r="R14" s="89"/>
      </tp>
      <tp t="s">
        <v>#N/A Requesting Data...2078697282</v>
        <stp/>
        <stp>BDP|6800257143668429390</stp>
        <tr r="O31" s="89"/>
      </tp>
      <tp t="s">
        <v>#N/A Requesting Data...3285545524</v>
        <stp/>
        <stp>BDP|9615961074615640914</stp>
        <tr r="AK10" s="338"/>
        <tr r="AK11" s="338"/>
        <tr r="AK12" s="338"/>
      </tp>
      <tp t="s">
        <v>#N/A Requesting Data...958461759</v>
        <stp/>
        <stp>BDP|6241611932378988086</stp>
        <tr r="G42" s="446"/>
      </tp>
      <tp t="s">
        <v>#N/A Requesting Data...2832368701</v>
        <stp/>
        <stp>BDP|7985659615982817917</stp>
        <tr r="V12" s="338"/>
      </tp>
      <tp t="s">
        <v>#N/A N/A</v>
        <stp/>
        <stp>BDP|9166490303764928247</stp>
        <tr r="AI29" s="1"/>
      </tp>
      <tp t="s">
        <v>#N/A Requesting Data...4196951983</v>
        <stp/>
        <stp>BDP|2612160096671704068</stp>
        <tr r="D31" s="446"/>
      </tp>
      <tp t="s">
        <v>#N/A Requesting Data...1218141578</v>
        <stp/>
        <stp>BDP|6048392586087350188</stp>
        <tr r="F19" s="2"/>
      </tp>
      <tp t="s">
        <v>#N/A Requesting Data...1389478555</v>
        <stp/>
        <stp>BDP|9318183699928316256</stp>
        <tr r="D43" s="446"/>
      </tp>
      <tp t="s">
        <v>#N/A Requesting Data...2235177061</v>
        <stp/>
        <stp>BDP|2130704157473529871</stp>
        <tr r="C17" s="2"/>
      </tp>
      <tp t="s">
        <v>#N/A Requesting Data...3574605944</v>
        <stp/>
        <stp>BDP|8633363721614159645</stp>
        <tr r="G8" s="446"/>
      </tp>
      <tp t="s">
        <v>#N/A Requesting Data...1083202702</v>
        <stp/>
        <stp>BDP|2531545265849859392</stp>
        <tr r="E7" s="89"/>
      </tp>
      <tp t="s">
        <v>#N/A N/A</v>
        <stp/>
        <stp>BDP|7445915677442443033</stp>
        <tr r="AC29" s="1"/>
      </tp>
      <tp>
        <v>78.834999999999994</v>
        <stp/>
        <stp>BDP|2279876738225149449|22</stp>
        <stp>MRVL US Equity</stp>
        <stp>LAST_PRICE</stp>
        <tr r="Z17" s="2"/>
        <tr r="Z18" s="2"/>
      </tp>
      <tp>
        <v>-4.3701347894966602E-3</v>
        <stp/>
        <stp>BDP|8924407735712467723|22</stp>
        <stp>CSCO US 04/17/26 C100 Equity</stp>
        <stp>theta_mid_rt</stp>
        <tr r="AN11" s="2"/>
      </tp>
      <tp t="s">
        <v>#N/A N/A</v>
        <stp/>
        <stp>BDP|9669031297401111598</stp>
        <tr r="AG36" s="1"/>
      </tp>
      <tp t="s">
        <v>#N/A N/A</v>
        <stp/>
        <stp>BDP|4283940605309327082</stp>
        <tr r="AV6" s="2"/>
        <tr r="AV7" s="2"/>
      </tp>
      <tp t="s">
        <v>#N/A Requesting Data...3717002114</v>
        <stp/>
        <stp>BDP|3958804124584137945</stp>
        <tr r="T13" s="2"/>
      </tp>
      <tp t="s">
        <v>#N/A N/A</v>
        <stp/>
        <stp>BDP|4966659791349467604</stp>
        <tr r="AF16" s="1"/>
      </tp>
      <tp t="s">
        <v>#N/A Requesting Data...2930350709</v>
        <stp/>
        <stp>BDP|2906346500884364176</stp>
        <tr r="AJ8" s="338"/>
      </tp>
      <tp t="s">
        <v>#N/A Requesting Data...3681538400</v>
        <stp/>
        <stp>BDP|3419727698730200952</stp>
        <tr r="AR6" s="2"/>
      </tp>
      <tp t="s">
        <v>#N/A Requesting Data...2302003099</v>
        <stp/>
        <stp>BDP|2881945382135793200</stp>
        <tr r="AA31" s="89"/>
        <tr r="Z31" s="89"/>
      </tp>
      <tp t="s">
        <v>#N/A N/A</v>
        <stp/>
        <stp>BDP|1105691956700330633</stp>
        <tr r="AG32" s="1"/>
      </tp>
      <tp t="s">
        <v>#N/A Requesting Data...1647333889</v>
        <stp/>
        <stp>BDP|7494523709231730773</stp>
        <tr r="F31" s="446"/>
      </tp>
      <tp t="s">
        <v>#N/A Requesting Data...3395378838</v>
        <stp/>
        <stp>BDP|6834651375491155262</stp>
        <tr r="D104" s="89"/>
      </tp>
      <tp t="s">
        <v>#N/A N/A</v>
        <stp/>
        <stp>BDP|2743037479982482367</stp>
        <tr r="AF39" s="1"/>
      </tp>
      <tp t="s">
        <v>#N/A Requesting Data...2911136177</v>
        <stp/>
        <stp>BDP|2711721063953316499</stp>
        <tr r="AA30" s="89"/>
        <tr r="Z30" s="89"/>
      </tp>
      <tp t="s">
        <v>#N/A Requesting Data...3868289430</v>
        <stp/>
        <stp>BDP|4916349981223611875</stp>
        <tr r="T14" s="89"/>
        <tr r="AA23" s="2"/>
      </tp>
      <tp t="s">
        <v>#N/A Requesting Data...2708921776</v>
        <stp/>
        <stp>BDP|9063402768959888626</stp>
        <tr r="AA13" s="2"/>
      </tp>
      <tp t="s">
        <v>#N/A Requesting Data...1304523671</v>
        <stp/>
        <stp>BDP|1903582279924293387</stp>
        <tr r="E95" s="89"/>
        <tr r="E19" s="89"/>
      </tp>
      <tp t="s">
        <v>#N/A Requesting Data...2628328092</v>
        <stp/>
        <stp>BDP|1615244074723761330</stp>
        <tr r="T12" s="338"/>
      </tp>
      <tp t="s">
        <v>#N/A N/A</v>
        <stp/>
        <stp>BDP|9388220856722747837</stp>
        <tr r="AF18" s="1"/>
        <tr r="AF17" s="1"/>
        <tr r="AF19" s="1"/>
      </tp>
      <tp t="s">
        <v>#N/A Requesting Data...1479987883</v>
        <stp/>
        <stp>BDP|5790626169004593599</stp>
        <tr r="F40" s="446"/>
      </tp>
      <tp t="s">
        <v>#N/A N/A</v>
        <stp/>
        <stp>BDP|7599424229276827376</stp>
        <tr r="AF44" s="1"/>
      </tp>
      <tp t="s">
        <v>#N/A N/A</v>
        <stp/>
        <stp>BDP|1398003727344666338</stp>
        <tr r="AI42" s="1"/>
      </tp>
      <tp t="s">
        <v>#N/A N/A</v>
        <stp/>
        <stp>BDP|6940186872470420463</stp>
        <tr r="AI33" s="1"/>
      </tp>
      <tp t="s">
        <v>#N/A Requesting Data...1080032835</v>
        <stp/>
        <stp>BDP|5028796441871860363</stp>
        <tr r="D8" s="2"/>
      </tp>
      <tp t="s">
        <v>#N/A Requesting Data...1515700006</v>
        <stp/>
        <stp>BDP|5440482774885960773</stp>
        <tr r="AH12" s="338"/>
      </tp>
      <tp t="s">
        <v>#N/A Requesting Data...4112889219</v>
        <stp/>
        <stp>BDP|2357040805921494704</stp>
        <tr r="AJ9" s="338"/>
      </tp>
      <tp t="b">
        <v>0</v>
        <stp/>
        <stp>BDH|6362972162618416546</stp>
        <tr r="AS9" s="338"/>
      </tp>
      <tp t="b">
        <v>0</v>
        <stp/>
        <stp>BDH|1819710512086516585</stp>
        <tr r="AN11" s="338"/>
      </tp>
      <tp t="s">
        <v>#N/A Requesting Data...2104688303</v>
        <stp/>
        <stp>BDP|9149217623255125851</stp>
        <tr r="V31" s="89"/>
      </tp>
      <tp t="s">
        <v>#N/A Requesting Data...3837095988</v>
        <stp/>
        <stp>BDP|8103428543709687520</stp>
        <tr r="G5" s="446"/>
        <tr r="G6" s="446"/>
      </tp>
      <tp t="s">
        <v>#N/A Requesting Data...1044188018</v>
        <stp/>
        <stp>BDP|5430094244624859152</stp>
        <tr r="D34" s="446"/>
      </tp>
      <tp t="b">
        <v>0</v>
        <stp/>
        <stp>BDH|2309098286679848707</stp>
        <tr r="AM11" s="338"/>
      </tp>
      <tp t="s">
        <v>#N/A Requesting Data...3587224507</v>
        <stp/>
        <stp>BDP|1078729632953183247</stp>
        <tr r="AD10" s="2"/>
      </tp>
      <tp t="s">
        <v>#N/A Requesting Data...3256956941</v>
        <stp/>
        <stp>BDP|7007213395359878194</stp>
        <tr r="C16" s="2"/>
      </tp>
      <tp>
        <v>644.38499999999999</v>
        <stp/>
        <stp>BDP|3807768373389777345|22</stp>
        <stp>META Equity</stp>
        <stp>LAST_PRICE</stp>
        <tr r="I21" s="1"/>
      </tp>
      <tp>
        <v>108.97</v>
        <stp/>
        <stp>BDP|7985005465703992696|22</stp>
        <stp>AKAM Equity</stp>
        <stp>LAST_PRICE</stp>
        <tr r="I37" s="1"/>
      </tp>
      <tp>
        <v>102.52</v>
        <stp/>
        <stp>BDP|4389152314038046903|22</stp>
        <stp>QQQE Equity</stp>
        <stp>LAST_PRICE</stp>
        <tr r="I16" s="1"/>
      </tp>
      <tp>
        <v>103.43</v>
        <stp/>
        <stp>BDP|11512636158714040679|22</stp>
        <stp>GDX EQUITY</stp>
        <stp>LAST_PRICE</stp>
        <tr r="L10" s="1"/>
      </tp>
      <tp t="s">
        <v>USD</v>
        <stp/>
        <stp>BDP|17220248807596378275|22</stp>
        <stp>JETS US 03/20/26 P26 Equity</stp>
        <stp>QUOTED_CURRENCY_REALTIME</stp>
        <tr r="G24" s="2"/>
        <tr r="F44" s="89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Data...3465023815</v>
        <stp/>
        <stp>BDP|9005897765572380053</stp>
        <tr r="E17" s="2"/>
      </tp>
      <tp t="s">
        <v>#N/A N/A</v>
        <stp/>
        <stp>BDP|1163242074811817033</stp>
        <tr r="AV4" s="2"/>
        <tr r="AV5" s="2"/>
        <tr r="R105" s="89"/>
      </tp>
      <tp t="s">
        <v>#N/A N/A</v>
        <stp/>
        <stp>BDP|2935461966306109320</stp>
        <tr r="AC27" s="1"/>
      </tp>
      <tp t="s">
        <v>#N/A Requesting Data...1452705656</v>
        <stp/>
        <stp>BDP|4780459414043985746</stp>
        <tr r="S9" s="338"/>
      </tp>
      <tp t="s">
        <v>#N/A Requesting Data...1139873029</v>
        <stp/>
        <stp>BDP|3715220583989463590</stp>
        <tr r="F30" s="446"/>
      </tp>
      <tp t="s">
        <v>#N/A Requesting Data...2488467722</v>
        <stp/>
        <stp>BDP|3983744460122577503</stp>
        <tr r="AF32" s="1"/>
        <tr r="AF12" s="338"/>
      </tp>
      <tp t="s">
        <v>#N/A Requesting Data...822058629</v>
        <stp/>
        <stp>BDP|3617391345682291314</stp>
        <tr r="D7" s="2"/>
      </tp>
      <tp t="s">
        <v>#N/A N/A</v>
        <stp/>
        <stp>BDP|3051431949301095732</stp>
        <tr r="AB39" s="1"/>
      </tp>
      <tp t="s">
        <v>#N/A Requesting Data...2737888969</v>
        <stp/>
        <stp>BDP|9260849128942358439</stp>
        <tr r="AD16" s="2"/>
      </tp>
      <tp t="s">
        <v>#N/A N/A</v>
        <stp/>
        <stp>BDP|1071396022310529501</stp>
        <tr r="AF28" s="1"/>
      </tp>
      <tp t="s">
        <v>#N/A Requesting Data...3362790815</v>
        <stp/>
        <stp>BDP|2636595951407112010</stp>
        <tr r="D41" s="446"/>
      </tp>
      <tp t="s">
        <v>#N/A Requesting Data...1369725498</v>
        <stp/>
        <stp>BDP|6525006869707181227</stp>
        <tr r="AG10" s="338"/>
        <tr r="AG11" s="338"/>
        <tr r="AG12" s="338"/>
      </tp>
      <tp t="s">
        <v>#N/A Requesting Data...3651104562</v>
        <stp/>
        <stp>BDP|3535065497927976817</stp>
        <tr r="E11" s="2"/>
      </tp>
      <tp t="s">
        <v>#N/A N/A</v>
        <stp/>
        <stp>BDP|7410592363259611858</stp>
        <tr r="N3" s="1"/>
      </tp>
      <tp t="s">
        <v>#N/A Requesting Data...2640093932</v>
        <stp/>
        <stp>BDP|9998409481797157749</stp>
        <tr r="T61" s="89"/>
      </tp>
      <tp t="s">
        <v>#N/A N/A</v>
        <stp/>
        <stp>BDP|1589468757956595330</stp>
        <tr r="AB16" s="1"/>
      </tp>
      <tp t="s">
        <v>#N/A Requesting Data...3461950427</v>
        <stp/>
        <stp>BDP|5133852355808281539</stp>
        <tr r="AD17" s="2"/>
      </tp>
      <tp t="s">
        <v>#N/A N/A</v>
        <stp/>
        <stp>BDP|9525835047501594141</stp>
        <tr r="AG20" s="1"/>
      </tp>
      <tp t="s">
        <v>#N/A N/A</v>
        <stp/>
        <stp>BDP|6695752411146080338</stp>
        <tr r="AG24" s="1"/>
        <tr r="AG25" s="1"/>
      </tp>
      <tp t="s">
        <v>#N/A N/A</v>
        <stp/>
        <stp>BDP|4316184976870928759</stp>
        <tr r="AF37" s="1"/>
      </tp>
      <tp t="s">
        <v>#N/A Requesting Data...3589185990</v>
        <stp/>
        <stp>BDP|7605824123750285830</stp>
        <tr r="E13" s="89"/>
      </tp>
      <tp t="s">
        <v>#N/A N/A</v>
        <stp/>
        <stp>BDP|3531766210442590208</stp>
        <tr r="AF23" s="1"/>
      </tp>
      <tp t="s">
        <v>#N/A Requesting Data...2625607819</v>
        <stp/>
        <stp>BDP|5962301366600823503</stp>
        <tr r="D7" s="89"/>
      </tp>
      <tp t="s">
        <v>#N/A Requesting Data...4118865676</v>
        <stp/>
        <stp>BDP|5474124358561155585</stp>
        <tr r="AA7" s="89"/>
        <tr r="Z7" s="89"/>
      </tp>
      <tp t="s">
        <v>#N/A N/A</v>
        <stp/>
        <stp>BDP|8627744419858747384</stp>
        <tr r="K28" s="1"/>
      </tp>
      <tp t="s">
        <v>#N/A Requesting Data...4253371426</v>
        <stp/>
        <stp>BDP|7460910680203620073</stp>
        <tr r="E27" s="2"/>
      </tp>
      <tp t="s">
        <v>#N/A N/A</v>
        <stp/>
        <stp>BDP|2426662074501571768</stp>
        <tr r="AI37" s="1"/>
      </tp>
      <tp>
        <v>120.8</v>
        <stp/>
        <stp>BDP|10387723808744264023|22</stp>
        <stp>LITE US 06/18/26 C720 Equity</stp>
        <stp>mid</stp>
        <tr r="L15" s="2"/>
      </tp>
      <tp>
        <v>50.3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28" s="2"/>
      </tp>
      <tp t="s">
        <v>#N/A Requesting Data...2131429184</v>
        <stp/>
        <stp>BDP|7188757863485888551</stp>
        <tr r="G39" s="446"/>
      </tp>
      <tp t="s">
        <v>#N/A Requesting Data...3795822382</v>
        <stp/>
        <stp>BDP|7978267068122812754</stp>
        <tr r="C21" s="2"/>
      </tp>
      <tp t="s">
        <v>#N/A N/A</v>
        <stp/>
        <stp>BDP|1481294716502130617</stp>
        <tr r="AB37" s="1"/>
      </tp>
      <tp t="s">
        <v>#N/A Requesting Data...2280615994</v>
        <stp/>
        <stp>BDP|4646626558147768607</stp>
        <tr r="T52" s="89"/>
      </tp>
      <tp t="s">
        <v>#N/A Requesting Data...3084165587</v>
        <stp/>
        <stp>BDP|5070769929923258550</stp>
        <tr r="D44" s="89"/>
      </tp>
      <tp t="s">
        <v>#N/A Requesting Data...916077179</v>
        <stp/>
        <stp>BDP|1754575979255457051</stp>
        <tr r="G14" s="446"/>
      </tp>
      <tp t="s">
        <v>#N/A Requesting Data...4012339724</v>
        <stp/>
        <stp>BDP|1955645005940026117</stp>
        <tr r="T37" s="89"/>
      </tp>
      <tp t="s">
        <v>#N/A Requesting Data...1226609435</v>
        <stp/>
        <stp>BDP|6095484704072209604</stp>
        <tr r="AJ10" s="338"/>
      </tp>
      <tp t="s">
        <v>#N/A Requesting Data...3348864058</v>
        <stp/>
        <stp>BDP|6921540255739678909</stp>
        <tr r="AK8" s="338"/>
      </tp>
      <tp t="s">
        <v>#N/A Requesting Data...4099792690</v>
        <stp/>
        <stp>BDP|6647458260250823259</stp>
        <tr r="AD20" s="2"/>
      </tp>
      <tp t="s">
        <v>#N/A Requesting Data...961699566</v>
        <stp/>
        <stp>BDP|5836174453674625345</stp>
        <tr r="V10" s="338"/>
      </tp>
      <tp t="s">
        <v>#N/A Requesting Data...2679683603</v>
        <stp/>
        <stp>BDP|6914181187250139988</stp>
        <tr r="AA8" s="2"/>
      </tp>
      <tp t="s">
        <v>#N/A Requesting Data...3125253977</v>
        <stp/>
        <stp>BDP|6424197278955809323</stp>
        <tr r="V62" s="89"/>
      </tp>
      <tp t="s">
        <v>#N/A Requesting Data...2645378174</v>
        <stp/>
        <stp>BDP|3930578222146831483</stp>
        <tr r="G43" s="446"/>
      </tp>
      <tp t="s">
        <v>#N/A N/A</v>
        <stp/>
        <stp>BDP|5969432556003847186</stp>
        <tr r="K42" s="1"/>
      </tp>
      <tp t="s">
        <v>#N/A Requesting Data...1819235041</v>
        <stp/>
        <stp>BDP|3166087990788095446</stp>
        <tr r="G21" s="446"/>
      </tp>
      <tp t="s">
        <v>#N/A Requesting Data...2470275329</v>
        <stp/>
        <stp>BDP|7756137857847935285</stp>
        <tr r="AA13" s="89"/>
        <tr r="Z13" s="89"/>
      </tp>
      <tp t="s">
        <v>#N/A N/A</v>
        <stp/>
        <stp>BDP|4148348666006447154</stp>
        <tr r="AF20" s="1"/>
      </tp>
      <tp t="s">
        <v>#N/A Requesting Data...3736621780</v>
        <stp/>
        <stp>BDP|3531676896459233342</stp>
        <tr r="G35" s="446"/>
      </tp>
      <tp t="s">
        <v>#N/A Requesting Data...1836585630</v>
        <stp/>
        <stp>BDP|1059373978494524791</stp>
        <tr r="AA12" s="2"/>
      </tp>
      <tp t="s">
        <v>#N/A N/A</v>
        <stp/>
        <stp>BDP|5681827533229472132</stp>
        <tr r="AB27" s="1"/>
      </tp>
      <tp t="s">
        <v>#N/A Requesting Data...4194286347</v>
        <stp/>
        <stp>BDP|1183356610207551274</stp>
        <tr r="T28" s="2"/>
      </tp>
      <tp t="s">
        <v>#N/A N/A</v>
        <stp/>
        <stp>BDP|6404903142698949582</stp>
        <tr r="AB40" s="1"/>
      </tp>
      <tp t="s">
        <v>#N/A Requesting Data...1390044988</v>
        <stp/>
        <stp>BDP|7287029213013036340</stp>
        <tr r="Q9" s="338"/>
      </tp>
      <tp t="s">
        <v>#N/A Requesting Data...4000581295</v>
        <stp/>
        <stp>BDP|8885961869603230210</stp>
        <tr r="AK8" s="338"/>
      </tp>
      <tp t="s">
        <v>#N/A Requesting Data...1594956349</v>
        <stp/>
        <stp>BDP|5018086030232967252</stp>
        <tr r="AA21" s="2"/>
      </tp>
      <tp t="s">
        <v>#N/A Requesting Data...2442358100</v>
        <stp/>
        <stp>BDP|1614615396948740029</stp>
        <tr r="C10" s="2"/>
      </tp>
      <tp t="s">
        <v>#N/A Requesting Data...2586012436</v>
        <stp/>
        <stp>BDP|4118603437684361310</stp>
        <tr r="AA8" s="89"/>
        <tr r="Z8" s="89"/>
      </tp>
      <tp t="s">
        <v>#N/A N/A</v>
        <stp/>
        <stp>BDP|1772751390731486839</stp>
        <tr r="AI38" s="1"/>
      </tp>
      <tp t="s">
        <v>#N/A N/A</v>
        <stp/>
        <stp>BDP|3256176262240474260</stp>
        <tr r="E4" s="1"/>
      </tp>
      <tp t="s">
        <v>#N/A Requesting Data...3139080105</v>
        <stp/>
        <stp>BDP|7214956164048318650</stp>
        <tr r="U10" s="338"/>
      </tp>
      <tp>
        <v>29.12</v>
        <stp/>
        <stp>BDP|6974647611160359685|22</stp>
        <stp>JETS US Equity</stp>
        <stp>LAST_PRICE</stp>
        <tr r="S44" s="89"/>
        <tr r="S43" s="89"/>
        <tr r="Z24" s="2"/>
      </tp>
      <tp>
        <v>644.38499999999999</v>
        <stp/>
        <stp>BDP|8831218337912200139|22</stp>
        <stp>META Equity</stp>
        <stp>LAST PRICE</stp>
        <tr r="G9" s="338"/>
      </tp>
      <tp>
        <v>-0.16627514362335205</v>
        <stp/>
        <stp>BDP|8795046347241444117|22</stp>
        <stp>AVGO US 06/18/26 C350 Equity</stp>
        <stp>theta_mid_rt</stp>
        <tr r="AN8" s="2"/>
      </tp>
      <tp t="s">
        <v>#N/A Requesting Data...4078728935</v>
        <stp/>
        <stp>BDP|8020655386713844215</stp>
        <tr r="D13" s="89"/>
      </tp>
      <tp t="s">
        <v>#N/A Requesting Data...3280813829</v>
        <stp/>
        <stp>BDP|4283425441594897730</stp>
        <tr r="AA77" s="89"/>
        <tr r="Z77" s="89"/>
      </tp>
      <tp t="s">
        <v>#N/A Requesting Data...2606794145</v>
        <stp/>
        <stp>BDP|5680737100072633784</stp>
        <tr r="T15" s="2"/>
      </tp>
      <tp t="s">
        <v>#N/A Requesting Data...1138438189</v>
        <stp/>
        <stp>BDP|4245799967772009077</stp>
        <tr r="D37" s="446"/>
      </tp>
      <tp t="s">
        <v>#N/A Requesting Data...3384199116</v>
        <stp/>
        <stp>BDP|4758516714777806016</stp>
        <tr r="AR17" s="2"/>
      </tp>
      <tp t="s">
        <v>#N/A N/A</v>
        <stp/>
        <stp>BDP|1799667169081092709</stp>
        <tr r="AB104" s="89"/>
      </tp>
      <tp t="s">
        <v>#N/A N/A</v>
        <stp/>
        <stp>BDP|7156185906827354649</stp>
        <tr r="AI13" s="1"/>
      </tp>
      <tp t="s">
        <v>#N/A Requesting Data...3524816735</v>
        <stp/>
        <stp>BDP|2748186330231316658</stp>
        <tr r="O30" s="89"/>
      </tp>
      <tp t="s">
        <v>#N/A N/A</v>
        <stp/>
        <stp>BDP|6577894425722203925</stp>
        <tr r="AI35" s="1"/>
      </tp>
      <tp t="s">
        <v>#N/A N/A</v>
        <stp/>
        <stp>BDP|6965263771385751104</stp>
        <tr r="K41" s="1"/>
      </tp>
      <tp t="s">
        <v>#N/A N/A</v>
        <stp/>
        <stp>BDP|5947737455944304421</stp>
        <tr r="AB35" s="1"/>
      </tp>
      <tp t="s">
        <v>#N/A Requesting Data...1013153488</v>
        <stp/>
        <stp>BDP|5125169105363920055</stp>
        <tr r="D14" s="2"/>
      </tp>
      <tp t="s">
        <v>#N/A Requesting Data...1054372465</v>
        <stp/>
        <stp>BDP|1092378379464484650</stp>
        <tr r="G9" s="446"/>
      </tp>
      <tp t="b">
        <v>0</v>
        <stp/>
        <stp>BDH|3746497761501525750</stp>
        <tr r="AM8" s="338"/>
      </tp>
      <tp t="s">
        <v>#N/A Requesting Data...4187623725</v>
        <stp/>
        <stp>BDP|7675645627431897518</stp>
        <tr r="C27" s="2"/>
      </tp>
      <tp t="s">
        <v>#N/A Requesting Data...3076412590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N/A</v>
        <stp/>
        <stp>BDP|9173062933899279466</stp>
        <tr r="AB30" s="1"/>
      </tp>
      <tp t="s">
        <v>#N/A Requesting Data...3960180541</v>
        <stp/>
        <stp>BDP|9683098287681113793</stp>
        <tr r="C79" s="89"/>
      </tp>
      <tp t="s">
        <v>#N/A Requesting Data...4237218141</v>
        <stp/>
        <stp>BDP|2784478986318472123</stp>
        <tr r="AD4" s="2"/>
      </tp>
      <tp t="s">
        <v>#N/A Requesting Data...3602632823</v>
        <stp/>
        <stp>BDP|9525520782895119651</stp>
        <tr r="C11" s="2"/>
      </tp>
      <tp t="s">
        <v>#N/A Requesting Data...1936582115</v>
        <stp/>
        <stp>BDP|7197759285846162962</stp>
        <tr r="V36" s="89"/>
      </tp>
      <tp t="s">
        <v>#N/A Requesting Data...3456187300</v>
        <stp/>
        <stp>BDP|4445164765726738268</stp>
        <tr r="AA78" s="89"/>
        <tr r="Z78" s="89"/>
      </tp>
      <tp t="s">
        <v>#N/A Requesting Data...2335834594</v>
        <stp/>
        <stp>BDP|1776687918603536244</stp>
        <tr r="AD13" s="2"/>
      </tp>
      <tp t="s">
        <v>#N/A Requesting Data...2958588525</v>
        <stp/>
        <stp>BDP|3079946121179139621</stp>
        <tr r="AA10" s="2"/>
      </tp>
      <tp t="s">
        <v>#N/A Requesting Data...3894842528</v>
        <stp/>
        <stp>BDP|7057279456164256342</stp>
        <tr r="S8" s="338"/>
      </tp>
      <tp t="s">
        <v>#N/A Requesting Data...2498636363</v>
        <stp/>
        <stp>BDP|7034052966182144450</stp>
        <tr r="G7" s="446"/>
      </tp>
      <tp t="s">
        <v>#N/A Requesting Data...2498579381</v>
        <stp/>
        <stp>BDP|1685711720524577765</stp>
        <tr r="T18" s="2"/>
      </tp>
      <tp t="s">
        <v>#N/A Requesting Data...1075388766</v>
        <stp/>
        <stp>BDP|1636158366620394139</stp>
        <tr r="V68" s="89"/>
      </tp>
      <tp t="s">
        <v>#N/A Requesting Data...2063367937</v>
        <stp/>
        <stp>BDP|8275322042931759904</stp>
        <tr r="D43" s="89"/>
      </tp>
      <tp t="s">
        <v>#N/A Requesting Data...1633281412</v>
        <stp/>
        <stp>BDP|7130911573469165773</stp>
        <tr r="AD8" s="2"/>
      </tp>
      <tp>
        <v>204.53100000000001</v>
        <stp/>
        <stp>BDP|4344863504285541564|22</stp>
        <stp>AMZN Equity</stp>
        <stp>LAST_PRICE</stp>
        <tr r="I22" s="1"/>
      </tp>
      <tp t="s">
        <v>#N/A Requesting Data...4036857479</v>
        <stp/>
        <stp>BDP|9478381283761550308</stp>
        <tr r="AD27" s="2"/>
      </tp>
      <tp t="s">
        <v>#N/A Requesting Data...1584320717</v>
        <stp/>
        <stp>BDP|3454753217493992655</stp>
        <tr r="AB34" s="1"/>
        <tr r="F36" s="446"/>
      </tp>
      <tp t="s">
        <v>#N/A N/A</v>
        <stp/>
        <stp>BDP|8148908707662517398</stp>
        <tr r="AG21" s="1"/>
      </tp>
      <tp t="s">
        <v>#N/A Requesting Data...2020893924</v>
        <stp/>
        <stp>BDP|6955622269271151797</stp>
        <tr r="T6" s="2"/>
      </tp>
      <tp t="s">
        <v>#N/A Requesting Data...1842151583</v>
        <stp/>
        <stp>BDP|1052686415597500132</stp>
        <tr r="C14" s="2"/>
      </tp>
      <tp t="s">
        <v>#N/A N/A</v>
        <stp/>
        <stp>BDP|3685516077896874709</stp>
        <tr r="AC4" s="2"/>
        <tr r="AC5" s="2"/>
      </tp>
      <tp t="s">
        <v>#N/A Requesting Data...1461365684</v>
        <stp/>
        <stp>BDP|2073373381748750195</stp>
        <tr r="F25" s="446"/>
      </tp>
      <tp t="s">
        <v>#N/A N/A</v>
        <stp/>
        <stp>BDP|5508729427063936303</stp>
        <tr r="AB33" s="1"/>
      </tp>
      <tp t="s">
        <v>#N/A N/A</v>
        <stp/>
        <stp>BDP|3833608477975887782</stp>
        <tr r="AC14" s="2"/>
        <tr r="AC15" s="2"/>
      </tp>
      <tp t="s">
        <v>#N/A Requesting Data...2659448029</v>
        <stp/>
        <stp>BDP|1856391709697262559</stp>
        <tr r="AA19" s="89"/>
        <tr r="AA95" s="89"/>
        <tr r="Z95" s="89"/>
        <tr r="Z19" s="89"/>
      </tp>
      <tp t="s">
        <v>#N/A Requesting Data...1643411938</v>
        <stp/>
        <stp>BDP|5959149956824211564</stp>
        <tr r="G38" s="446"/>
      </tp>
      <tp t="s">
        <v>#N/A Requesting Data...4214186261</v>
        <stp/>
        <stp>BDP|7447621373635349397</stp>
        <tr r="F7" s="2"/>
      </tp>
      <tp t="s">
        <v>#N/A Requesting Data...2792082618</v>
        <stp/>
        <stp>BDP|2855751622716118123</stp>
        <tr r="F9" s="2"/>
      </tp>
      <tp t="s">
        <v>#N/A Requesting Data...1913607483</v>
        <stp/>
        <stp>BDP|5381969730908949709</stp>
        <tr r="AD6" s="2"/>
      </tp>
      <tp t="s">
        <v>#N/A N/A</v>
        <stp/>
        <stp>BDP|6809118251995947735</stp>
        <tr r="AG18" s="1"/>
        <tr r="AG17" s="1"/>
        <tr r="AG19" s="1"/>
      </tp>
      <tp t="s">
        <v>#N/A Requesting Data...1119747234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8" s="2"/>
        <tr r="AQ9" s="2"/>
      </tp>
      <tp t="s">
        <v>#N/A N/A</v>
        <stp/>
        <stp>BDP|2925650370332906175</stp>
        <tr r="AI36" s="1"/>
      </tp>
      <tp t="s">
        <v>#N/A Requesting Data...3730468231</v>
        <stp/>
        <stp>BDP|3960122539301296028</stp>
        <tr r="O78" s="89"/>
      </tp>
      <tp t="s">
        <v>#N/A Requesting Data...1531621901</v>
        <stp/>
        <stp>BDP|2469275853951470473</stp>
        <tr r="F13" s="2"/>
      </tp>
      <tp t="s">
        <v>#N/A Requesting Data...1757196042</v>
        <stp/>
        <stp>BDP|4552037620785435316</stp>
        <tr r="P9" s="338"/>
      </tp>
      <tp t="s">
        <v>#N/A N/A</v>
        <stp/>
        <stp>BDP|8177301223040694940</stp>
        <tr r="AB23" s="1"/>
      </tp>
      <tp t="s">
        <v>#N/A Requesting Data...3108988060</v>
        <stp/>
        <stp>BDP|5137251643354744701</stp>
        <tr r="L12" s="338"/>
        <tr r="H12" s="338"/>
      </tp>
      <tp t="s">
        <v>#N/A Requesting Data...3188223146</v>
        <stp/>
        <stp>BDP|6283111272633911397</stp>
        <tr r="AJ11" s="338"/>
      </tp>
      <tp t="s">
        <v>#N/A Requesting Data...4188792604</v>
        <stp/>
        <stp>BDP|6494109425532457744</stp>
        <tr r="AD11" s="2"/>
      </tp>
      <tp t="s">
        <v>#N/A Requesting Data...2348047985</v>
        <stp/>
        <stp>BDP|2847624409581566518</stp>
        <tr r="D20" s="2"/>
      </tp>
      <tp t="s">
        <v>#N/A Requesting Data...4178052238</v>
        <stp/>
        <stp>BDP|4395157221960113710</stp>
        <tr r="C24" s="2"/>
      </tp>
      <tp>
        <v>0.66</v>
        <stp/>
        <stp>BDP|18018103764158585678|22</stp>
        <stp>QQQ US 02/25/26 C620 Equity</stp>
        <stp>ask</stp>
        <tr r="L20" s="89"/>
      </tp>
      <tp>
        <v>28.75</v>
        <stp/>
        <stp>BDP|13708122924811862625|22</stp>
        <stp>TSM US 06/18/26 C380 Equity</stp>
        <stp>mid</stp>
        <tr r="L28" s="2"/>
      </tp>
      <tp>
        <v>202.64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</tp>
      <tp t="s">
        <v>#N/A Requesting Data...3417280559</v>
        <stp/>
        <stp>BDP|9666379507452838959</stp>
        <tr r="O103" s="89"/>
      </tp>
      <tp t="s">
        <v>#N/A Requesting Data...3787042945</v>
        <stp/>
        <stp>BDP|7873439462153338720</stp>
        <tr r="AR23" s="2"/>
      </tp>
      <tp t="s">
        <v>#N/A N/A</v>
        <stp/>
        <stp>BDP|4559293195028546640</stp>
        <tr r="AB29" s="1"/>
      </tp>
      <tp t="s">
        <v>#N/A N/A</v>
        <stp/>
        <stp>BDP|5889104764011396273</stp>
        <tr r="AI31" s="1"/>
      </tp>
      <tp t="s">
        <v>#N/A Requesting Data...1628554179</v>
        <stp/>
        <stp>BDP|5944295861793852372</stp>
        <tr r="T10" s="2"/>
      </tp>
      <tp t="s">
        <v>#N/A Requesting Data...2394264601</v>
        <stp/>
        <stp>BDP|8728351878839134440</stp>
        <tr r="AI10" s="338"/>
        <tr r="AI11" s="338"/>
        <tr r="AI12" s="338"/>
      </tp>
      <tp t="s">
        <v>#N/A Requesting Data...3515916669</v>
        <stp/>
        <stp>BDP|4347376869088623847</stp>
        <tr r="AK9" s="338"/>
      </tp>
      <tp t="s">
        <v>#N/A Requesting Data...1583611298</v>
        <stp/>
        <stp>BDP|6241899226908646569</stp>
        <tr r="D42" s="446"/>
      </tp>
      <tp t="s">
        <v>#N/A Requesting Data...4010420548</v>
        <stp/>
        <stp>BDP|5183368778820171035</stp>
        <tr r="F45" s="446"/>
      </tp>
      <tp t="s">
        <v>#N/A Requesting Data...3282728651</v>
        <stp/>
        <stp>BDP|5678783394829319341</stp>
        <tr r="F28" s="2"/>
      </tp>
      <tp t="s">
        <v>#N/A N/A</v>
        <stp/>
        <stp>BDP|5223714776062803600</stp>
        <tr r="AC13" s="1"/>
      </tp>
      <tp t="s">
        <v>#N/A Requesting Data...2116507494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b">
        <v>0</v>
        <stp/>
        <stp>BDH|6286816484827763022</stp>
        <tr r="AP9" s="338"/>
      </tp>
      <tp t="s">
        <v>#N/A N/A</v>
        <stp/>
        <stp>BDP|9633924773914414208</stp>
        <tr r="AC6" s="2"/>
        <tr r="AC7" s="2"/>
      </tp>
      <tp t="s">
        <v>#N/A N/A</v>
        <stp/>
        <stp>BDP|9739406253298596110</stp>
        <tr r="AI20" s="1"/>
      </tp>
      <tp t="s">
        <v>#N/A N/A</v>
        <stp/>
        <stp>BDP|1821230040030393694</stp>
        <tr r="AQ17" s="2"/>
        <tr r="AQ18" s="2"/>
      </tp>
      <tp t="s">
        <v>#N/A Requesting Data...4047508225</v>
        <stp/>
        <stp>BDP|6324014549174281781</stp>
        <tr r="L8" s="338"/>
        <tr r="H8" s="338"/>
      </tp>
      <tp t="s">
        <v>#N/A N/A</v>
        <stp/>
        <stp>BDP|8968284987484412739</stp>
        <tr r="AQ27" s="2"/>
        <tr r="AQ28" s="2"/>
      </tp>
      <tp t="s">
        <v>#N/A Requesting Data...1915332220</v>
        <stp/>
        <stp>BDP|9939228331380883944</stp>
        <tr r="G11" s="446"/>
      </tp>
      <tp t="s">
        <v>#N/A N/A</v>
        <stp/>
        <stp>BDP|9780621726248155457</stp>
        <tr r="AC40" s="1"/>
      </tp>
      <tp t="s">
        <v>#N/A Requesting Data...3474961268</v>
        <stp/>
        <stp>BDP|2267087599569280367</stp>
        <tr r="P10" s="338"/>
      </tp>
      <tp t="s">
        <v>#N/A N/A</v>
        <stp/>
        <stp>BDP|6497440232258298876</stp>
        <tr r="AF13" s="1"/>
      </tp>
      <tp t="s">
        <v>#N/A Requesting Data...4260403020</v>
        <stp/>
        <stp>BDP|7568148754107938592</stp>
        <tr r="T9" s="2"/>
      </tp>
      <tp t="s">
        <v>#N/A N/A</v>
        <stp/>
        <stp>BDP|7557490981578662112</stp>
        <tr r="AG40" s="1"/>
      </tp>
      <tp t="s">
        <v>#N/A Requesting Data...3380028732</v>
        <stp/>
        <stp>BDP|7860310106547363177</stp>
        <tr r="AA88" s="89"/>
        <tr r="Z88" s="89"/>
      </tp>
      <tp t="s">
        <v>#N/A Requesting Data...1615204083</v>
        <stp/>
        <stp>BDP|4750890120965227941</stp>
        <tr r="D8" s="89"/>
      </tp>
      <tp t="s">
        <v>#N/A Requesting Data...2425872073</v>
        <stp/>
        <stp>BDP|2721287269476965276</stp>
        <tr r="V11" s="338"/>
      </tp>
      <tp t="s">
        <v>#N/A Requesting Data...3688062419</v>
        <stp/>
        <stp>BDP|1927755561564288678</stp>
        <tr r="G45" s="446"/>
      </tp>
      <tp t="s">
        <v>#N/A Requesting Data...2086143959</v>
        <stp/>
        <stp>BDP|3284843281913962260</stp>
        <tr r="C8" s="2"/>
      </tp>
      <tp t="s">
        <v>#N/A Requesting Data...2384588535</v>
        <stp/>
        <stp>BDP|5728718823292467081</stp>
        <tr r="L18" s="1"/>
        <tr r="L12" s="1"/>
        <tr r="L13" s="1"/>
        <tr r="L14" s="1"/>
        <tr r="L15" s="1"/>
        <tr r="L16" s="1"/>
        <tr r="L17" s="1"/>
        <tr r="L19" s="1"/>
        <tr r="L20" s="1"/>
        <tr r="L21" s="1"/>
        <tr r="L22" s="1"/>
        <tr r="L23" s="1"/>
        <tr r="L24" s="1"/>
        <tr r="L25" s="1"/>
        <tr r="L31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L43" s="1"/>
        <tr r="L44" s="1"/>
        <tr r="S25" s="2"/>
        <tr r="N96" s="89"/>
        <tr r="N95" s="89"/>
        <tr r="S26" s="2"/>
        <tr r="S24" s="2"/>
        <tr r="S6" s="2"/>
        <tr r="S8" s="2"/>
        <tr r="S9" s="2"/>
        <tr r="S12" s="2"/>
        <tr r="S13" s="2"/>
        <tr r="S15" s="2"/>
        <tr r="S16" s="2"/>
        <tr r="S28" s="2"/>
        <tr r="N7" s="89"/>
        <tr r="N8" s="89"/>
        <tr r="N43" s="89"/>
        <tr r="N44" s="89"/>
        <tr r="N77" s="89"/>
        <tr r="N78" s="89"/>
        <tr r="N79" s="89"/>
        <tr r="N88" s="89"/>
        <tr r="N68" s="89"/>
        <tr r="S10" s="2"/>
        <tr r="S11" s="2"/>
        <tr r="S14" s="2"/>
        <tr r="S18" s="2"/>
        <tr r="S19" s="2"/>
        <tr r="S27" s="2"/>
        <tr r="S4" s="2"/>
        <tr r="S5" s="2"/>
        <tr r="S7" s="2"/>
        <tr r="S17" s="2"/>
        <tr r="S20" s="2"/>
        <tr r="S21" s="2"/>
        <tr r="S22" s="2"/>
        <tr r="S23" s="2"/>
        <tr r="N13" s="89"/>
        <tr r="N14" s="89"/>
        <tr r="N19" s="89"/>
        <tr r="N20" s="89"/>
        <tr r="N30" s="89"/>
        <tr r="N31" s="89"/>
        <tr r="N36" s="89"/>
        <tr r="N37" s="89"/>
        <tr r="N61" s="89"/>
        <tr r="N105" s="89"/>
      </tp>
      <tp t="s">
        <v>#N/A Requesting Data...1333374282</v>
        <stp/>
        <stp>BDP|3004009559840185419</stp>
        <tr r="T20" s="2"/>
      </tp>
      <tp t="b">
        <v>0</v>
        <stp/>
        <stp>BDH|4889955102237065864</stp>
        <tr r="AN12" s="338"/>
      </tp>
      <tp t="s">
        <v>#N/A Requesting Data...2598095221</v>
        <stp/>
        <stp>BDP|4413248519100279551</stp>
        <tr r="AD21" s="2"/>
      </tp>
      <tp t="s">
        <v>#N/A Requesting Data...4209718034</v>
        <stp/>
        <stp>BDP|9919677548080032985</stp>
        <tr r="G44" s="446"/>
      </tp>
      <tp t="s">
        <v>#N/A Requesting Data...3411079128</v>
        <stp/>
        <stp>BDP|7716189940679197901</stp>
        <tr r="C20" s="89"/>
      </tp>
      <tp t="s">
        <v>#N/A Requesting Data...2683108846</v>
        <stp/>
        <stp>BDP|9243707684784242083</stp>
        <tr r="T105" s="89"/>
        <tr r="AA5" s="2"/>
      </tp>
      <tp t="s">
        <v>#N/A N/A</v>
        <stp/>
        <stp>BDP|3289149679383755445</stp>
        <tr r="AC38" s="1"/>
      </tp>
      <tp t="s">
        <v>#N/A Requesting Data...3175318421</v>
        <stp/>
        <stp>BDP|1530194955374557305</stp>
        <tr r="C105" s="89"/>
        <tr r="D5" s="2"/>
      </tp>
      <tp t="s">
        <v>#N/A N/A</v>
        <stp/>
        <stp>BDP|2538276744442855422</stp>
        <tr r="K1" s="2"/>
      </tp>
      <tp t="s">
        <v>#N/A Requesting Data...1446770233</v>
        <stp/>
        <stp>BDP|6191678538747335600</stp>
        <tr r="E37" s="89"/>
      </tp>
      <tp t="s">
        <v>#N/A N/A</v>
        <stp/>
        <stp>BDP|6172070853435387447</stp>
        <tr r="AB32" s="1"/>
      </tp>
      <tp t="s">
        <v>#N/A Requesting Data...1227227538</v>
        <stp/>
        <stp>BDP|4636653477250550732</stp>
        <tr r="G31" s="446"/>
      </tp>
      <tp t="s">
        <v>#N/A N/A</v>
        <stp/>
        <stp>BDP|5714451203842663158</stp>
        <tr r="N8" s="1"/>
      </tp>
      <tp t="s">
        <v>#N/A Requesting Data...2725325393</v>
        <stp/>
        <stp>BDP|6639649066161548527</stp>
        <tr r="AA18" s="2"/>
      </tp>
      <tp t="s">
        <v>#N/A Requesting Data...3415586657</v>
        <stp/>
        <stp>BDP|1648434118662857449</stp>
        <tr r="V105" s="89"/>
        <tr r="AD5" s="2"/>
      </tp>
      <tp t="s">
        <v>#N/A N/A</v>
        <stp/>
        <stp>BDP|8063366356299445552</stp>
        <tr r="K38" s="1"/>
      </tp>
      <tp t="s">
        <v>#N/A Requesting Data...3141107950</v>
        <stp/>
        <stp>BDP|3519061147724655148</stp>
        <tr r="AJ8" s="338"/>
      </tp>
      <tp t="s">
        <v>#N/A Requesting Data...2359695908</v>
        <stp/>
        <stp>BDP|2520543864112257102</stp>
        <tr r="E30" s="89"/>
      </tp>
      <tp>
        <v>6.9</v>
        <stp/>
        <stp>BDP|359753369741275680|22</stp>
        <stp>SMH US 02/27/26 P400 Equity</stp>
        <stp>bid</stp>
        <tr r="K37" s="89"/>
      </tp>
      <tp t="s">
        <v>#N/A Real Time</v>
        <stp/>
        <stp>BDP|7002617886444187304|22</stp>
        <stp>RUWZ5 Index</stp>
        <stp>LAST_PRICE</stp>
        <tr r="S52" s="89"/>
        <tr r="S53" s="89"/>
      </tp>
      <tp t="s">
        <v>#N/A N/A</v>
        <stp/>
        <stp>BDP|4669365388388290407</stp>
        <tr r="N5" s="1"/>
      </tp>
      <tp t="s">
        <v>#N/A Requesting Data...1263548968</v>
        <stp/>
        <stp>BDP|2591422732557732191</stp>
        <tr r="L10" s="338"/>
        <tr r="H10" s="338"/>
      </tp>
      <tp t="s">
        <v>#N/A N/A</v>
        <stp/>
        <stp>BDP|2000559898458006561</stp>
        <tr r="K23" s="1"/>
      </tp>
      <tp t="b">
        <v>0</v>
        <stp/>
        <stp>BDH|9689826268436363240</stp>
        <tr r="AN8" s="338"/>
      </tp>
      <tp t="s">
        <v>#N/A N/A</v>
        <stp/>
        <stp>BDP|7115677759757668004</stp>
        <tr r="AC35" s="1"/>
      </tp>
      <tp t="b">
        <v>0</v>
        <stp/>
        <stp>BDH|3607703252684439695</stp>
        <tr r="AM12" s="338"/>
      </tp>
      <tp t="s">
        <v>#N/A Requesting Data...2364595586</v>
        <stp/>
        <stp>BDP|3754293213215371607</stp>
        <tr r="AB44" s="1"/>
        <tr r="F5" s="446"/>
        <tr r="F6" s="446"/>
      </tp>
      <tp t="s">
        <v>#N/A N/A</v>
        <stp/>
        <stp>BDP|9588206623063881918</stp>
        <tr r="AF33" s="1"/>
      </tp>
      <tp t="s">
        <v>#N/A Requesting Data...3539085524</v>
        <stp/>
        <stp>BDP|7961266924697349349</stp>
        <tr r="X12" s="338"/>
      </tp>
      <tp t="s">
        <v>#N/A Requesting Data...3876262100</v>
        <stp/>
        <stp>BDP|7777047645317887721</stp>
        <tr r="V53" s="89"/>
      </tp>
      <tp t="s">
        <v>#N/A Requesting Data...4203620768</v>
        <stp/>
        <stp>BDP|6226175202887316367</stp>
        <tr r="AA44" s="89"/>
        <tr r="Z44" s="89"/>
      </tp>
      <tp t="s">
        <v>#N/A Requesting Data...3348950026</v>
        <stp/>
        <stp>BDP|7965895520036679846</stp>
        <tr r="F23" s="2"/>
      </tp>
      <tp t="s">
        <v>#N/A Requesting Data...1048059857</v>
        <stp/>
        <stp>BDP|8020332285295353568</stp>
        <tr r="P8" s="338"/>
      </tp>
      <tp t="s">
        <v>#N/A Requesting Data...1389749234</v>
        <stp/>
        <stp>BDP|2434188206592879222</stp>
        <tr r="F16" s="2"/>
      </tp>
      <tp t="s">
        <v>#N/A Requesting Data...1825166250</v>
        <stp/>
        <stp>BDP|5888175656914033689</stp>
        <tr r="AA27" s="2"/>
      </tp>
      <tp t="s">
        <v>#N/A Requesting Data...2806272161</v>
        <stp/>
        <stp>BDP|4542086962510815165</stp>
        <tr r="C4" s="2"/>
      </tp>
      <tp t="s">
        <v>#N/A Requesting Data...2762457784</v>
        <stp/>
        <stp>BDP|6109913190467097261</stp>
        <tr r="AG8" s="338"/>
      </tp>
      <tp t="s">
        <v>#N/A N/A</v>
        <stp/>
        <stp>BDP|6281575064076017068</stp>
        <tr r="AC14" s="1"/>
      </tp>
      <tp t="s">
        <v>#N/A Requesting Data...3911033195</v>
        <stp/>
        <stp>BDP|8245865345547421013</stp>
        <tr r="D30" s="446"/>
      </tp>
      <tp>
        <v>50.75</v>
        <stp/>
        <stp>BDP|18176311034118889492|22</stp>
        <stp>META US 07/17/26 C670 Equity</stp>
        <stp>ask</stp>
        <tr r="L78" s="89"/>
      </tp>
      <tp>
        <v>122.9</v>
        <stp/>
        <stp>BDP|11084639238104923975|22</stp>
        <stp>LITE US 06/18/26 C720 Equity</stp>
        <stp>ask</stp>
        <tr r="Q15" s="2"/>
      </tp>
      <tp>
        <v>-0.49735912680625916</v>
        <stp/>
        <stp>BDP|4305945252732963488|22</stp>
        <stp>AVGO US 02/27/26 C350 Equity</stp>
        <stp>theta_mid_rt</stp>
        <tr r="AN9" s="2"/>
      </tp>
      <tp>
        <v>1.66</v>
        <stp/>
        <stp>BDP|830594697726450936|22</stp>
        <stp>QQQ US 02/25/26 C615 Equity</stp>
        <stp>bid</stp>
        <tr r="K95" s="89"/>
        <tr r="K19" s="89"/>
        <tr r="P25" s="2"/>
      </tp>
      <tp>
        <v>0.97</v>
        <stp/>
        <stp>BDP|17345654414559390667|22</stp>
        <stp>MRVL US 03/20/26 P60 Equity</stp>
        <stp>ask</stp>
        <tr r="Q18" s="2"/>
      </tp>
      <tp>
        <v>24821.25</v>
        <stp/>
        <stp>BDP|6336356566907345204|22</stp>
        <stp>NQA Index</stp>
        <stp>LAST_PRICE</stp>
        <tr r="I17" s="1"/>
        <tr r="I19" s="1"/>
        <tr r="I18" s="1"/>
      </tp>
      <tp>
        <v>-0.14477828145027161</v>
        <stp/>
        <stp>BDP|12098786877158670568|22</stp>
        <stp>TSM US 06/18/26 C340 Equity</stp>
        <stp>theta_mid_rt</stp>
        <tr r="AN27" s="2"/>
      </tp>
      <tp>
        <v>4.95</v>
        <stp/>
        <stp>BDP|15563065055018194263|22</stp>
        <stp>INTC US 07/17/26 C50 Equity</stp>
        <stp>ask</stp>
        <tr r="Q13" s="2"/>
      </tp>
      <tp>
        <v>-5.2707381546497345E-2</v>
        <stp/>
        <stp>BDP|9860136461363758180|22</stp>
        <stp>AMZN US 07/17/26 P180 Equity</stp>
        <stp>theta_mid_rt</stp>
        <tr r="AN5" s="2"/>
      </tp>
      <tp>
        <v>0.14000000000000001</v>
        <stp/>
        <stp>BDP|17591677967966841629|22</stp>
        <stp>CSCO US 04/17/26 C95 Equity</stp>
        <stp>ask</stp>
        <tr r="Q10" s="2"/>
      </tp>
      <tp>
        <v>2.64</v>
        <stp/>
        <stp>BDP|16635244585526588457|22</stp>
        <stp>MRVL US 03/20/26 P70 Equity</stp>
        <stp>mid</stp>
        <tr r="L17" s="2"/>
      </tp>
      <tp>
        <v>0.44</v>
        <stp/>
        <stp>BDP|12134530778567356433|22</stp>
        <stp>CSCO US 07/17/26 C100 Equity</stp>
        <stp>mid</stp>
        <tr r="L12" s="2"/>
      </tp>
      <tp>
        <v>35.1</v>
        <stp/>
        <stp>BDP|17652529992752880187|22</stp>
        <stp>AVGO US 06/18/26 C350 Equity</stp>
        <stp>bid</stp>
        <tr r="P8" s="2"/>
      </tp>
      <tp>
        <v>-0.56091248989105225</v>
        <stp/>
        <stp>BDP|6040650329541765947|22</stp>
        <stp>LITE US 06/18/26 C600 Equity</stp>
        <stp>theta_mid_rt</stp>
        <tr r="AN14" s="2"/>
      </tp>
      <tp>
        <v>4.25</v>
        <stp/>
        <stp>BDP|14401829492795759212|22</stp>
        <stp>AVGO US 02/27/26 C350 Equity</stp>
        <stp>mid</stp>
        <tr r="L9" s="2"/>
      </tp>
      <tp>
        <v>8.1</v>
        <stp/>
        <stp>BDP|18200108726829665129|22</stp>
        <stp>AMZN US 07/17/26 P180 Equity</stp>
        <stp>ask</stp>
        <tr r="Q5" s="2"/>
        <tr r="L105" s="89"/>
      </tp>
      <tp>
        <v>1461.23</v>
        <stp/>
        <stp>BDP|13350676150568078370|22</stp>
        <stp>KLAC EQUITY</stp>
        <stp>LAST_PRICE</stp>
        <tr r="H5" s="1"/>
      </tp>
      <tp>
        <v>3.29</v>
        <stp/>
        <stp>BDP|12126859702784699422|22</stp>
        <stp>QQQ US 02/25/26 P590 Equity</stp>
        <stp>bid</stp>
        <tr r="K96" s="89"/>
        <tr r="P26" s="2"/>
      </tp>
      <tp>
        <v>-0.16049081087112427</v>
        <stp/>
        <stp>BDP|7815535696147585871|22</stp>
        <stp>META US 07/17/26 C750 Equity</stp>
        <stp>theta_mid_rt</stp>
        <tr r="AN16" s="2"/>
      </tp>
      <tp t="s">
        <v>USD</v>
        <stp/>
        <stp>BDP|14649358559893085324|22</stp>
        <stp>AVGO US 06/18/26 C350 Equity</stp>
        <stp>QUOTED_CURRENCY_REALTIME</stp>
        <tr r="G8" s="2"/>
      </tp>
      <tp>
        <v>2.76</v>
        <stp/>
        <stp>BDP|15925931344332195569|22</stp>
        <stp>MRVL US 03/20/26 P70 Equity</stp>
        <stp>ask</stp>
        <tr r="Q17" s="2"/>
      </tp>
      <tp>
        <v>77.209999999999994</v>
        <stp/>
        <stp>BDP|2401224757541047929|22</stp>
        <stp>NFLX Equity</stp>
        <stp>LAST_PRICE</stp>
        <tr r="I23" s="1"/>
      </tp>
      <tp>
        <v>27.95</v>
        <stp/>
        <stp>BDP|982929759879592273|22</stp>
        <stp>TSM US 06/18/26 C380 Equity</stp>
        <stp>bid</stp>
        <tr r="P28" s="2"/>
      </tp>
      <tp>
        <v>79.025000000000006</v>
        <stp/>
        <stp>BDP|9569865315112868913|22</stp>
        <stp>CSCO US Equity</stp>
        <stp>LAST_PRICE</stp>
        <tr r="Z10" s="2"/>
        <tr r="Z11" s="2"/>
        <tr r="Z12" s="2"/>
      </tp>
      <tp>
        <v>1452.93</v>
        <stp/>
        <stp>BDP|12845263168978951663|22</stp>
        <stp>ASML EQUITY</stp>
        <stp>LAST_PRICE</stp>
        <tr r="H3" s="1"/>
      </tp>
      <tp>
        <v>0.3</v>
        <stp/>
        <stp>BDP|12473336522287247441|22</stp>
        <stp>JETS US 03/20/26 P26 Equity</stp>
        <stp>mid</stp>
        <tr r="L24" s="2"/>
      </tp>
      <tp>
        <v>0.08</v>
        <stp/>
        <stp>BDP|13612731503328822817|22</stp>
        <stp>CSCO US 04/17/26 C100 Equity</stp>
        <stp>mid</stp>
        <tr r="L11" s="2"/>
      </tp>
      <tp>
        <v>620.98</v>
        <stp/>
        <stp>BDP|16456740670778988606|22</stp>
        <stp>SNDK EQUITY</stp>
        <stp>LAST_PRICE</stp>
        <tr r="H1" s="1"/>
      </tp>
      <tp>
        <v>102.52</v>
        <stp/>
        <stp>BDP|11511261369815685982|22</stp>
        <stp>QQQE EQUITY</stp>
        <stp>LAST_PRICE</stp>
        <tr r="L7" s="1"/>
      </tp>
      <tp>
        <v>77.209999999999994</v>
        <stp/>
        <stp>BDP|8263106965958046051|22</stp>
        <stp>NFLX US Equity</stp>
        <stp>LAST_PRICE</stp>
        <tr r="Z19" s="2"/>
        <tr r="Z20" s="2"/>
      </tp>
      <tp t="s">
        <v>#N/A N/A</v>
        <stp/>
        <stp>BDP|62889616002568526</stp>
        <tr r="K17" s="1"/>
      </tp>
      <tp>
        <v>2.2200000000000002</v>
        <stp/>
        <stp>BDP|13120707178130364758|22</stp>
        <stp>NFLX US 05/15/26 C90 Equity</stp>
        <stp>mid</stp>
        <tr r="L19" s="2"/>
      </tp>
      <tp>
        <v>261.66500000000002</v>
        <stp/>
        <stp>BDP|13852632459561529635|22</stp>
        <stp>AAPL EQUITY</stp>
        <stp>LAST_PRICE</stp>
        <tr r="C6" s="1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Data...2989375147</v>
        <stp/>
        <stp>BDP|48780265181667148</stp>
        <tr r="E4" s="2"/>
      </tp>
      <tp>
        <v>2.95</v>
        <stp/>
        <stp>BDP|11644130666006175934|22</stp>
        <stp>NFLX US 05/15/26 P70 Equity</stp>
        <stp>mid</stp>
        <tr r="L20" s="2"/>
      </tp>
      <tp>
        <v>136.095</v>
        <stp/>
        <stp>BDP|7581686725725045071|22</stp>
        <stp>BIDU Equity</stp>
        <stp>LAST_PRICE</stp>
        <tr r="I13" s="1"/>
      </tp>
      <tp>
        <v>0.06</v>
        <stp/>
        <stp>BDP|13588862582237658239|22</stp>
        <stp>ASHR US 02/27/26 C35 Equity</stp>
        <stp>bid</stp>
        <tr r="P7" s="2"/>
      </tp>
      <tp>
        <v>186.66499999999999</v>
        <stp/>
        <stp>BDP|2630581548609766860|22</stp>
        <stp>NVDA US Equity</stp>
        <stp>LAST_PRICE</stp>
        <tr r="Z21" s="2"/>
        <tr r="Z22" s="2"/>
        <tr r="Z23" s="2"/>
        <tr r="S13" s="89"/>
        <tr r="S14" s="89"/>
      </tp>
      <tp>
        <v>3.8968250155448914E-2</v>
        <stp/>
        <stp>BDP|3129328441793734956|22</stp>
        <stp>CSCO US 04/17/26 C95 Equity</stp>
        <stp>DELTA_MID_RT</stp>
        <tr r="AF10" s="2"/>
      </tp>
      <tp>
        <v>304.36</v>
        <stp/>
        <stp>BDP|7379094059985716684|22</stp>
        <stp>GOOGL EQUITY</stp>
        <stp>LAST_PRICE</stp>
        <tr r="C8" s="1"/>
      </tp>
      <tp>
        <v>35.549999999999997</v>
        <stp/>
        <stp>BDP|16021407028720881249|22</stp>
        <stp>AVGO US 06/18/26 C350 Equity</stp>
        <stp>ask</stp>
        <tr r="Q8" s="2"/>
      </tp>
      <tp>
        <v>140.94999999999999</v>
        <stp/>
        <stp>BDP|6290765801174780597|22</stp>
        <stp>WDAY Equity</stp>
        <stp>LAST PRICE</stp>
        <tr r="L10" s="446"/>
      </tp>
      <tp>
        <v>6853.83</v>
        <stp/>
        <stp>BDP|2596990609892593565|22</stp>
        <stp>SPX Index</stp>
        <stp>LAST_PRICE</stp>
        <tr r="S68" s="89"/>
      </tp>
      <tp t="s">
        <v>#N/A N/A</v>
        <stp/>
        <stp>BDP|10974322833648063993|22</stp>
        <stp>JETS US 02/27/26 P25 Equity</stp>
        <stp>bid</stp>
        <tr r="K43" s="89"/>
      </tp>
      <tp>
        <v>4.8499999999999996</v>
        <stp/>
        <stp>BDP|13492411471909401383|22</stp>
        <stp>INTC US 07/17/26 C50 Equity</stp>
        <stp>mid</stp>
        <tr r="L13" s="2"/>
      </tp>
      <tp>
        <v>408.30500000000001</v>
        <stp/>
        <stp>BDP|14458808308106996349|22</stp>
        <stp>SMH US Equity</stp>
        <stp>LAST_PRICE</stp>
        <tr r="S37" s="89"/>
      </tp>
      <tp>
        <v>11.55</v>
        <stp/>
        <stp>BDP|10572433094613538553|22</stp>
        <stp>NVDA US 05/15/26 C200 Equity</stp>
        <stp>mid</stp>
        <tr r="L21" s="2"/>
      </tp>
      <tp>
        <v>204.53100000000001</v>
        <stp/>
        <stp>BDP|12911088506019095722|22</stp>
        <stp>AMZN EQUITY</stp>
        <stp>LAST_PRICE</stp>
        <tr r="C5" s="1"/>
      </tp>
      <tp>
        <v>0.12</v>
        <stp/>
        <stp>BDP|14618484844956405003|22</stp>
        <stp>LHA GR 03/20/26 P8.2 Equity</stp>
        <stp>bid</stp>
        <tr r="K103" s="89"/>
      </tp>
      <tp>
        <v>4.47</v>
        <stp/>
        <stp>BDP|10077093598253859935|22</stp>
        <stp>QQQ US 02/25/26 P595 Equity</stp>
        <stp>bid</stp>
        <tr r="K30" s="89"/>
      </tp>
      <tp>
        <v>9.0739999999999998</v>
        <stp/>
        <stp>BDP|12345176483571827446|22</stp>
        <stp>LHA GR Equity</stp>
        <stp>LAST_PRICE</stp>
        <tr r="S103" s="89"/>
      </tp>
      <tp>
        <v>164.2</v>
        <stp/>
        <stp>BDP|14624041017326012038|22</stp>
        <stp>ENR GY Equity</stp>
        <stp>LAST_PRICE</stp>
        <tr r="I42" s="1"/>
      </tp>
      <tp>
        <v>5.25</v>
        <stp/>
        <stp>BDP|16331557295328954080|22</stp>
        <stp>NVDA US 03/20/26 C200 Equity</stp>
        <stp>ask</stp>
        <tr r="Q22" s="2"/>
        <tr r="L13" s="89"/>
      </tp>
      <tp>
        <v>11.6</v>
        <stp/>
        <stp>BDP|15097796525407453303|22</stp>
        <stp>NVDA US 05/15/26 C200 Equity</stp>
        <stp>ask</stp>
        <tr r="Q21" s="2"/>
      </tp>
      <tp>
        <v>4.45</v>
        <stp/>
        <stp>BDP|15964424710363064047|22</stp>
        <stp>AVGO US 02/27/26 C350 Equity</stp>
        <stp>ask</stp>
        <tr r="Q9" s="2"/>
      </tp>
      <tp>
        <v>0.92</v>
        <stp/>
        <stp>BDP|15976575646475181995|22</stp>
        <stp>MRVL US 03/20/26 P60 Equity</stp>
        <stp>mid</stp>
        <tr r="L18" s="2"/>
      </tp>
      <tp>
        <v>5.2244000000000002</v>
        <stp/>
        <stp>BDP|10515480241315630363|22</stp>
        <stp>brl Curncy</stp>
        <stp>LAST_PRICE</stp>
        <tr r="AC3" s="1"/>
      </tp>
      <tp>
        <v>-0.5848534107208252</v>
        <stp/>
        <stp>BDP|15674644479417850660|22</stp>
        <stp>QQQ US 02/25/26 P590 Equity</stp>
        <stp>theta_mid_rt</stp>
        <tr r="AN26" s="2"/>
      </tp>
      <tp>
        <v>1.4</v>
        <stp/>
        <stp>BDP|15386835356560847880|22</stp>
        <stp>NVDA US 03/20/26 C220 Equity</stp>
        <stp>bid</stp>
        <tr r="P23" s="2"/>
        <tr r="K14" s="89"/>
      </tp>
      <tp>
        <v>186.66499999999999</v>
        <stp/>
        <stp>BDP|12910010818921564731|22</stp>
        <stp>NVDA EQUITY</stp>
        <stp>LAST_PRICE</stp>
        <tr r="C2" s="1"/>
      </tp>
      <tp>
        <v>0.22</v>
        <stp/>
        <stp>BDP|13412032722853971410|22</stp>
        <stp>LHA GR 03/20/26 P8.2 Equity</stp>
        <stp>ask</stp>
        <tr r="L103" s="89"/>
      </tp>
      <tp>
        <v>-0.60724234580993652</v>
        <stp/>
        <stp>BDP|5714138372496753528|22</stp>
        <stp>LITE US 06/18/26 C720 Equity</stp>
        <stp>theta_mid_rt</stp>
        <tr r="AN15" s="2"/>
      </tp>
      <tp>
        <v>-0.16288274526596069</v>
        <stp/>
        <stp>BDP|9304538882894391803|22</stp>
        <stp>JETS US 02/27/26 P25 Equity</stp>
        <stp>DELTA_MID_RT</stp>
        <tr r="W43" s="89"/>
      </tp>
      <tp t="s">
        <v>#N/A Requesting Data...1315068460</v>
        <stp/>
        <stp>BDP|48398625243546421</stp>
        <tr r="F25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N/A</v>
        <stp/>
        <stp>BDP|131268774970069099</stp>
        <tr r="AG29" s="1"/>
      </tp>
      <tp t="s">
        <v>#N/A Requesting Data...2135574872</v>
        <stp/>
        <stp>BDP|520527012585306457</stp>
        <tr r="G18" s="446"/>
      </tp>
      <tp>
        <v>142.83000000000001</v>
        <stp/>
        <stp>BDP|15031025441735979532|22</stp>
        <stp>RDDT Equity</stp>
        <stp>LAST PRICE</stp>
        <tr r="L11" s="446"/>
      </tp>
      <tp t="s">
        <v>#N/A Requesting Data...2263222947</v>
        <stp/>
        <stp>BDP|608595985359488024</stp>
        <tr r="AH10" s="338"/>
        <tr r="AJ10" s="338"/>
      </tp>
      <tp t="s">
        <v>#N/A N/A</v>
        <stp/>
        <stp>BDP|1735892022201589407|22</stp>
        <stp>AF1 FP 03/20/26 P11.5 Equity</stp>
        <stp>bid</stp>
        <tr r="K104" s="89"/>
      </tp>
      <tp>
        <v>0.3364851176738739</v>
        <stp/>
        <stp>BDP|4308641896528540112|22</stp>
        <stp>NVDA US 03/20/26 C200 Equity</stp>
        <stp>DELTA_MID_RT</stp>
        <tr r="AF22" s="2"/>
        <tr r="W13" s="89"/>
      </tp>
      <tp t="s">
        <v>USD</v>
        <stp/>
        <stp>BDP|9387931392150728109|22</stp>
        <stp>QQQ US 02/25/26 P590 Equity</stp>
        <stp>QUOTED_CURRENCY_REALTIME</stp>
        <tr r="F96" s="89"/>
        <tr r="G26" s="2"/>
      </tp>
      <tp>
        <v>407.77499999999998</v>
        <stp/>
        <stp>BDP|432481419162495379|22</stp>
        <stp>STX EQUITY</stp>
        <stp>LAST_PRICE</stp>
        <tr r="H8" s="1"/>
      </tp>
      <tp t="s">
        <v>#N/A N/A</v>
        <stp/>
        <stp>BDP|120882033364410826</stp>
        <tr r="AA96" s="89"/>
        <tr r="Z96" s="89"/>
      </tp>
      <tp t="s">
        <v>#N/A Requesting Data...1817002726</v>
        <stp/>
        <stp>BDP|686234847331911027</stp>
        <tr r="G17" s="446"/>
      </tp>
      <tp>
        <v>12.98</v>
        <stp/>
        <stp>BDP|8778280263662019106|22</stp>
        <stp>AF FP Equity</stp>
        <stp>LAST_PRICE</stp>
        <tr r="S104" s="89"/>
      </tp>
      <tp t="s">
        <v>#N/A N/A</v>
        <stp/>
        <stp>BDP|703780504329627859</stp>
        <tr r="AI21" s="1"/>
      </tp>
      <tp t="s">
        <v>#N/A Requesting Data...3406164788</v>
        <stp/>
        <stp>BDP|515602174086156181</stp>
        <tr r="T103" s="89"/>
      </tp>
      <tp t="s">
        <v>#N/A Requesting Data...1636176897</v>
        <stp/>
        <stp>BDP|442362000255018060</stp>
        <tr r="T7" s="89"/>
      </tp>
      <tp t="s">
        <v>#N/A N/A</v>
        <stp/>
        <stp>BDP|685429430720763165</stp>
        <tr r="K36" s="1"/>
      </tp>
      <tp>
        <v>156.6</v>
        <stp/>
        <stp>BDP|7132801475716187902|22</stp>
        <stp>ORCL EQUITY</stp>
        <stp>LAST_PRICE</stp>
        <tr r="C10" s="1"/>
      </tp>
      <tp>
        <v>0.64</v>
        <stp/>
        <stp>BDP|5566447760362917301|22</stp>
        <stp>QQQ US 02/25/26 C620 Equity</stp>
        <stp>bid</stp>
        <tr r="K20" s="89"/>
      </tp>
      <tp t="s">
        <v>#N/A Requesting Data...3071015088</v>
        <stp/>
        <stp>BDP|930699410161740793</stp>
        <tr r="D27" s="2"/>
      </tp>
      <tp>
        <v>0.12251947820186615</v>
        <stp/>
        <stp>BDP|5895157816315927322|22</stp>
        <stp>NVDA US 03/20/26 C220 Equity</stp>
        <stp>DELTA_MID_RT</stp>
        <tr r="AF23" s="2"/>
        <tr r="W14" s="89"/>
      </tp>
      <tp t="s">
        <v>#N/A N/A</v>
        <stp/>
        <stp>BDP|739245098392147969</stp>
        <tr r="AG15" s="1"/>
      </tp>
      <tp t="s">
        <v>#N/A Requesting Data...3687274955</v>
        <stp/>
        <stp>BDP|608869092031732096</stp>
        <tr r="C14" s="89"/>
        <tr r="D23" s="2"/>
      </tp>
      <tp t="s">
        <v>#N/A N/A</v>
        <stp/>
        <stp>BDP|798980087638306908</stp>
        <tr r="N4" s="1"/>
      </tp>
      <tp t="s">
        <v>USD</v>
        <stp/>
        <stp>BDP|202668223694481599|22</stp>
        <stp>LITE US 02/20/26 C680 Equity</stp>
        <stp>QUOTED_CURRENCY_REALTIME</stp>
        <tr r="F8" s="89"/>
      </tp>
      <tp t="s">
        <v>#N/A N/A</v>
        <stp/>
        <stp>BDP|9334234529534302543|22</stp>
        <stp>2OG6P 24750 Index</stp>
        <stp>bid</stp>
        <tr r="K61" s="89"/>
      </tp>
      <tp>
        <v>2.430887334048748E-2</v>
        <stp/>
        <stp>BDP|8974293417399556479|22</stp>
        <stp>CSCO US 04/17/26 C100 Equity</stp>
        <stp>DELTA_MID_RT</stp>
        <tr r="AF11" s="2"/>
      </tp>
      <tp t="s">
        <v>#N/A N/A</v>
        <stp/>
        <stp>BDP|202738465971911334</stp>
        <tr r="AB37" s="89"/>
      </tp>
      <tp t="s">
        <v>#N/A Requesting Data...3605614021</v>
        <stp/>
        <stp>BDP|441228168267500011</stp>
        <tr r="O96" s="89"/>
        <tr r="T26" s="2"/>
      </tp>
      <tp t="s">
        <v>#N/A N/A</v>
        <stp/>
        <stp>BDP|128295106685337499</stp>
        <tr r="R61" s="89"/>
      </tp>
      <tp>
        <v>85.844999999999999</v>
        <stp/>
        <stp>BDP|6244681688337820540|22</stp>
        <stp>KBWB EQUITY</stp>
        <stp>LAST_PRICE</stp>
        <tr r="L1" s="1"/>
      </tp>
      <tp>
        <v>15.81</v>
        <stp/>
        <stp>BDP|11593899381746563402|22</stp>
        <stp>RIOT Equity</stp>
        <stp>LAST_PRICE</stp>
        <tr r="I39" s="1"/>
      </tp>
      <tp>
        <v>29.55</v>
        <stp/>
        <stp>BDP|7303697284640564666|22</stp>
        <stp>TSM US 06/18/26 C380 Equity</stp>
        <stp>ask</stp>
        <tr r="Q28" s="2"/>
      </tp>
      <tp t="s">
        <v>#N/A N/A</v>
        <stp/>
        <stp>BDP|450712038053400567</stp>
        <tr r="AG12" s="1"/>
      </tp>
      <tp>
        <v>602.49400000000003</v>
        <stp/>
        <stp>BDP|13846945124532688911|22</stp>
        <stp>QQQ Equity</stp>
        <stp>LAST_PRICE</stp>
        <tr r="I15" s="1"/>
      </tp>
      <tp t="s">
        <v>#N/A Requesting Data...4208082854</v>
        <stp/>
        <stp>BDP|829207704548583830</stp>
        <tr r="D37" s="89"/>
      </tp>
      <tp t="s">
        <v>#N/A Requesting Data...2161150186</v>
        <stp/>
        <stp>BDP|305594615691195780</stp>
        <tr r="O7" s="89"/>
      </tp>
      <tp t="s">
        <v>#N/A Requesting Data...2596945978</v>
        <stp/>
        <stp>BDP|310378113498032857</stp>
        <tr r="F9" s="446"/>
      </tp>
      <tp>
        <v>6.9047999999999998</v>
        <stp/>
        <stp>BDP|294453488151020053|22</stp>
        <stp>cny Curncy</stp>
        <stp>LAST_PRICE</stp>
        <tr r="I50" s="54"/>
      </tp>
      <tp t="s">
        <v>#N/A N/A</v>
        <stp/>
        <stp>BDP|894652130481491978</stp>
        <tr r="AC16" s="2"/>
      </tp>
      <tp>
        <v>683.47</v>
        <stp/>
        <stp>BDP|13189918054944550299|22</stp>
        <stp>SPY Equity</stp>
        <stp>LAST_PRICE</stp>
        <tr r="X3" s="1"/>
      </tp>
      <tp t="s">
        <v>#N/A Requesting Data...2904243516</v>
        <stp/>
        <stp>BDP|551559745655202941</stp>
        <tr r="T104" s="89"/>
      </tp>
      <tp t="s">
        <v>USD</v>
        <stp/>
        <stp>BDP|3225836212209663203|22</stp>
        <stp>QQQ US 02/27/26 P595 Equity</stp>
        <stp>QUOTED_CURRENCY_REALTIME</stp>
        <tr r="F31" s="89"/>
      </tp>
      <tp t="s">
        <v>#N/A Requesting Data...2862350425</v>
        <stp/>
        <stp>BDP|232912269320781326</stp>
        <tr r="Q10" s="338"/>
      </tp>
      <tp>
        <v>835.28499999999997</v>
        <stp/>
        <stp>BDP|10549492573951112588|22</stp>
        <stp>GEV Equity</stp>
        <stp>LAST_PRICE</stp>
        <tr r="I41" s="1"/>
      </tp>
      <tp t="s">
        <v>USD</v>
        <stp/>
        <stp>BDP|9871710371462052810|22</stp>
        <stp>QQQ US 02/25/26 C620 Equity</stp>
        <stp>QUOTED_CURRENCY_REALTIME</stp>
        <tr r="F20" s="89"/>
      </tp>
      <tp>
        <v>1.67</v>
        <stp/>
        <stp>BDP|6032702267341375177|22</stp>
        <stp>QQQ US 02/25/26 C615 Equity</stp>
        <stp>mid</stp>
        <tr r="L25" s="2"/>
      </tp>
    </main>
    <main first="bofaddin.rtdserver">
      <tp>
        <v>200.51</v>
        <stp/>
        <stp>BDP|200703832930302358|22</stp>
        <stp>SAP EQUITY</stp>
        <stp>LAST_PRICE</stp>
        <tr r="H9" s="1"/>
      </tp>
      <tp t="s">
        <v>#N/A N/A</v>
        <stp/>
        <stp>BDP|987924063845804559</stp>
        <tr r="J2" s="1"/>
      </tp>
      <tp>
        <v>-0.20992486178874969</v>
        <stp/>
        <stp>BDP|11436367116162869884|22</stp>
        <stp>LHA GR 03/20/26 P8.2 Equity</stp>
        <stp>DELTA_MID_RT</stp>
        <tr r="W103" s="89"/>
      </tp>
      <tp>
        <v>644.38499999999999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 t="s">
        <v>#N/A N/A</v>
        <stp/>
        <stp>BDP|887987616640012698</stp>
        <tr r="AB12" s="1"/>
      </tp>
      <tp t="s">
        <v>#N/A Requesting Data...1519333377</v>
        <stp/>
        <stp>BDP|305146922705307837</stp>
        <tr r="C20" s="2"/>
      </tp>
      <tp t="s">
        <v>#N/A Requesting Data...3438077011</v>
        <stp/>
        <stp>BDP|804143981805222282</stp>
        <tr r="D61" s="89"/>
      </tp>
      <tp>
        <v>33.8155</v>
        <stp/>
        <stp>BDP|18329643987132492211|22</stp>
        <stp>ASHR Equity</stp>
        <stp>LAST_PRICE</stp>
        <tr r="I14" s="1"/>
      </tp>
      <tp t="b">
        <v>0</v>
        <stp/>
        <stp>BDH|190698519458856658</stp>
        <tr r="AP11" s="338"/>
      </tp>
      <tp t="s">
        <v>#N/A Requesting Data...3123187384</v>
        <stp/>
        <stp>BDP|998606172760771881</stp>
        <tr r="AA24" s="2"/>
        <tr r="T44" s="89"/>
      </tp>
      <tp t="s">
        <v>#N/A N/A</v>
        <stp/>
        <stp>BDP|757266498405781787</stp>
        <tr r="X3" s="1"/>
      </tp>
      <tp t="s">
        <v>#N/A Requesting Data...1327084017</v>
        <stp/>
        <stp>BDP|321567796020124549</stp>
        <tr r="F43" s="446"/>
      </tp>
      <tp t="s">
        <v>#N/A Requesting Data...1677689976</v>
        <stp/>
        <stp>BDP|748281786590893378</stp>
        <tr r="AA68" s="89"/>
        <tr r="Z68" s="89"/>
      </tp>
      <tp t="s">
        <v>#N/A N/A</v>
        <stp/>
        <stp>BDP|5461145660817176521|22</stp>
        <stp>AF1 FP 03/20/26 P11.5 Equity</stp>
        <stp>ask</stp>
        <tr r="L104" s="89"/>
      </tp>
      <tp>
        <v>5.8</v>
        <stp/>
        <stp>BDP|354769446641876317|22</stp>
        <stp>SOXX US 02/27/26 P347.5 Equity</stp>
        <stp>bid</stp>
        <tr r="K36" s="89"/>
      </tp>
      <tp>
        <v>103.43</v>
        <stp/>
        <stp>BDP|12455594618882884319|22</stp>
        <stp>GDX Equity</stp>
        <stp>LAST_PRICE</stp>
        <tr r="I44" s="1"/>
      </tp>
      <tp t="s">
        <v>#N/A Requesting Data...3726989488</v>
        <stp/>
        <stp>BDP|345620769730348823</stp>
        <tr r="G20" s="446"/>
      </tp>
      <tp>
        <v>429.8</v>
        <stp/>
        <stp>BDP|10424645079239254273|22</stp>
        <stp>AGX Equity</stp>
        <stp>LAST_PRICE</stp>
        <tr r="I40" s="1"/>
      </tp>
      <tp t="s">
        <v>#N/A Requesting Data...2307009566</v>
        <stp/>
        <stp>BDP|493910466490440711</stp>
        <tr r="T17" s="2"/>
      </tp>
      <tp t="s">
        <v>USD</v>
        <stp/>
        <stp>BDP|16137225846083075657|22</stp>
        <stp>SOXX US 02/27/26 P347.5 Equity</stp>
        <stp>QUOTED_CURRENCY_REALTIME</stp>
        <tr r="F36" s="89"/>
      </tp>
      <tp t="s">
        <v>#N/A N/A</v>
        <stp/>
        <stp>BDP|771655587750732627</stp>
        <tr r="AI22" s="1"/>
      </tp>
      <tp>
        <v>81.56</v>
        <stp/>
        <stp>BDP|17908492883037311012|22</stp>
        <stp>IGV Equity</stp>
        <stp>LAST PRICE</stp>
        <tr r="I8" s="338"/>
      </tp>
      <tp t="s">
        <v>#N/A Requesting Data...3728049565</v>
        <stp/>
        <stp>BDP|214545079360754903</stp>
        <tr r="V30" s="89"/>
      </tp>
      <tp t="s">
        <v>#N/A Requesting Data...3002425699</v>
        <stp/>
        <stp>BDP|237201852408926413</stp>
        <tr r="U11" s="338"/>
      </tp>
      <tp t="s">
        <v>#N/A Invalid Security</v>
        <stp/>
        <stp>BDP|6093648676714149714|22</stp>
        <stp xml:space="preserve"> Index</stp>
        <stp>bid</stp>
        <tr r="K62" s="89"/>
      </tp>
      <tp t="s">
        <v>#N/A N/A</v>
        <stp/>
        <stp>BDP|315966408504131726</stp>
        <tr r="K15" s="1"/>
      </tp>
      <tp t="s">
        <v>#N/A Requesting Data...1466821419</v>
        <stp/>
        <stp>BDP|721330484650791132</stp>
        <tr r="D18" s="2"/>
      </tp>
      <tp t="s">
        <v>#N/A Requesting Data...4219682170</v>
        <stp/>
        <stp>BDP|467561543278183348</stp>
        <tr r="C104" s="89"/>
      </tp>
      <tp t="s">
        <v>#N/A Requesting Data...4091336407</v>
        <stp/>
        <stp>BDP|728321980932410339</stp>
        <tr r="V61" s="89"/>
      </tp>
      <tp>
        <v>333.565</v>
        <stp/>
        <stp>BDP|1725093802414075352|22</stp>
        <stp>AVGO EQUITY</stp>
        <stp>LAST_PRICE</stp>
        <tr r="C1" s="1"/>
      </tp>
      <tp>
        <v>78.834999999999994</v>
        <stp/>
        <stp>BDP|14735743812855208855|22</stp>
        <stp>MRVL Equity</stp>
        <stp>LAST_PRICE</stp>
        <tr r="I35" s="1"/>
      </tp>
      <tp>
        <v>0.47</v>
        <stp/>
        <stp>BDP|4263708234052444494|22</stp>
        <stp>JETS US 02/27/26 P25 Equity</stp>
        <stp>ask</stp>
        <tr r="L43" s="89"/>
      </tp>
      <tp>
        <v>186.66499999999999</v>
        <stp/>
        <stp>BDP|18083567340910719726|22</stp>
        <stp>NVDA Equity</stp>
        <stp>LAST PRICE</stp>
        <tr r="G11" s="338"/>
      </tp>
      <tp>
        <v>0.32</v>
        <stp/>
        <stp>BDP|6034476284330573079|22</stp>
        <stp>JETS US 03/20/26 P26 Equity</stp>
        <stp>ask</stp>
        <tr r="L44" s="89"/>
        <tr r="Q24" s="2"/>
      </tp>
      <tp>
        <v>2.89</v>
        <stp/>
        <stp>BDP|4198991794791802947|22</stp>
        <stp>NFLX US 05/15/26 P70 Equity</stp>
        <stp>bid</stp>
        <tr r="P20" s="2"/>
      </tp>
      <tp>
        <v>2.27</v>
        <stp/>
        <stp>BDP|8949169944132404204|22</stp>
        <stp>NFLX US 05/15/26 C90 Equity</stp>
        <stp>ask</stp>
        <tr r="Q19" s="2"/>
      </tp>
      <tp>
        <v>186.66499999999999</v>
        <stp/>
        <stp>BDP|10556089213855348182|22</stp>
        <stp>NVDA Equity</stp>
        <stp>LAST_PRICE</stp>
        <tr r="I34" s="1"/>
      </tp>
      <tp>
        <v>9.5556385815143585E-2</v>
        <stp/>
        <stp>BDP|5912738480285834307|22</stp>
        <stp>LITE US 02/20/26 C680 Equity</stp>
        <stp>DELTA_MID_RT</stp>
        <tr r="W8" s="89"/>
      </tp>
      <tp>
        <v>-0.1824265718460083</v>
        <stp/>
        <stp>BDP|4381678512195955140|22</stp>
        <stp>AF1 FP 03/20/26 P11.5 Equity</stp>
        <stp>DELTA_MID_RT</stp>
        <tr r="W104" s="89"/>
      </tp>
      <tp>
        <v>72.284999999999997</v>
        <stp/>
        <stp>BDP|12824948095476956285|22</stp>
        <stp>WMB Equity</stp>
        <stp>LAST_PRICE</stp>
        <tr r="I43" s="1"/>
      </tp>
      <tp>
        <v>-5.6783449836075306E-3</v>
        <stp/>
        <stp>BDP|4903226982801918550|22</stp>
        <stp>CSCO US 04/17/26 C95 Equity</stp>
        <stp>theta_mid_rt</stp>
        <tr r="AN10" s="2"/>
      </tp>
      <tp>
        <v>3.31</v>
        <stp/>
        <stp>BDP|4922713075690677528|22</stp>
        <stp>QQQ US 02/25/26 P590 Equity</stp>
        <stp>mid</stp>
        <tr r="L26" s="2"/>
      </tp>
      <tp>
        <v>44.615000000000002</v>
        <stp/>
        <stp>BDP|10275830506276374754|22</stp>
        <stp>INTC Equity</stp>
        <stp>LAST_PRICE</stp>
        <tr r="I33" s="1"/>
      </tp>
      <tp>
        <v>-4.600876197218895E-2</v>
        <stp/>
        <stp>BDP|5598166511208398697|22</stp>
        <stp>ASHR US 02/20/26 C35 Equity</stp>
        <stp>theta_mid_rt</stp>
        <tr r="AN6" s="2"/>
      </tp>
      <tp>
        <v>153.43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0.65028804540634155</v>
        <stp/>
        <stp>BDP|16687792746206833445|22</stp>
        <stp>TSM US 06/18/26 C340 Equity</stp>
        <stp>DELTA_MID_RT</stp>
        <tr r="AF27" s="2"/>
      </tp>
      <tp>
        <v>0.08</v>
        <stp/>
        <stp>BDP|5744678466973659230|22</stp>
        <stp>ASHR US 02/27/26 C35 Equity</stp>
        <stp>ask</stp>
        <tr r="Q7" s="2"/>
      </tp>
    </main>
    <main first="bofaddin.rtdserver">
      <tp>
        <v>0.29479104280471802</v>
        <stp/>
        <stp>BDP|4566483656655524211|22</stp>
        <stp>AMZN US 07/17/26 C240 Equity</stp>
        <stp>DELTA_MID_RT</stp>
        <tr r="AF4" s="2"/>
      </tp>
      <tp>
        <v>74.161100000000005</v>
        <stp/>
        <stp>BDP|11576966289528241643|22</stp>
        <stp>HOOD Equity</stp>
        <stp>LAST PRICE</stp>
        <tr r="L5" s="446"/>
        <tr r="L6" s="446"/>
      </tp>
      <tp>
        <v>631.85500000000002</v>
        <stp/>
        <stp>BDP|13530810646219131800|22</stp>
        <stp>LITE Equity</stp>
        <stp>LAST_PRICE</stp>
        <tr r="I36" s="1"/>
      </tp>
      <tp>
        <v>4.51</v>
        <stp/>
        <stp>BDP|9227142646679695230|22</stp>
        <stp>QQQ US 02/25/26 P595 Equity</stp>
        <stp>ask</stp>
        <tr r="L30" s="89"/>
      </tp>
      <tp>
        <v>6.12</v>
        <stp/>
        <stp>BDP|6541163430104226259|22</stp>
        <stp>QQQ US 02/27/26 P595 Equity</stp>
        <stp>ask</stp>
        <tr r="L31" s="89"/>
      </tp>
      <tp t="s">
        <v>#N/A Requesting Data...</v>
        <stp/>
        <stp>BDP|9933947334624476222|22</stp>
        <stp>1,82965600206712 Index</stp>
        <stp>mid</stp>
        <tr r="L1" s="2"/>
      </tp>
      <tp>
        <v>212.47</v>
        <stp/>
        <stp>BDP|13659659385475398852|22</stp>
        <stp>ACN Equity</stp>
        <stp>LAST PRICE</stp>
        <tr r="L8" s="446"/>
      </tp>
      <tp>
        <v>0.10362796485424042</v>
        <stp/>
        <stp>BDP|17365683659371825791|22</stp>
        <stp>QQQ US 02/25/26 C620 Equity</stp>
        <stp>DELTA_MID_RT</stp>
        <tr r="W20" s="89"/>
      </tp>
      <tp>
        <v>333.565</v>
        <stp/>
        <stp>BDP|17391786708796275229|22</stp>
        <stp>AVGO Equity</stp>
        <stp>LAST PRICE</stp>
        <tr r="G12" s="338"/>
      </tp>
      <tp>
        <v>235.095</v>
        <stp/>
        <stp>BDP|4463437285265374374|22</stp>
        <stp>LRCX EQUITY</stp>
        <stp>LAST_PRICE</stp>
        <tr r="H6" s="1"/>
      </tp>
      <tp>
        <v>-3.0846113339066505E-2</v>
        <stp/>
        <stp>BDP|1880248133672197461|22</stp>
        <stp>NFLX US 05/15/26 P70 Equity</stp>
        <stp>theta_mid_rt</stp>
        <tr r="AN20" s="2"/>
      </tp>
      <tp>
        <v>4.75</v>
        <stp/>
        <stp>BDP|9317551536395983431|22</stp>
        <stp>INTC US 07/17/26 C50 Equity</stp>
        <stp>bid</stp>
        <tr r="P13" s="2"/>
      </tp>
      <tp>
        <v>0.87</v>
        <stp/>
        <stp>BDP|6215650409594363711|22</stp>
        <stp>MRVL US 03/20/26 P60 Equity</stp>
        <stp>bid</stp>
        <tr r="P18" s="2"/>
      </tp>
      <tp>
        <v>3</v>
        <stp/>
        <stp>BDP|8826778433184054251|22</stp>
        <stp>NFLX US 05/15/26 P70 Equity</stp>
        <stp>ask</stp>
        <tr r="Q20" s="2"/>
      </tp>
      <tp>
        <v>3.33</v>
        <stp/>
        <stp>BDP|6964193628268319902|22</stp>
        <stp>QQQ US 02/25/26 P590 Equity</stp>
        <stp>ask</stp>
        <tr r="L96" s="89"/>
        <tr r="Q26" s="2"/>
      </tp>
      <tp t="s">
        <v>#N/A N/A</v>
        <stp/>
        <stp>BDP|4850800782704536302|22</stp>
        <stp>2OG6P 24750 Index</stp>
        <stp>DELTA_MID_RT</stp>
        <tr r="W61" s="89"/>
      </tp>
      <tp>
        <v>85.631</v>
        <stp/>
        <stp>BDP|3517880411788471110|22</stp>
        <stp>COPX EQUITY</stp>
        <stp>LAST_PRICE</stp>
        <tr r="L9" s="1"/>
      </tp>
      <tp>
        <v>0.50155764818191528</v>
        <stp/>
        <stp>BDP|1115882164603689622|22</stp>
        <stp>META US 07/17/26 C670 Equity</stp>
        <stp>DELTA_MID_RT</stp>
        <tr r="W78" s="89"/>
      </tp>
      <tp>
        <v>0.12</v>
        <stp/>
        <stp>BDP|6559733617078447128|22</stp>
        <stp>CSCO US 04/17/26 C95 Equity</stp>
        <stp>mid</stp>
        <tr r="L10" s="2"/>
      </tp>
      <tp>
        <v>0.27</v>
        <stp/>
        <stp>BDP|3681734940200336092|22</stp>
        <stp>JETS US 03/20/26 P26 Equity</stp>
        <stp>bid</stp>
        <tr r="K44" s="89"/>
        <tr r="P24" s="2"/>
      </tp>
      <tp>
        <v>0.47719541192054749</v>
        <stp/>
        <stp>BDP|17478839230977938286|22</stp>
        <stp>TSM US 06/18/26 C380 Equity</stp>
        <stp>DELTA_MID_RT</stp>
        <tr r="AF28" s="2"/>
      </tp>
      <tp>
        <v>0.29855763912200928</v>
        <stp/>
        <stp>BDP|7125100259003145731|22</stp>
        <stp>META US 07/17/26 C750 Equity</stp>
        <stp>DELTA_MID_RT</stp>
        <tr r="AF16" s="2"/>
      </tp>
      <tp>
        <v>185.45</v>
        <stp/>
        <stp>BDP|18434337130911834676|22</stp>
        <stp>CRM Equity</stp>
        <stp>LAST PRICE</stp>
        <tr r="G8" s="338"/>
        <tr r="L9" s="446"/>
      </tp>
      <tp>
        <v>359.95</v>
        <stp/>
        <stp>BDP|13113113388917834281|22</stp>
        <stp>TSM Equity</stp>
        <stp>LAST_PRICE</stp>
        <tr r="I31" s="1"/>
      </tp>
      <tp>
        <v>304.8</v>
        <stp/>
        <stp>BDP|16760158171648826820|22</stp>
        <stp>GOOG Equity</stp>
        <stp>LAST_PRICE</stp>
        <tr r="I20" s="1"/>
      </tp>
      <tp t="s">
        <v>#N/A N/A</v>
        <stp/>
        <stp>BDP|9704315770915911503|22</stp>
        <stp>ASHR US 02/20/26 C35 Equity</stp>
        <stp>bid</stp>
        <tr r="P6" s="2"/>
      </tp>
      <tp>
        <v>-1.3623124919831753E-2</v>
        <stp/>
        <stp>BDP|3327663356997655030|22</stp>
        <stp>JETS US 03/20/26 P26 Equity</stp>
        <stp>theta_mid_rt</stp>
        <tr r="AN24" s="2"/>
      </tp>
      <tp>
        <v>7.25</v>
        <stp/>
        <stp>BDP|3040279599098747961|22</stp>
        <stp>SMH US 02/27/26 P400 Equity</stp>
        <stp>ask</stp>
        <tr r="L37" s="89"/>
      </tp>
      <tp>
        <v>-0.3621574342250824</v>
        <stp/>
        <stp>BDP|10390188414222743916|22</stp>
        <stp>QQQ US 02/27/26 P595 Equity</stp>
        <stp>DELTA_MID_RT</stp>
        <tr r="W31" s="89"/>
      </tp>
      <tp>
        <v>5387</v>
        <stp/>
        <stp>BDP|18259571086573127790|22</stp>
        <stp>HCTA Index</stp>
        <stp>LAST PRICE</stp>
        <tr r="L12" s="446"/>
      </tp>
      <tp>
        <v>2.5299999999999998</v>
        <stp/>
        <stp>BDP|5295851568697877083|22</stp>
        <stp>MRVL US 03/20/26 P70 Equity</stp>
        <stp>bid</stp>
        <tr r="P17" s="2"/>
      </tp>
      <tp>
        <v>0.66195982694625854</v>
        <stp/>
        <stp>BDP|3339707825527805733|22</stp>
        <stp>LITE US 06/18/26 C600 Equity</stp>
        <stp>DELTA_MID_RT</stp>
        <tr r="AF14" s="2"/>
      </tp>
      <tp t="s">
        <v>USD</v>
        <stp/>
        <stp>BDP|489157209106839653|22</stp>
        <stp>NVDA US 03/20/26 C220 Equity</stp>
        <stp>QUOTED_CURRENCY_REALTIME</stp>
        <tr r="G23" s="2"/>
        <tr r="F14" s="89"/>
      </tp>
      <tp>
        <v>0.20723667740821838</v>
        <stp/>
        <stp>BDP|11731079455226441927|22</stp>
        <stp>QQQ US 02/25/26 C615 Equity</stp>
        <stp>DELTA_MID_RT</stp>
        <tr r="W95" s="89"/>
        <tr r="W19" s="89"/>
        <tr r="AF25" s="2"/>
      </tp>
      <tp>
        <v>2.17</v>
        <stp/>
        <stp>BDP|5541024631542138350|22</stp>
        <stp>NFLX US 05/15/26 C90 Equity</stp>
        <stp>bid</stp>
        <tr r="P19" s="2"/>
      </tp>
      <tp>
        <v>0.05</v>
        <stp/>
        <stp>BDP|8465872380432047250|22</stp>
        <stp>ASHR US 02/20/26 C35 Equity</stp>
        <stp>ask</stp>
        <tr r="Q6" s="2"/>
      </tp>
      <tp t="s">
        <v>USD</v>
        <stp/>
        <stp>BDP|9485379892070249970|22</stp>
        <stp>SMH US 02/27/26 P400 Equity</stp>
        <stp>QUOTED_CURRENCY_REALTIME</stp>
        <tr r="F37" s="89"/>
      </tp>
      <tp>
        <v>6.09</v>
        <stp/>
        <stp>BDP|7523795397818749591|22</stp>
        <stp>QQQ US 02/27/26 P595 Equity</stp>
        <stp>bid</stp>
        <tr r="K31" s="89"/>
      </tp>
      <tp>
        <v>359.95</v>
        <stp/>
        <stp>BDP|18226792745994375460|22</stp>
        <stp>TSM Equity</stp>
        <stp>LAST PRICE</stp>
        <tr r="G10" s="338"/>
      </tp>
      <tp>
        <v>-0.25975626707077026</v>
        <stp/>
        <stp>BDP|11662599569218082360|22</stp>
        <stp>QQQ US 02/25/26 P590 Equity</stp>
        <stp>DELTA_MID_RT</stp>
        <tr r="W96" s="89"/>
        <tr r="AF2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P&amp;L'!$B$12:$B$44</c:f>
              <c:strCache>
                <c:ptCount val="33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QQQE</c:v>
                </c:pt>
                <c:pt idx="5">
                  <c:v>NQA</c:v>
                </c:pt>
                <c:pt idx="6">
                  <c:v>NQA</c:v>
                </c:pt>
                <c:pt idx="7">
                  <c:v>NQA</c:v>
                </c:pt>
                <c:pt idx="8">
                  <c:v>GOOG</c:v>
                </c:pt>
                <c:pt idx="9">
                  <c:v>META</c:v>
                </c:pt>
                <c:pt idx="10">
                  <c:v>AMZN</c:v>
                </c:pt>
                <c:pt idx="11">
                  <c:v>NFLX</c:v>
                </c:pt>
                <c:pt idx="12">
                  <c:v>EWY</c:v>
                </c:pt>
                <c:pt idx="13">
                  <c:v>EWY</c:v>
                </c:pt>
                <c:pt idx="14">
                  <c:v>000660 KS</c:v>
                </c:pt>
                <c:pt idx="15">
                  <c:v>402340 KS</c:v>
                </c:pt>
                <c:pt idx="16">
                  <c:v>005930 KS</c:v>
                </c:pt>
                <c:pt idx="17">
                  <c:v>005935 KS</c:v>
                </c:pt>
                <c:pt idx="18">
                  <c:v>2330 TT</c:v>
                </c:pt>
                <c:pt idx="19">
                  <c:v>TSM</c:v>
                </c:pt>
                <c:pt idx="20">
                  <c:v>AVGO</c:v>
                </c:pt>
                <c:pt idx="21">
                  <c:v>INTC</c:v>
                </c:pt>
                <c:pt idx="22">
                  <c:v>NVDA</c:v>
                </c:pt>
                <c:pt idx="23">
                  <c:v>MRVL</c:v>
                </c:pt>
                <c:pt idx="24">
                  <c:v>LITE</c:v>
                </c:pt>
                <c:pt idx="25">
                  <c:v>AKAM</c:v>
                </c:pt>
                <c:pt idx="26">
                  <c:v>CSCO</c:v>
                </c:pt>
                <c:pt idx="27">
                  <c:v>RIOT</c:v>
                </c:pt>
                <c:pt idx="28">
                  <c:v>AGX</c:v>
                </c:pt>
                <c:pt idx="29">
                  <c:v>GEV</c:v>
                </c:pt>
                <c:pt idx="30">
                  <c:v>ENR GY</c:v>
                </c:pt>
                <c:pt idx="31">
                  <c:v>WMB</c:v>
                </c:pt>
                <c:pt idx="32">
                  <c:v>GDX</c:v>
                </c:pt>
              </c:strCache>
            </c:strRef>
          </c:cat>
          <c:val>
            <c:numRef>
              <c:f>'Master P&amp;L'!$J$12:$J$44</c:f>
              <c:numCache>
                <c:formatCode>0.00%</c:formatCode>
                <c:ptCount val="33"/>
                <c:pt idx="0">
                  <c:v>-1.5022148038775107E-2</c:v>
                </c:pt>
                <c:pt idx="1">
                  <c:v>-1.2874446942772177E-2</c:v>
                </c:pt>
                <c:pt idx="2">
                  <c:v>-5.7189062040575722E-3</c:v>
                </c:pt>
                <c:pt idx="3">
                  <c:v>-5.4408293302958821E-3</c:v>
                </c:pt>
                <c:pt idx="4">
                  <c:v>0</c:v>
                </c:pt>
                <c:pt idx="5">
                  <c:v>-5.3995031255008596E-3</c:v>
                </c:pt>
                <c:pt idx="6">
                  <c:v>0</c:v>
                </c:pt>
                <c:pt idx="7">
                  <c:v>-1.1077989042862502E-4</c:v>
                </c:pt>
                <c:pt idx="8">
                  <c:v>2.8295058235179305E-3</c:v>
                </c:pt>
                <c:pt idx="9">
                  <c:v>1.8111999005006041E-3</c:v>
                </c:pt>
                <c:pt idx="10">
                  <c:v>-1.2647101909272207E-3</c:v>
                </c:pt>
                <c:pt idx="11">
                  <c:v>-1.000128221566865E-2</c:v>
                </c:pt>
                <c:pt idx="12">
                  <c:v>1.3766644098397451E-2</c:v>
                </c:pt>
                <c:pt idx="13">
                  <c:v>4.9966440450441851E-3</c:v>
                </c:pt>
                <c:pt idx="14">
                  <c:v>4.5146726862301811E-3</c:v>
                </c:pt>
                <c:pt idx="15">
                  <c:v>8.8967971530249379E-3</c:v>
                </c:pt>
                <c:pt idx="16">
                  <c:v>3.5635964912280604E-2</c:v>
                </c:pt>
                <c:pt idx="17">
                  <c:v>4.6238244514106519E-2</c:v>
                </c:pt>
                <c:pt idx="18">
                  <c:v>0</c:v>
                </c:pt>
                <c:pt idx="19">
                  <c:v>-6.3766355656158513E-3</c:v>
                </c:pt>
                <c:pt idx="20">
                  <c:v>1.6491259632389621E-4</c:v>
                </c:pt>
                <c:pt idx="21">
                  <c:v>-1.8587769467663828E-2</c:v>
                </c:pt>
                <c:pt idx="22">
                  <c:v>-6.9954250452175515E-3</c:v>
                </c:pt>
                <c:pt idx="23">
                  <c:v>-3.2241749905173034E-3</c:v>
                </c:pt>
                <c:pt idx="24">
                  <c:v>6.326355467303868E-2</c:v>
                </c:pt>
                <c:pt idx="25">
                  <c:v>-3.1104199066874783E-3</c:v>
                </c:pt>
                <c:pt idx="26">
                  <c:v>1.0808390892811381E-2</c:v>
                </c:pt>
                <c:pt idx="27">
                  <c:v>2.0658489347966436E-2</c:v>
                </c:pt>
                <c:pt idx="28">
                  <c:v>3.78634212305613E-2</c:v>
                </c:pt>
                <c:pt idx="29">
                  <c:v>2.1692862821845793E-2</c:v>
                </c:pt>
                <c:pt idx="30">
                  <c:v>-1.4701470147014839E-2</c:v>
                </c:pt>
                <c:pt idx="31">
                  <c:v>2.0099805932907167E-3</c:v>
                </c:pt>
                <c:pt idx="32">
                  <c:v>8.4828393135725211E-3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68038</xdr:colOff>
      <xdr:row>52</xdr:row>
      <xdr:rowOff>139337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15</xdr:col>
      <xdr:colOff>25212</xdr:colOff>
      <xdr:row>4</xdr:row>
      <xdr:rowOff>54628</xdr:rowOff>
    </xdr:from>
    <xdr:to>
      <xdr:col>20</xdr:col>
      <xdr:colOff>758268</xdr:colOff>
      <xdr:row>44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26525" y="876159"/>
          <a:ext cx="4126337" cy="858930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18</xdr:col>
      <xdr:colOff>536281</xdr:colOff>
      <xdr:row>41</xdr:row>
      <xdr:rowOff>160525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B430A-BE2C-50C8-CABC-332662BA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86875" y="1845469"/>
          <a:ext cx="3572374" cy="70304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342900</xdr:colOff>
          <xdr:row>2</xdr:row>
          <xdr:rowOff>85725</xdr:rowOff>
        </xdr:from>
        <xdr:to>
          <xdr:col>39</xdr:col>
          <xdr:colOff>361950</xdr:colOff>
          <xdr:row>4</xdr:row>
          <xdr:rowOff>85725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72.561956597223" createdVersion="8" refreshedVersion="8" minRefreshableVersion="3" recordCount="31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AKAM"/>
        <s v="CSCO"/>
        <s v="RIOT"/>
        <s v="AGX"/>
        <s v="GEV"/>
        <s v="ENR GY"/>
        <s v="WMB"/>
        <s v="GDX"/>
        <s v="COHR" u="1"/>
        <s v="XLF" u="1"/>
        <s v="KBWB" u="1"/>
        <s v="KHC" u="1"/>
        <s v="XLP" u="1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796" maxValue="58296"/>
    </cacheField>
    <cacheField name="Price Today" numFmtId="43">
      <sharedItems containsSemiMixedTypes="0" containsString="0" containsNumber="1" minValue="15.455" maxValue="890000"/>
    </cacheField>
    <cacheField name="% Chg" numFmtId="10">
      <sharedItems containsSemiMixedTypes="0" containsString="0" containsNumber="1" minValue="-1.7707875054993383E-2" maxValue="4.6238244514106519E-2"/>
    </cacheField>
    <cacheField name="Price Yest" numFmtId="43">
      <sharedItems containsSemiMixedTypes="0" containsString="0" containsNumber="1" minValue="15.49" maxValue="886000"/>
    </cacheField>
    <cacheField name="FX" numFmtId="0">
      <sharedItems containsSemiMixedTypes="0" containsString="0" containsNumber="1" minValue="0.85128117817315052" maxValue="1451.6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37324500" maxValue="10484300.4"/>
    </cacheField>
    <cacheField name="D1 Exp %" numFmtId="196">
      <sharedItems containsSemiMixedTypes="0" containsString="0" containsNumber="1" minValue="-1.4785725190909215E-2" maxValue="4.1532501315044964E-3"/>
    </cacheField>
    <cacheField name="D1 P&amp;L bps" numFmtId="170">
      <sharedItems containsSemiMixedTypes="0" containsString="0" containsNumber="1" minValue="-0.35058384690899158" maxValue="0.42491808054811486"/>
    </cacheField>
    <cacheField name="Options Exp USD (delta adj)" numFmtId="166">
      <sharedItems containsString="0" containsBlank="1" containsNumber="1" minValue="-7365984.5118463049" maxValue="14479217.798550058"/>
    </cacheField>
    <cacheField name="Option Exp %" numFmtId="0">
      <sharedItems containsString="0" containsBlank="1" containsNumber="1" minValue="-2.9179606626385628E-3" maxValue="5.7357964701116601E-3"/>
    </cacheField>
    <cacheField name="Options P&amp;L bps" numFmtId="170">
      <sharedItems containsString="0" containsBlank="1" containsNumber="1" minValue="-0.12319952134315959" maxValue="0.21391556760548691"/>
    </cacheField>
    <cacheField name="Exp" numFmtId="166">
      <sharedItems containsSemiMixedTypes="0" containsString="0" containsNumber="1" minValue="-37324500" maxValue="16182095.723628188"/>
    </cacheField>
    <cacheField name="Exp %" numFmtId="173">
      <sharedItems containsSemiMixedTypes="0" containsString="0" containsNumber="1" minValue="-1.4785725190909215E-2" maxValue="6.4103744291967362E-3"/>
    </cacheField>
    <cacheField name="P&amp;L bps" numFmtId="170">
      <sharedItems containsSemiMixedTypes="0" containsString="0" containsNumber="1" minValue="-0.35058384690899158" maxValue="0.59945678352067611"/>
    </cacheField>
    <cacheField name="xx" numFmtId="166">
      <sharedItems containsSemiMixedTypes="0" containsString="0" containsNumber="1" minValue="2.5362300134630069" maxValue="81668.083371077315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728.6" maxValue="30235.604864776134"/>
    </cacheField>
    <cacheField name="Column1" numFmtId="170">
      <sharedItems containsSemiMixedTypes="0" containsString="0" containsNumber="1" minValue="-1.6883811707530529" maxValue="1.9353114820487565"/>
    </cacheField>
    <cacheField name="Expo Beta Adj" numFmtId="10">
      <sharedItems containsString="0" containsBlank="1" containsNumber="1" minValue="-2.920915283699465E-3" maxValue="1.1745065426676835E-2"/>
    </cacheField>
    <cacheField name="Vol 10d" numFmtId="43">
      <sharedItems containsSemiMixedTypes="0" containsString="0" containsNumber="1" minValue="12.796789024187937" maxValue="150.30695278127345"/>
    </cacheField>
    <cacheField name="Beta" numFmtId="43">
      <sharedItems containsMixedTypes="1" containsNumber="1" minValue="0.67020392417907715" maxValue="2.0552542209625244"/>
    </cacheField>
    <cacheField name="Daily P&amp;L" numFmtId="166">
      <sharedItems containsSemiMixedTypes="0" containsString="0" containsNumber="1" minValue="-83108.020434539707" maxValue="100729.3999211702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1.3602330000000001E-2" maxValue="9.2530730000000005E-3"/>
    </cacheField>
    <cacheField name="Column4" numFmtId="170">
      <sharedItems containsMixedTypes="1" containsNumber="1" minValue="-0.33760018978634021" maxValue="0.28798283637529731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m/>
    <s v="USD"/>
    <s v="Long"/>
    <m/>
    <n v="3978"/>
    <n v="154.89500000000001"/>
    <n v="-5.6172562110804458E-3"/>
    <n v="155.77000000000001"/>
    <n v="1"/>
    <n v="1"/>
    <n v="616172.31000000006"/>
    <n v="2.4409046191932172E-4"/>
    <n v="-1.3788640961903643E-2"/>
    <n v="0"/>
    <n v="0"/>
    <n v="0"/>
    <n v="616172.31000000006"/>
    <n v="2.4409046191932172E-4"/>
    <n v="-1.3788640961903643E-2"/>
    <n v="8148.6182801252453"/>
    <m/>
    <n v="1392.3000000000002"/>
    <n v="4.8530121958440683E-2"/>
    <n v="2.1307194954644289E-4"/>
    <n v="31.811236917225322"/>
    <n v="0.87292206287384033"/>
    <n v="-3268.6807020059218"/>
    <m/>
    <s v="20/02/2026"/>
    <e v="#VALUE!"/>
    <e v="#VALUE!"/>
    <s v="12/06/2025"/>
  </r>
  <r>
    <x v="1"/>
    <x v="0"/>
    <m/>
    <s v="USD"/>
    <s v="Long"/>
    <m/>
    <n v="4800"/>
    <n v="137.30000000000001"/>
    <n v="-4.1343294407775177E-3"/>
    <n v="137.87"/>
    <n v="1"/>
    <n v="1"/>
    <n v="659040"/>
    <n v="2.6107206606429585E-4"/>
    <n v="-1.0838388758677845E-2"/>
    <n v="0"/>
    <n v="0"/>
    <n v="0"/>
    <n v="659040"/>
    <n v="2.6107206606429585E-4"/>
    <n v="-1.0838388758677845E-2"/>
    <n v="9192.864009468316"/>
    <m/>
    <n v="1680"/>
    <n v="6.7100365500860099E-2"/>
    <n v="2.7348572192316227E-4"/>
    <n v="41.122969002335083"/>
    <n v="1.047548770904541"/>
    <n v="-2569.3055808915014"/>
    <m/>
    <s v="26/02/2026"/>
    <e v="#VALUE!"/>
    <e v="#VALUE!"/>
    <s v="#N/A Field Not Applicable"/>
  </r>
  <r>
    <x v="2"/>
    <x v="0"/>
    <m/>
    <s v="USD"/>
    <s v="Long"/>
    <m/>
    <n v="10700"/>
    <n v="33.825000000000003"/>
    <n v="-5.4395765951189556E-3"/>
    <n v="34.01"/>
    <n v="1"/>
    <n v="1"/>
    <n v="361927.50000000006"/>
    <n v="1.4337393813802719E-4"/>
    <n v="-7.8415901125009121E-3"/>
    <n v="0"/>
    <n v="0"/>
    <n v="0"/>
    <n v="361927.50000000006"/>
    <n v="1.4337393813802719E-4"/>
    <n v="-7.8415901125009121E-3"/>
    <n v="37315.010450849957"/>
    <m/>
    <n v="3745"/>
    <n v="1.1467037736995667E-2"/>
    <n v="1.6330905973027226E-4"/>
    <n v="12.796789024187937"/>
    <n v="1.139042854309082"/>
    <n v="-1858.8963440696843"/>
    <m/>
    <s v="#N/A N/A"/>
    <n v="-6.1746279999999997E-3"/>
    <n v="-8.8528073289733059E-3"/>
    <s v="19/12/2025"/>
  </r>
  <r>
    <x v="3"/>
    <x v="1"/>
    <m/>
    <s v="USD"/>
    <s v="Short"/>
    <m/>
    <m/>
    <n v="603.98"/>
    <n v="-2.9878340679112547E-3"/>
    <n v="605.79"/>
    <n v="1"/>
    <n v="1"/>
    <n v="0"/>
    <n v="0"/>
    <n v="0"/>
    <n v="-7365984.5118463049"/>
    <n v="-2.9179606626385628E-3"/>
    <n v="-7.9227988002032013E-2"/>
    <n v="-7365984.5118463049"/>
    <n v="-2.9179606626385628E-3"/>
    <n v="-7.9227988002032013E-2"/>
    <n v="2089.7715628000924"/>
    <m/>
    <n v="-4268.5098499059677"/>
    <n v="-0.36284962118478825"/>
    <n v="-2.920915283699465E-3"/>
    <n v="19.896066500454157"/>
    <n v="1.0010125637054443"/>
    <n v="0"/>
    <m/>
    <s v="#N/A N/A"/>
    <n v="-4.8036010000000002E-3"/>
    <n v="0.14016718757011262"/>
    <s v="22/12/2025"/>
  </r>
  <r>
    <x v="4"/>
    <x v="1"/>
    <m/>
    <s v="USD"/>
    <s v="Short"/>
    <m/>
    <n v="-35"/>
    <n v="24883"/>
    <n v="-2.9251482609392587E-3"/>
    <n v="24956"/>
    <n v="1"/>
    <n v="20"/>
    <n v="-17418100"/>
    <n v="-6.9000050890909671E-3"/>
    <n v="0.20242750934519174"/>
    <m/>
    <m/>
    <m/>
    <n v="-17418100"/>
    <n v="-6.9000050890909671E-3"/>
    <n v="0.20242750934519174"/>
    <n v="2.5362300134630069"/>
    <m/>
    <n v="-244.99999999999997"/>
    <n v="-0.78791121301809131"/>
    <m/>
    <n v="18.270391464233398"/>
    <s v="#N/A Field Not Applicable"/>
    <n v="47986.664906270948"/>
    <m/>
    <s v="#N/A Field Not Applicable"/>
    <e v="#VALUE!"/>
    <e v="#VALUE!"/>
    <s v="#N/A Field Not Applicable"/>
  </r>
  <r>
    <x v="4"/>
    <x v="1"/>
    <m/>
    <s v="USD"/>
    <s v="Short"/>
    <m/>
    <n v="-75"/>
    <n v="24883"/>
    <n v="2.3767321946503994E-3"/>
    <n v="24824"/>
    <n v="1"/>
    <n v="20"/>
    <n v="-37324500"/>
    <n v="-1.4785725190909215E-2"/>
    <n v="-0.35058384690899158"/>
    <m/>
    <m/>
    <m/>
    <n v="-37324500"/>
    <n v="-1.4785725190909215E-2"/>
    <n v="-0.35058384690899158"/>
    <n v="2.5362300134630069"/>
    <m/>
    <n v="-524.99999999999989"/>
    <n v="-1.6883811707530529"/>
    <m/>
    <n v="18.270391464233398"/>
    <s v="#N/A Field Not Applicable"/>
    <n v="-83108.020434539707"/>
    <m/>
    <s v="#N/A Field Not Applicable"/>
    <e v="#VALUE!"/>
    <e v="#VALUE!"/>
    <s v="#N/A Field Not Applicable"/>
  </r>
  <r>
    <x v="5"/>
    <x v="2"/>
    <m/>
    <s v="USD"/>
    <s v="Long"/>
    <m/>
    <n v="12450"/>
    <n v="305.245"/>
    <n v="4.2936105810358338E-3"/>
    <n v="303.94"/>
    <n v="1"/>
    <n v="1"/>
    <n v="3800300.25"/>
    <n v="1.5054507130555959E-3"/>
    <n v="6.436184640330106E-2"/>
    <n v="0"/>
    <n v="0"/>
    <n v="0"/>
    <n v="3800300.25"/>
    <n v="1.5054507130555959E-3"/>
    <n v="6.436184640330106E-2"/>
    <n v="4134.9742944192367"/>
    <m/>
    <n v="4357.5"/>
    <n v="0.15911589603767934"/>
    <n v="1.5601864267376637E-3"/>
    <n v="16.910911227612218"/>
    <n v="1.0363583564758301"/>
    <n v="15257.364802317315"/>
    <m/>
    <s v="24/04/2026"/>
    <n v="-5.0996509999999993E-3"/>
    <n v="-7.6772732342846817E-2"/>
    <s v="09/03/2026"/>
  </r>
  <r>
    <x v="6"/>
    <x v="2"/>
    <m/>
    <s v="USD"/>
    <s v="Long"/>
    <m/>
    <n v="9100"/>
    <n v="645.01700000000005"/>
    <n v="2.7937564130469106E-3"/>
    <n v="643.22"/>
    <n v="1"/>
    <n v="1"/>
    <n v="5869654.7000000002"/>
    <n v="2.3252046607383538E-3"/>
    <n v="6.4779575970042344E-2"/>
    <n v="3296210.5590734188"/>
    <n v="1.3057606531322E-3"/>
    <n v="2.6937515920691022E-2"/>
    <n v="9165865.2590734195"/>
    <n v="3.6309653138705536E-3"/>
    <n v="9.1717091890733363E-2"/>
    <n v="1956.8169962962215"/>
    <m/>
    <n v="4973.5942474007597"/>
    <n v="0.54307158317327264"/>
    <n v="4.3348293853197016E-3"/>
    <n v="23.930675673433704"/>
    <n v="1.1938503980636597"/>
    <n v="15356.39012158098"/>
    <m/>
    <s v="30/04/2026"/>
    <e v="#VALUE!"/>
    <e v="#VALUE!"/>
    <s v="16/03/2026"/>
  </r>
  <r>
    <x v="7"/>
    <x v="2"/>
    <m/>
    <s v="USD"/>
    <s v="Short"/>
    <m/>
    <m/>
    <n v="205.3"/>
    <n v="2.4903559744129389E-3"/>
    <n v="204.79"/>
    <n v="1"/>
    <n v="1"/>
    <n v="0"/>
    <n v="0"/>
    <n v="0"/>
    <n v="-383329.30473983288"/>
    <n v="-1.5185204778377372E-4"/>
    <n v="3.8029434240975504E-2"/>
    <n v="-383329.30473983288"/>
    <n v="-1.5185204778377372E-4"/>
    <n v="3.8029434240975504E-2"/>
    <n v="6147.9796809546997"/>
    <m/>
    <n v="-653.50831300020218"/>
    <n v="-3.7320380223299872E-2"/>
    <n v="-1.9457575066278432E-4"/>
    <n v="39.322886473224393"/>
    <n v="1.28135085105896"/>
    <n v="0"/>
    <m/>
    <s v="01/05/2026"/>
    <n v="-4.0040629999999995E-3"/>
    <n v="6.0802516600524034E-3"/>
    <s v="#N/A Field Not Applicable"/>
  </r>
  <r>
    <x v="8"/>
    <x v="2"/>
    <m/>
    <s v="USD"/>
    <s v="Short"/>
    <m/>
    <m/>
    <n v="77.965000000000003"/>
    <n v="-3.2055391716878656E-4"/>
    <n v="77.989999999999995"/>
    <n v="1"/>
    <n v="1"/>
    <n v="0"/>
    <n v="0"/>
    <n v="0"/>
    <n v="-446673.05406332016"/>
    <n v="-1.7694503684079858E-4"/>
    <n v="-6.3382390401625485E-3"/>
    <n v="-446673.05406332016"/>
    <n v="-1.7694503684079858E-4"/>
    <n v="-6.3382390401625485E-3"/>
    <n v="16189.062124030012"/>
    <m/>
    <n v="-2005.201935768127"/>
    <n v="-4.0504317150947024E-2"/>
    <n v="-1.9941403559401092E-4"/>
    <n v="36.625445165677895"/>
    <n v="1.1269829273223877"/>
    <n v="0"/>
    <m/>
    <s v="17/04/2026"/>
    <n v="-4.1030860000000006E-3"/>
    <n v="7.26020703430965E-3"/>
    <s v="#N/A Field Not Applicable"/>
  </r>
  <r>
    <x v="9"/>
    <x v="3"/>
    <m/>
    <s v="USD"/>
    <s v="Long"/>
    <m/>
    <n v="58296"/>
    <n v="134.77000000000001"/>
    <n v="1.3841871661776972E-2"/>
    <n v="132.93"/>
    <n v="1"/>
    <n v="1"/>
    <n v="7856551.9200000009"/>
    <n v="3.1122940062755073E-3"/>
    <n v="0.42491808054811486"/>
    <n v="0"/>
    <n v="0"/>
    <n v="0"/>
    <n v="7856551.9200000009"/>
    <n v="3.1122940062755073E-3"/>
    <n v="0.42491808054811486"/>
    <n v="9365.4391073681072"/>
    <m/>
    <n v="20403.599999999999"/>
    <n v="0.72932051274296172"/>
    <n v="2.7834081436854414E-3"/>
    <n v="37.493656384513216"/>
    <n v="0.89432686567306519"/>
    <n v="100729.3999211702"/>
    <m/>
    <s v="#N/A N/A"/>
    <n v="9.2530730000000005E-3"/>
    <n v="0.28798283637529731"/>
    <s v="16/12/2025"/>
  </r>
  <r>
    <x v="9"/>
    <x v="3"/>
    <m/>
    <s v="USD"/>
    <s v="Long"/>
    <m/>
    <n v="-27796"/>
    <n v="134.77000000000001"/>
    <n v="5.0712208218361976E-3"/>
    <n v="134.09"/>
    <n v="1"/>
    <n v="1"/>
    <n v="-3746066.9200000004"/>
    <n v="-1.4839667249628449E-3"/>
    <n v="-7.4875519253153111E-2"/>
    <m/>
    <m/>
    <m/>
    <n v="-3746066.9200000004"/>
    <n v="-1.4839667249628449E-3"/>
    <n v="-7.4875519253153111E-2"/>
    <n v="9365.4391073681072"/>
    <m/>
    <n v="-9728.6"/>
    <n v="-0.34774586544880209"/>
    <n v="-1.3271513098991447E-3"/>
    <n v="37.493656384513216"/>
    <n v="0.89432686567306519"/>
    <n v="-17749.694513886694"/>
    <m/>
    <s v="#N/A N/A"/>
    <n v="9.2530730000000005E-3"/>
    <n v="-0.13731252435652128"/>
    <s v="16/12/2025"/>
  </r>
  <r>
    <x v="10"/>
    <x v="3"/>
    <m/>
    <s v="KRW"/>
    <s v="Long"/>
    <m/>
    <n v="1563"/>
    <n v="890000"/>
    <n v="4.5146726862301811E-3"/>
    <n v="886000"/>
    <n v="1451.65"/>
    <n v="1"/>
    <n v="958268.1775910171"/>
    <n v="3.7960829838455082E-4"/>
    <n v="1.7061047118406777E-2"/>
    <n v="0"/>
    <n v="0"/>
    <n v="0"/>
    <n v="958268.1775910171"/>
    <n v="3.7960829838455082E-4"/>
    <n v="1.7061047118406777E-2"/>
    <n v="2058.7010434854215"/>
    <m/>
    <n v="0.37684703613129888"/>
    <n v="9.8798018287977005E-2"/>
    <n v="6.0589925839265408E-4"/>
    <n v="41.642090000000003"/>
    <n v="1.596117"/>
    <n v="4044.4243653908902"/>
    <m/>
    <s v="23/04/2026"/>
    <e v="#VALUE!"/>
    <e v="#VALUE!"/>
    <s v="26/02/2026"/>
  </r>
  <r>
    <x v="11"/>
    <x v="3"/>
    <m/>
    <s v="KRW"/>
    <s v="Long"/>
    <m/>
    <n v="1468"/>
    <n v="567000"/>
    <n v="8.8967971530249379E-3"/>
    <n v="562000"/>
    <n v="1451.65"/>
    <n v="1"/>
    <n v="573386.14679847076"/>
    <n v="2.2714115379540299E-4"/>
    <n v="2.0030084108942057E-2"/>
    <n v="0"/>
    <n v="0"/>
    <n v="0"/>
    <n v="573386.14679847076"/>
    <n v="2.2714115379540299E-4"/>
    <n v="2.0030084108942057E-2"/>
    <n v="3231.4707737249119"/>
    <m/>
    <n v="0.35394206592498195"/>
    <n v="8.6248690268589764E-2"/>
    <n v="4.309056214656445E-4"/>
    <n v="60.754249999999999"/>
    <n v="1.8970830000000001"/>
    <n v="4748.2525339042122"/>
    <m/>
    <s v="11/03/2026"/>
    <e v="#VALUE!"/>
    <e v="#VALUE!"/>
    <s v="#N/A N/A"/>
  </r>
  <r>
    <x v="12"/>
    <x v="3"/>
    <m/>
    <s v="KRW"/>
    <s v="Long"/>
    <m/>
    <n v="7080"/>
    <n v="188900"/>
    <n v="3.5635964912280604E-2"/>
    <n v="182400"/>
    <n v="1451.65"/>
    <n v="1"/>
    <n v="921304.72221265442"/>
    <n v="3.64965597388398E-4"/>
    <n v="0.12558371535333973"/>
    <n v="0"/>
    <n v="0"/>
    <n v="0"/>
    <n v="921304.72221265442"/>
    <n v="3.64965597388398E-4"/>
    <n v="0.12558371535333973"/>
    <n v="9699.5443552251199"/>
    <m/>
    <n v="1.707023042744463"/>
    <n v="0.11572796774162977"/>
    <n v="4.2964115090159604E-4"/>
    <n v="50.734850000000002"/>
    <n v="1.1772100000000001"/>
    <n v="29770.378965977096"/>
    <m/>
    <s v="07/04/2026"/>
    <e v="#VALUE!"/>
    <e v="#VALUE!"/>
    <s v="29/12/2025"/>
  </r>
  <r>
    <x v="13"/>
    <x v="3"/>
    <m/>
    <s v="KRW"/>
    <s v="Long"/>
    <m/>
    <n v="4400"/>
    <n v="133500"/>
    <n v="4.6238244514106519E-2"/>
    <n v="127600"/>
    <n v="1451.65"/>
    <n v="1"/>
    <n v="404642.99245685944"/>
    <n v="1.6029525075739192E-4"/>
    <n v="7.0842095840345495E-2"/>
    <n v="0"/>
    <n v="0"/>
    <n v="0"/>
    <n v="404642.99245685944"/>
    <n v="1.6029525075739192E-4"/>
    <n v="7.0842095840345495E-2"/>
    <n v="13724.673623236142"/>
    <m/>
    <n v="1.060861777976785"/>
    <n v="5.7011841154114208E-2"/>
    <n v="1.8478019001533279E-4"/>
    <n v="56.906829999999999"/>
    <n v="1.152749"/>
    <n v="16793.547109012721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20768.961451834723"/>
    <m/>
    <n v="199.37482149090795"/>
    <n v="7.7532893284500207E-2"/>
    <n v="5.4632091866094006E-4"/>
    <n v="28.706900000000001"/>
    <n v="1.2642359999999999"/>
    <n v="0"/>
    <m/>
    <s v="17/04/2026"/>
    <e v="#VALUE!"/>
    <e v="#VALUE!"/>
    <s v="17/03/2026"/>
  </r>
  <r>
    <x v="15"/>
    <x v="4"/>
    <m/>
    <s v="USD"/>
    <s v="Long"/>
    <m/>
    <m/>
    <n v="361.33499999999998"/>
    <n v="-2.5534146745431752E-3"/>
    <n v="362.26"/>
    <n v="1"/>
    <n v="1"/>
    <n v="0"/>
    <n v="0"/>
    <n v="0"/>
    <n v="14479217.798550058"/>
    <n v="5.7357964701116601E-3"/>
    <n v="0.15256339439641287"/>
    <n v="14479217.798550058"/>
    <n v="5.7357964701116601E-3"/>
    <n v="0.15256339439641287"/>
    <n v="3493.1026014640156"/>
    <m/>
    <n v="14025.007899850611"/>
    <n v="1.2827020706224443"/>
    <n v="8.2458870834463873E-3"/>
    <n v="35.780964748143475"/>
    <n v="1.4376184940338135"/>
    <n v="0"/>
    <m/>
    <s v="17/04/2026"/>
    <e v="#VALUE!"/>
    <e v="#VALUE!"/>
    <s v="17/03/2026"/>
  </r>
  <r>
    <x v="16"/>
    <x v="4"/>
    <m/>
    <s v="USD"/>
    <s v="Long"/>
    <m/>
    <n v="12750"/>
    <n v="336.90499999999997"/>
    <n v="1.0179604809450904E-2"/>
    <n v="333.51"/>
    <n v="1"/>
    <n v="1"/>
    <n v="4295538.75"/>
    <n v="1.7016344627363176E-3"/>
    <n v="0.17147412478264695"/>
    <n v="798597.94915616466"/>
    <n v="3.1635654367095987E-4"/>
    <n v="7.059213730981044E-2"/>
    <n v="5094136.6991561651"/>
    <n v="2.0179910064072777E-3"/>
    <n v="0.24206626209245741"/>
    <n v="3746.3980306020985"/>
    <m/>
    <n v="5292.13827252388"/>
    <n v="0.62095665641021158"/>
    <n v="4.0882819120039065E-3"/>
    <n v="49.23365104709594"/>
    <n v="2.0259168148040771"/>
    <n v="40648.977960842654"/>
    <m/>
    <s v="04/03/2026"/>
    <n v="-1.769051E-3"/>
    <n v="-3.5699290078758002E-2"/>
    <s v="22/12/2025"/>
  </r>
  <r>
    <x v="17"/>
    <x v="4"/>
    <m/>
    <s v="USD"/>
    <s v="Long"/>
    <m/>
    <m/>
    <n v="44.655000000000001"/>
    <n v="-1.7707875054993383E-2"/>
    <n v="45.46"/>
    <n v="1"/>
    <n v="1"/>
    <n v="0"/>
    <n v="0"/>
    <n v="0"/>
    <n v="631439.57497179508"/>
    <n v="2.5013843534936778E-4"/>
    <n v="-5.0507842351295379E-2"/>
    <n v="631439.57497179508"/>
    <n v="2.5013843534936778E-4"/>
    <n v="-5.0507842351295379E-2"/>
    <n v="28265.148997872577"/>
    <m/>
    <n v="4949.140101671218"/>
    <n v="8.2013234964384091E-2"/>
    <n v="3.7250943699113439E-4"/>
    <n v="52.45942142387603"/>
    <n v="1.4892131090164185"/>
    <n v="0"/>
    <m/>
    <s v="24/04/2026"/>
    <e v="#VALUE!"/>
    <e v="#VALUE!"/>
    <s v="03/09/2024"/>
  </r>
  <r>
    <x v="18"/>
    <x v="4"/>
    <m/>
    <s v="USD"/>
    <s v="Long"/>
    <m/>
    <n v="55970"/>
    <n v="187.32"/>
    <n v="-3.511011809766984E-3"/>
    <n v="187.98"/>
    <n v="1"/>
    <n v="1"/>
    <n v="10484300.4"/>
    <n v="4.1532501315044964E-3"/>
    <n v="-0.14633488611963236"/>
    <n v="5697795.3236281872"/>
    <n v="2.2571242976922399E-3"/>
    <n v="-0.12319952134315959"/>
    <n v="16182095.723628188"/>
    <n v="6.4103744291967362E-3"/>
    <n v="-0.26953440746279195"/>
    <n v="6738.0964579329493"/>
    <m/>
    <n v="30235.604864776134"/>
    <n v="1.9353114820487565"/>
    <n v="1.1745065426676835E-2"/>
    <n v="48.304485260247468"/>
    <n v="1.8321964740753174"/>
    <n v="-34689.569451479867"/>
    <m/>
    <s v="25/02/2026"/>
    <n v="-5.266466E-3"/>
    <n v="-0.33760018978634021"/>
    <s v="04/12/2025"/>
  </r>
  <r>
    <x v="19"/>
    <x v="4"/>
    <m/>
    <s v="USD"/>
    <s v="Short"/>
    <m/>
    <n v="-8800"/>
    <n v="78.959999999999994"/>
    <n v="-1.643697053989257E-3"/>
    <n v="79.09"/>
    <n v="1"/>
    <n v="1"/>
    <n v="-694848"/>
    <n v="-2.7525704503617964E-4"/>
    <n v="4.5318409137165665E-3"/>
    <n v="-528702.26341187954"/>
    <n v="-2.0944008291121774E-4"/>
    <n v="7.13051892018279E-3"/>
    <n v="-1223550.2634118795"/>
    <n v="-4.8469712794739739E-4"/>
    <n v="1.1662359833899356E-2"/>
    <n v="15985.058618287741"/>
    <m/>
    <n v="-5423.5384016484022"/>
    <n v="-0.15426328436007522"/>
    <n v="-9.5977116135144175E-4"/>
    <n v="50.922780586995152"/>
    <n v="1.9801461696624756"/>
    <n v="1074.3002867471241"/>
    <m/>
    <s v="05/03/2026"/>
    <n v="-1.1252999999999999E-2"/>
    <n v="5.4542967807920624E-2"/>
    <s v="09/01/2026"/>
  </r>
  <r>
    <x v="20"/>
    <x v="5"/>
    <m/>
    <s v="USD"/>
    <s v="Long"/>
    <m/>
    <n v="4025"/>
    <n v="618.44000000000005"/>
    <n v="4.0689260593006482E-2"/>
    <n v="594.26"/>
    <n v="1"/>
    <n v="1"/>
    <n v="2489221"/>
    <n v="9.8607985761203039E-4"/>
    <n v="0.38554121591518914"/>
    <n v="1114729.1853189478"/>
    <n v="4.4158875259982244E-4"/>
    <n v="0.21391556760548691"/>
    <n v="3603950.1853189478"/>
    <n v="1.4276686102118528E-3"/>
    <n v="0.59945678352067611"/>
    <n v="2040.9097543819933"/>
    <m/>
    <n v="2039.6199548244476"/>
    <n v="0.66541326997062267"/>
    <n v="2.8886130352750636E-3"/>
    <n v="74.573414610202178"/>
    <n v="2.0233078002929688"/>
    <n v="91394.876099224639"/>
    <m/>
    <s v="06/05/2026"/>
    <e v="#VALUE!"/>
    <e v="#VALUE!"/>
    <s v="#N/A N/A"/>
  </r>
  <r>
    <x v="21"/>
    <x v="5"/>
    <m/>
    <s v="USD"/>
    <s v="Long"/>
    <m/>
    <n v="23060"/>
    <n v="108.62"/>
    <n v="-6.3123227518068203E-3"/>
    <n v="109.31"/>
    <n v="1"/>
    <n v="1"/>
    <n v="2504777.2000000002"/>
    <n v="9.9224228974681655E-4"/>
    <n v="-6.303141041477639E-2"/>
    <n v="0"/>
    <n v="0"/>
    <n v="0"/>
    <n v="2504777.2000000002"/>
    <n v="9.9224228974681655E-4"/>
    <n v="-6.303141041477639E-2"/>
    <n v="11620.145723623642"/>
    <m/>
    <n v="8071"/>
    <n v="0.40720386528360536"/>
    <n v="6.774061554196552E-4"/>
    <n v="65.662005256802132"/>
    <n v="0.68270236253738403"/>
    <n v="-14941.976907820686"/>
    <m/>
    <s v="19/02/2026"/>
    <n v="-7.5930310000000001E-3"/>
    <n v="-7.5341264655585605E-2"/>
    <s v="#N/A Field Not Applicable"/>
  </r>
  <r>
    <x v="22"/>
    <x v="5"/>
    <m/>
    <s v="USD"/>
    <s v="Long"/>
    <m/>
    <n v="41610"/>
    <n v="78.17"/>
    <n v="-1.2790995139433381E-4"/>
    <n v="78.180000000000007"/>
    <n v="1"/>
    <n v="1"/>
    <n v="3252653.7"/>
    <n v="1.2885060415918248E-3"/>
    <n v="-1.6483382903831189E-3"/>
    <n v="-221898.25851097697"/>
    <n v="-8.7902762814897389E-5"/>
    <n v="-9.2560592070150827E-3"/>
    <n v="3030755.4414890232"/>
    <n v="1.2006032787769275E-3"/>
    <n v="-1.0904397497398202E-2"/>
    <n v="16146.606479467826"/>
    <m/>
    <n v="13569.968076258896"/>
    <n v="0.60096230340752355"/>
    <n v="1.1388590587125642E-3"/>
    <n v="80.088044273173438"/>
    <n v="0.94857233762741089"/>
    <n v="-390.74855709412049"/>
    <m/>
    <s v="14/05/2026"/>
    <n v="-4.2210520000000003E-3"/>
    <n v="-5.0678088710879074E-2"/>
    <s v="02/04/2026"/>
  </r>
  <r>
    <x v="23"/>
    <x v="6"/>
    <m/>
    <s v="USD"/>
    <s v="Long"/>
    <m/>
    <n v="30000"/>
    <n v="15.455"/>
    <n v="-2.2595222724338671E-3"/>
    <n v="15.49"/>
    <n v="1"/>
    <n v="1"/>
    <n v="463650"/>
    <n v="1.8367028318571068E-4"/>
    <n v="-4.1594693701066969E-3"/>
    <n v="0"/>
    <n v="0"/>
    <n v="0"/>
    <n v="463650"/>
    <n v="1.8367028318571068E-4"/>
    <n v="-4.1594693701066969E-3"/>
    <n v="81668.083371077315"/>
    <m/>
    <n v="10500"/>
    <n v="0.17254325363823586"/>
    <n v="3.7748912478281402E-4"/>
    <n v="150.30695278127345"/>
    <n v="2.0552542209625244"/>
    <n v="-986.02736108776332"/>
    <m/>
    <s v="24/02/2026"/>
    <n v="-1.3602330000000001E-2"/>
    <n v="-2.4983438030854881E-2"/>
    <s v="12/10/2017"/>
  </r>
  <r>
    <x v="24"/>
    <x v="6"/>
    <m/>
    <s v="USD"/>
    <s v="Long"/>
    <m/>
    <n v="4217"/>
    <n v="430.17"/>
    <n v="3.8756882063170073E-2"/>
    <n v="414.12"/>
    <n v="1"/>
    <n v="1"/>
    <n v="1814026.8900000001"/>
    <n v="7.1860850338141709E-4"/>
    <n v="0.26811880138716676"/>
    <n v="0"/>
    <n v="0"/>
    <n v="0"/>
    <n v="1814026.8900000001"/>
    <n v="7.1860850338141709E-4"/>
    <n v="0.26811880138716676"/>
    <n v="2934.1428470139708"/>
    <m/>
    <n v="1475.95"/>
    <n v="0.3442360937964789"/>
    <n v="8.8334193138311478E-4"/>
    <n v="76.645036550872675"/>
    <n v="1.2292394638061523"/>
    <n v="63559.182834665429"/>
    <m/>
    <s v="27/03/2026"/>
    <n v="0"/>
    <n v="0"/>
    <s v="22/01/2026"/>
  </r>
  <r>
    <x v="25"/>
    <x v="6"/>
    <m/>
    <s v="USD"/>
    <s v="Long"/>
    <m/>
    <n v="965"/>
    <n v="833.73"/>
    <n v="1.9790838480826967E-2"/>
    <n v="817.55"/>
    <n v="1"/>
    <n v="1"/>
    <n v="804549.45000000007"/>
    <n v="3.1871417085820725E-4"/>
    <n v="6.1852101813366582E-2"/>
    <n v="0"/>
    <n v="0"/>
    <n v="0"/>
    <n v="804549.45000000007"/>
    <n v="3.1871417085820725E-4"/>
    <n v="6.1852101813366582E-2"/>
    <n v="1513.8956598659038"/>
    <m/>
    <n v="337.75000000000006"/>
    <n v="8.5892366098102732E-2"/>
    <n v="4.0086861036733401E-4"/>
    <n v="43.119446301025825"/>
    <n v="1.2577683925628662"/>
    <n v="14662.414674110481"/>
    <m/>
    <s v="23/04/2026"/>
    <n v="-1.895894E-3"/>
    <n v="-6.0424828424504992E-3"/>
    <s v="17/03/2026"/>
  </r>
  <r>
    <x v="26"/>
    <x v="6"/>
    <m/>
    <s v="EUR"/>
    <s v="Long"/>
    <m/>
    <n v="2000"/>
    <n v="164.15"/>
    <n v="-1.5001500150015001E-2"/>
    <n v="166.65"/>
    <n v="0.85128117817315052"/>
    <n v="1"/>
    <n v="385654.01"/>
    <n v="1.5277295638607764E-4"/>
    <n v="-2.3267279376496749E-2"/>
    <n v="0"/>
    <n v="0"/>
    <n v="0"/>
    <n v="385654.01"/>
    <n v="1.5277295638607764E-4"/>
    <n v="-2.3267279376496749E-2"/>
    <n v="6545.6611147385702"/>
    <m/>
    <n v="822.28999999999985"/>
    <n v="5.8966293585062196E-2"/>
    <n v="2.1135114937206054E-4"/>
    <n v="61.755740000000003"/>
    <n v="1.3834329999999999"/>
    <n v="-5515.6492431894812"/>
    <m/>
    <s v="12/05/2026"/>
    <e v="#VALUE!"/>
    <e v="#VALUE!"/>
    <s v="27/02/2026"/>
  </r>
  <r>
    <x v="27"/>
    <x v="6"/>
    <m/>
    <s v="USD"/>
    <s v="Long"/>
    <m/>
    <n v="53300"/>
    <n v="71.844999999999999"/>
    <n v="-4.0892708622123353E-3"/>
    <n v="72.14"/>
    <n v="1"/>
    <n v="1"/>
    <n v="3829338.5"/>
    <n v="1.516953923668596E-3"/>
    <n v="-6.2287063467497863E-2"/>
    <n v="0"/>
    <n v="0"/>
    <n v="0"/>
    <n v="3829338.5"/>
    <n v="1.516953923668596E-3"/>
    <n v="-6.2287063467497863E-2"/>
    <n v="17568.101169183657"/>
    <m/>
    <n v="18655"/>
    <n v="0.19178194078838731"/>
    <n v="1.0166684724415413E-3"/>
    <n v="20.228109797780284"/>
    <n v="0.67020392417907715"/>
    <n v="-14765.524963869973"/>
    <m/>
    <s v="05/05/2026"/>
    <n v="8.8743799999999994E-3"/>
    <n v="0.13462025561126115"/>
    <s v="13/03/2026"/>
  </r>
  <r>
    <x v="28"/>
    <x v="7"/>
    <m/>
    <s v="USD"/>
    <m/>
    <m/>
    <n v="14909"/>
    <n v="103.19"/>
    <n v="6.1427457098284233E-3"/>
    <n v="102.56"/>
    <n v="1"/>
    <n v="1"/>
    <n v="1538459.71"/>
    <n v="6.0944533722744813E-4"/>
    <n v="3.720811730335203E-2"/>
    <n v="0"/>
    <n v="0"/>
    <n v="0"/>
    <n v="1538459.71"/>
    <n v="6.0944533722744813E-4"/>
    <n v="3.720811730335203E-2"/>
    <n v="12231.613804632232"/>
    <m/>
    <n v="5218.1500000000005"/>
    <n v="0.31698691606472068"/>
    <n v="6.0774009647323311E-4"/>
    <n v="83.219779481924448"/>
    <n v="0.99720197916030884"/>
    <n v="8820.4091558743785"/>
    <m/>
    <s v="#N/A N/A"/>
    <n v="-5.7526949999999995E-3"/>
    <n v="-3.5059531442416539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0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8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m="1" x="30"/>
        <item m="1" x="33"/>
        <item m="1" x="194"/>
        <item m="1" x="193"/>
        <item m="1" x="68"/>
        <item m="1" x="31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4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m="1" x="29"/>
        <item m="1" x="67"/>
        <item m="1" x="65"/>
        <item x="23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m="1" x="32"/>
        <item m="1" x="51"/>
        <item x="17"/>
        <item x="22"/>
        <item x="21"/>
        <item m="1" x="50"/>
        <item m="1" x="49"/>
        <item x="12"/>
        <item m="1" x="47"/>
        <item m="1" x="48"/>
        <item m="1" x="39"/>
        <item x="27"/>
        <item m="1" x="44"/>
        <item m="1" x="35"/>
        <item x="24"/>
        <item m="1" x="37"/>
        <item x="13"/>
        <item x="25"/>
        <item x="2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m="1"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8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6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7"/>
    </i>
    <i r="1">
      <x v="198"/>
    </i>
    <i>
      <x v="25"/>
    </i>
    <i r="1">
      <x v="19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3564">
      <pivotArea outline="0" collapsedLevelsAreSubtotals="1" fieldPosition="0"/>
    </format>
    <format dxfId="35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1">
      <pivotArea outline="0" collapsedLevelsAreSubtotals="1" fieldPosition="0"/>
    </format>
    <format dxfId="3560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9">
      <pivotArea outline="0" collapsedLevelsAreSubtotals="1" fieldPosition="0"/>
    </format>
    <format dxfId="35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7">
      <pivotArea outline="0" collapsedLevelsAreSubtotals="1" fieldPosition="0"/>
    </format>
    <format dxfId="3556">
      <pivotArea type="all" dataOnly="0" outline="0" fieldPosition="0"/>
    </format>
    <format dxfId="3555">
      <pivotArea dataOnly="0" labelOnly="1" grandRow="1" outline="0" fieldPosition="0"/>
    </format>
    <format dxfId="35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3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5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9">
      <pivotArea dataOnly="0" labelOnly="1" grandRow="1" outline="0" fieldPosition="0"/>
    </format>
    <format dxfId="3548">
      <pivotArea type="all" dataOnly="0" outline="0" fieldPosition="0"/>
    </format>
    <format dxfId="35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6">
      <pivotArea type="all" dataOnly="0" outline="0" fieldPosition="0"/>
    </format>
    <format dxfId="3545">
      <pivotArea outline="0" collapsedLevelsAreSubtotals="1" fieldPosition="0"/>
    </format>
    <format dxfId="3544">
      <pivotArea dataOnly="0" labelOnly="1" grandRow="1" outline="0" fieldPosition="0"/>
    </format>
    <format dxfId="354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4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54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37">
      <pivotArea type="all" dataOnly="0" outline="0" fieldPosition="0"/>
    </format>
    <format dxfId="3536">
      <pivotArea outline="0" collapsedLevelsAreSubtotals="1" fieldPosition="0"/>
    </format>
    <format dxfId="3535">
      <pivotArea dataOnly="0" labelOnly="1" grandRow="1" outline="0" fieldPosition="0"/>
    </format>
    <format dxfId="35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33">
      <pivotArea type="all" dataOnly="0" outline="0" fieldPosition="0"/>
    </format>
    <format dxfId="3532">
      <pivotArea outline="0" collapsedLevelsAreSubtotals="1" fieldPosition="0"/>
    </format>
    <format dxfId="3531">
      <pivotArea dataOnly="0" labelOnly="1" grandRow="1" outline="0" fieldPosition="0"/>
    </format>
    <format dxfId="35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28">
      <pivotArea field="1" type="button" dataOnly="0" labelOnly="1" outline="0" axis="axisRow" fieldPosition="0"/>
    </format>
    <format dxfId="35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6">
      <pivotArea field="1" type="button" dataOnly="0" labelOnly="1" outline="0" axis="axisRow" fieldPosition="0"/>
    </format>
    <format dxfId="35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4">
      <pivotArea field="1" type="button" dataOnly="0" labelOnly="1" outline="0" axis="axisRow" fieldPosition="0"/>
    </format>
    <format dxfId="35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736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4" totalsRowShown="0" headerRowDxfId="3522" dataDxfId="3520" headerRowBorderDxfId="3521" tableBorderDxfId="3519">
  <autoFilter ref="B11:AI44" xr:uid="{488A667B-27C2-4003-A53C-C52DE885F6F5}"/>
  <sortState xmlns:xlrd2="http://schemas.microsoft.com/office/spreadsheetml/2017/richdata2" ref="B12:AI44">
    <sortCondition ref="C11:C44"/>
  </sortState>
  <tableColumns count="34">
    <tableColumn id="1" xr3:uid="{C4869650-AB2A-4E52-A8FD-8FC4A1E9B450}" name="Ticker" dataDxfId="3518" totalsRowDxfId="3517"/>
    <tableColumn id="2" xr3:uid="{3392DCC0-4423-44FF-B70A-0E06289D8EEE}" name="Sector" dataDxfId="3516"/>
    <tableColumn id="29" xr3:uid="{7A835F51-8D98-481A-BCE1-CD91D7445A8F}" name="Diretoria" dataDxfId="3515"/>
    <tableColumn id="3" xr3:uid="{B1589ED3-B8E2-4F6B-B66F-D68F68C1ABA6}" name="Crncy" dataDxfId="3514"/>
    <tableColumn id="4" xr3:uid="{616D46BC-AC49-4393-8BDA-875BFB778D29}" name="Long / Short" dataDxfId="3513" totalsRowDxfId="3512">
      <calculatedColumnFormula>IF(T12&gt;0,"Long","Short")</calculatedColumnFormula>
    </tableColumn>
    <tableColumn id="33" xr3:uid="{F6985B5B-9203-43DA-8157-CAE6E92D0561}" name="Qtdd " dataDxfId="3511"/>
    <tableColumn id="5" xr3:uid="{9A4DCF38-5D0D-4646-8CF9-69904711743E}" name="Qtt Shs" dataDxfId="3510" dataCellStyle="Comma"/>
    <tableColumn id="6" xr3:uid="{BC11B5F3-DE4D-477B-AAED-C5AB103E9DA0}" name="Price Today" dataDxfId="3509" totalsRowDxfId="3508">
      <calculatedColumnFormula array="1">_xll.BDP(B12&amp;" Equity","LAST_PRICE")</calculatedColumnFormula>
    </tableColumn>
    <tableColumn id="7" xr3:uid="{704FFD7D-1208-4AA6-81A9-0E257F085F19}" name="% Chg" dataDxfId="3507" totalsRowDxfId="3506">
      <calculatedColumnFormula>I12/K12-1</calculatedColumnFormula>
    </tableColumn>
    <tableColumn id="8" xr3:uid="{E069BEAC-4A43-4F60-BD21-C3F1FDA777D4}" name="Price Yest" dataDxfId="3505" dataCellStyle="Comma">
      <calculatedColumnFormula>_xll.BDP(B12&amp;" equity","PX_YEST_CLOSE")</calculatedColumnFormula>
    </tableColumn>
    <tableColumn id="9" xr3:uid="{A2F51CF4-C965-4A1F-975F-FCDA401F7124}" name="FX" dataDxfId="3504">
      <calculatedColumnFormula>_xll.BDP(E12&amp;" Curncy","PX_LAST")</calculatedColumnFormula>
    </tableColumn>
    <tableColumn id="10" xr3:uid="{0525E66F-8EF5-4CCF-835F-559F3DAE7E58}" name="Mult" dataDxfId="3503" totalsRowDxfId="3502" dataCellStyle="Comma"/>
    <tableColumn id="11" xr3:uid="{8FC681CE-75F1-4027-AD99-551C42A97619}" name="D1 Exp USD" dataDxfId="3501">
      <calculatedColumnFormula>IFERROR(IF(((I12/L12)*H12*M12)&lt;&gt;0,((I12/L12)*H12*M12),0),"-")</calculatedColumnFormula>
    </tableColumn>
    <tableColumn id="12" xr3:uid="{BE55CED1-1EEB-46EA-A2E5-D244B7925B83}" name="D1 Exp %" dataDxfId="3500">
      <calculatedColumnFormula>IFERROR(IF(Tabelad[[#This Row],[D1 Exp USD]]&lt;&gt;0,N12/$AE$7,0),"-")</calculatedColumnFormula>
    </tableColumn>
    <tableColumn id="13" xr3:uid="{622A85AF-E726-48C1-A6C0-2A26A6E13A5C}" name="D1 P&amp;L bps" dataDxfId="3499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3498" totalsRowDxfId="3497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3496" totalsRowDxfId="3495" dataCellStyle="Percent">
      <calculatedColumnFormula>Q12/$AE$7</calculatedColumnFormula>
    </tableColumn>
    <tableColumn id="16" xr3:uid="{48C8F341-ED13-4859-B6ED-AB346A494BEF}" name="Options P&amp;L bps" dataDxfId="3494" totalsRowDxfId="3493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3492" totalsRowDxfId="3491">
      <calculatedColumnFormula>N12+Q12</calculatedColumnFormula>
    </tableColumn>
    <tableColumn id="18" xr3:uid="{56683745-C1CE-4341-A873-C851B97E4432}" name="Exp %" dataDxfId="3490" totalsRowDxfId="3489">
      <calculatedColumnFormula>T12/$AE$7</calculatedColumnFormula>
    </tableColumn>
    <tableColumn id="19" xr3:uid="{AD790890-4299-4C9E-A460-9342E2B4BE92}" name="P&amp;L bps" dataDxfId="3488" totalsRowDxfId="3487">
      <calculatedColumnFormula>P12+S12</calculatedColumnFormula>
    </tableColumn>
    <tableColumn id="20" xr3:uid="{A3132FF2-B491-42D2-B6D5-98FB024D0411}" name="xx" dataDxfId="3486" totalsRowDxfId="3485">
      <calculatedColumnFormula>$W$10/(I12/L12*M12)</calculatedColumnFormula>
    </tableColumn>
    <tableColumn id="21" xr3:uid="{68119C5E-24ED-4841-8DFC-985A70CC957B}" name="Ticker2" dataDxfId="3484" totalsRowDxfId="3483"/>
    <tableColumn id="22" xr3:uid="{EAB0ADAA-AF64-4574-AD5E-BAD2211681D1}" name="xx2" dataDxfId="3482" totalsRowDxfId="3481">
      <calculatedColumnFormula>Tabelad[[#This Row],[Exp %]]*$Y$10*$AD$7/Tabelad[[#This Row],[Price Today]]</calculatedColumnFormula>
    </tableColumn>
    <tableColumn id="23" xr3:uid="{160D9866-3FEF-4C23-ADDC-0615A4FD8D8A}" name="Column1" dataDxfId="3480">
      <calculatedColumnFormula>Tabelad[[#This Row],[Vol 10d]]/16*Tabelad[[#This Row],[Exp %]]*100</calculatedColumnFormula>
    </tableColumn>
    <tableColumn id="27" xr3:uid="{5FC9F15D-E683-4C75-83A6-A027ED24C573}" name="Expo Beta Adj" dataDxfId="3479" totalsRowDxfId="3478">
      <calculatedColumnFormula>Tabelad[[#This Row],[Exp %]]*Tabelad[[#This Row],[Beta]]</calculatedColumnFormula>
    </tableColumn>
    <tableColumn id="24" xr3:uid="{02F0D998-EE72-4509-80A1-181D260811AE}" name="Vol 10d" dataDxfId="3477">
      <calculatedColumnFormula>_xll.BDP($B12&amp;" Equity","volatility_10d")</calculatedColumnFormula>
    </tableColumn>
    <tableColumn id="25" xr3:uid="{06753197-209B-42CE-8324-F5BF4E6BBC8C}" name="Beta" dataDxfId="3476" totalsRowDxfId="3475">
      <calculatedColumnFormula>_xll.BDP(B12&amp;" EQUITY","eqy_beta")</calculatedColumnFormula>
    </tableColumn>
    <tableColumn id="26" xr3:uid="{E0099784-2515-472D-A708-E950C7C1F961}" name="Daily P&amp;L" dataDxfId="3474" totalsRowDxfId="3473">
      <calculatedColumnFormula>Tabelad[[#This Row],[D1 P&amp;L bps]]*$AD$5/10000</calculatedColumnFormula>
    </tableColumn>
    <tableColumn id="28" xr3:uid="{E8C15306-AE60-46ED-BE32-1873B2B613BE}" name="VALUE" dataDxfId="3472" totalsRowDxfId="3471"/>
    <tableColumn id="30" xr3:uid="{3553EED7-0690-4464-BFF1-737C1D716FE2}" name="Report Date2" dataDxfId="3470" totalsRowDxfId="3469">
      <calculatedColumnFormula>_xll.BDP(B12&amp;" Equity","EXPECTED_REPORT_DT")</calculatedColumnFormula>
    </tableColumn>
    <tableColumn id="31" xr3:uid="{5102101F-2C4E-4C70-B272-6AB453BA1BFE}" name="Column3" dataDxfId="3468" totalsRowDxfId="3467">
      <calculatedColumnFormula>_xll.BDP(B12&amp;" Index","CHG_PCT_1D_PRE_FROM_REGULAR")/100</calculatedColumnFormula>
    </tableColumn>
    <tableColumn id="32" xr3:uid="{78144925-541C-4BB9-B1CE-5128912D0AEA}" name="Column4" dataDxfId="3466">
      <calculatedColumnFormula>(T12*AG12)/$AD$7*10000</calculatedColumnFormula>
    </tableColumn>
    <tableColumn id="34" xr3:uid="{F48AA587-E15F-424C-9278-DC54512DF635}" name="Column5" dataDxfId="3465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3464" dataDxfId="3463" totalsRowBorderDxfId="3462">
  <autoFilter ref="F3:G136" xr:uid="{50594F44-C7EB-4454-89DA-F08A9C91DB54}"/>
  <tableColumns count="2">
    <tableColumn id="1" xr3:uid="{C2C1762E-B58F-491C-8249-F5F204F351C6}" name="De (Lote)" totalsRowFunction="count" dataDxfId="3461"/>
    <tableColumn id="2" xr3:uid="{2A11C67E-26BC-4BE0-826C-B31A77595F54}" name="Para (Ticker Daniel)" totalsRowFunction="count" dataDxfId="346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2">
        <v>0.41</v>
      </c>
      <c r="D6" s="319">
        <f>C6^2</f>
        <v>0.16809999999999997</v>
      </c>
    </row>
    <row r="7" spans="2:12">
      <c r="B7" t="s">
        <v>658</v>
      </c>
      <c r="C7" s="322">
        <v>0.25</v>
      </c>
      <c r="D7" s="319">
        <f>C7^2</f>
        <v>6.25E-2</v>
      </c>
    </row>
    <row r="8" spans="2:12">
      <c r="B8" t="s">
        <v>656</v>
      </c>
      <c r="C8" s="317">
        <f>SQRT(D6+D7+2*C10)</f>
        <v>0.35791060336346558</v>
      </c>
    </row>
    <row r="9" spans="2:12">
      <c r="B9" t="s">
        <v>654</v>
      </c>
      <c r="C9" s="321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8">
        <f>59/300</f>
        <v>0.19666666666666666</v>
      </c>
    </row>
    <row r="13" spans="2:12">
      <c r="C13" s="323"/>
    </row>
    <row r="14" spans="2:12">
      <c r="G14">
        <f>3500000/14.4</f>
        <v>243055.55555555556</v>
      </c>
      <c r="J14" s="327">
        <f>3%*9200000000</f>
        <v>276000000</v>
      </c>
    </row>
    <row r="15" spans="2:12">
      <c r="C15" t="s">
        <v>667</v>
      </c>
      <c r="D15" t="s">
        <v>666</v>
      </c>
      <c r="J15" s="326">
        <f>J14/5.19</f>
        <v>53179190.751445085</v>
      </c>
    </row>
    <row r="16" spans="2:12">
      <c r="B16" t="s">
        <v>677</v>
      </c>
      <c r="C16" s="322">
        <v>0.2</v>
      </c>
      <c r="D16" s="319">
        <f>C16^2</f>
        <v>4.0000000000000008E-2</v>
      </c>
      <c r="F16" s="323"/>
      <c r="J16" s="326">
        <f>J15/31.22</f>
        <v>1703369.3386113096</v>
      </c>
      <c r="K16" s="326">
        <f>J16/100</f>
        <v>17033.693386113096</v>
      </c>
      <c r="L16" s="326">
        <f>J16*1.65</f>
        <v>2810559.4087086609</v>
      </c>
    </row>
    <row r="17" spans="1:21">
      <c r="B17" t="s">
        <v>676</v>
      </c>
      <c r="C17" s="322">
        <v>0.11700000000000001</v>
      </c>
      <c r="D17" s="319">
        <f>C17^2</f>
        <v>1.3689000000000002E-2</v>
      </c>
      <c r="F17" s="192"/>
    </row>
    <row r="18" spans="1:21">
      <c r="B18" t="s">
        <v>656</v>
      </c>
      <c r="C18" s="317">
        <f>SQRT(D16+D17+2*C20)</f>
        <v>0.27932955446926844</v>
      </c>
      <c r="J18">
        <v>17000</v>
      </c>
      <c r="K18">
        <v>1.65</v>
      </c>
      <c r="L18" s="327">
        <f>J18*K18*100</f>
        <v>2805000</v>
      </c>
    </row>
    <row r="19" spans="1:21">
      <c r="B19" t="s">
        <v>654</v>
      </c>
      <c r="C19" s="321">
        <v>0.52</v>
      </c>
      <c r="J19">
        <f>J18*1.6</f>
        <v>27200</v>
      </c>
      <c r="K19">
        <v>0.59599999999999997</v>
      </c>
      <c r="L19" s="327">
        <f>J19*K19*100</f>
        <v>1621120</v>
      </c>
    </row>
    <row r="20" spans="1:21">
      <c r="B20" t="s">
        <v>652</v>
      </c>
      <c r="C20">
        <f>C19*C16*C17</f>
        <v>1.2168000000000002E-2</v>
      </c>
      <c r="L20" s="326">
        <f>L18-L19</f>
        <v>1183880</v>
      </c>
      <c r="M20" s="326">
        <f>L20*5.2</f>
        <v>6156176</v>
      </c>
      <c r="N20" s="325"/>
    </row>
    <row r="21" spans="1:21">
      <c r="C21" s="323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4">
        <v>0.82</v>
      </c>
      <c r="B25" t="s">
        <v>674</v>
      </c>
      <c r="C25" s="322">
        <v>0.3</v>
      </c>
      <c r="D25" s="319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2">
        <v>0.4</v>
      </c>
      <c r="D26" s="319">
        <f>C26^2</f>
        <v>0.16000000000000003</v>
      </c>
      <c r="I26" t="s">
        <v>671</v>
      </c>
      <c r="J26">
        <v>1</v>
      </c>
      <c r="R26" s="323"/>
    </row>
    <row r="27" spans="1:21">
      <c r="B27" t="s">
        <v>670</v>
      </c>
      <c r="C27" s="317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1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2">
        <v>0.25</v>
      </c>
      <c r="D32" s="319">
        <f>C32^2</f>
        <v>6.25E-2</v>
      </c>
      <c r="F32" s="320">
        <v>0.41370000000000001</v>
      </c>
      <c r="G32" s="320">
        <v>0.43680000000000002</v>
      </c>
      <c r="H32" s="320">
        <v>0.4698</v>
      </c>
      <c r="I32" s="320">
        <v>0.36620000000000003</v>
      </c>
      <c r="J32" s="320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2">
        <v>0.122</v>
      </c>
      <c r="D33" s="319">
        <f>C33^2</f>
        <v>1.4884E-2</v>
      </c>
      <c r="E33">
        <f>200*1400</f>
        <v>280000</v>
      </c>
      <c r="F33" s="319">
        <f>F32*SQRT(22/252)</f>
        <v>0.12223528541300993</v>
      </c>
      <c r="G33" s="319">
        <f>G32*SQRT(22/252)</f>
        <v>0.1290606059183049</v>
      </c>
      <c r="H33" s="319">
        <f>H32*SQRT(22/252)</f>
        <v>0.138811063783012</v>
      </c>
      <c r="I33" s="319">
        <f>I32*SQRT(22/252)</f>
        <v>0.10820053545623456</v>
      </c>
      <c r="J33" s="319">
        <f>J32*SQRT(22/252)</f>
        <v>0.12359444014566606</v>
      </c>
      <c r="K33" t="s">
        <v>657</v>
      </c>
    </row>
    <row r="34" spans="2:17">
      <c r="B34" t="s">
        <v>656</v>
      </c>
      <c r="C34" s="317">
        <f>SQRT(D32+D33+2*C36)</f>
        <v>0.32780634527110669</v>
      </c>
      <c r="F34" s="319">
        <f>F33^2</f>
        <v>1.4941464999999998E-2</v>
      </c>
      <c r="G34" s="319">
        <f>G33^2</f>
        <v>1.6656639999999997E-2</v>
      </c>
      <c r="H34" s="319">
        <f>H33^2</f>
        <v>1.9268511428571427E-2</v>
      </c>
      <c r="I34" s="319">
        <f>I33^2</f>
        <v>1.1707355873015872E-2</v>
      </c>
      <c r="J34" s="319">
        <f>J33^2</f>
        <v>1.5275585634920631E-2</v>
      </c>
      <c r="K34" t="s">
        <v>655</v>
      </c>
    </row>
    <row r="35" spans="2:17">
      <c r="B35" t="s">
        <v>654</v>
      </c>
      <c r="C35" s="321">
        <v>0.49299999999999999</v>
      </c>
      <c r="F35" s="320">
        <v>0.32600000000000001</v>
      </c>
      <c r="G35" s="320">
        <v>0.30270000000000002</v>
      </c>
      <c r="H35" s="320">
        <v>0.35310000000000002</v>
      </c>
      <c r="I35" s="320">
        <v>0.27179999999999999</v>
      </c>
      <c r="J35" s="320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19">
        <f>F35*SQRT(1/252)</f>
        <v>2.0536069700168014E-2</v>
      </c>
      <c r="G36" s="319">
        <f>G35*SQRT(1/252)</f>
        <v>1.9068307663315517E-2</v>
      </c>
      <c r="H36" s="319">
        <f>H35*SQRT(1/252)</f>
        <v>2.2243209236593026E-2</v>
      </c>
      <c r="I36" s="319">
        <f>I35*SQRT(1/252)</f>
        <v>1.7121790627317994E-2</v>
      </c>
      <c r="J36" s="319">
        <f>J35*SQRT(1/252)</f>
        <v>2.2728263643621533E-2</v>
      </c>
      <c r="K36" t="s">
        <v>651</v>
      </c>
    </row>
    <row r="37" spans="2:17">
      <c r="F37" s="319">
        <f>F36*SQRT(21/1)</f>
        <v>9.4108093877908999E-2</v>
      </c>
      <c r="G37" s="319">
        <f>G36*SQRT(21/1)</f>
        <v>8.7381963241849867E-2</v>
      </c>
      <c r="H37" s="319">
        <f>H36*SQRT(21/1)</f>
        <v>0.10193119002542844</v>
      </c>
      <c r="I37" s="319">
        <f>I36*SQRT(21/1)</f>
        <v>7.8461901582870142E-2</v>
      </c>
      <c r="J37" s="319">
        <f>J36*SQRT(21/1)</f>
        <v>0.10415398856180849</v>
      </c>
      <c r="K37" t="s">
        <v>650</v>
      </c>
    </row>
    <row r="38" spans="2:17">
      <c r="F38" s="319">
        <f>F37^2</f>
        <v>8.8563333333333341E-3</v>
      </c>
      <c r="G38" s="319">
        <f>G37^2</f>
        <v>7.6356075000000015E-3</v>
      </c>
      <c r="H38" s="319">
        <f>H37^2</f>
        <v>1.0389967500000003E-2</v>
      </c>
      <c r="I38" s="319">
        <f>I37^2</f>
        <v>6.1562700000000001E-3</v>
      </c>
      <c r="J38" s="319">
        <f>J37^2</f>
        <v>1.0848053333333335E-2</v>
      </c>
      <c r="K38" t="s">
        <v>649</v>
      </c>
    </row>
    <row r="39" spans="2:17">
      <c r="F39" s="319">
        <f>F34-F38</f>
        <v>6.0851316666666634E-3</v>
      </c>
      <c r="G39" s="319">
        <f>G34-G38</f>
        <v>9.0210324999999945E-3</v>
      </c>
      <c r="H39" s="319">
        <f>H34-H38</f>
        <v>8.8785439285714238E-3</v>
      </c>
      <c r="I39" s="319">
        <f>I34-I38</f>
        <v>5.5510858730158721E-3</v>
      </c>
      <c r="J39" s="319">
        <f>J34-J38</f>
        <v>4.4275323015872965E-3</v>
      </c>
      <c r="K39" t="s">
        <v>648</v>
      </c>
    </row>
    <row r="40" spans="2:17">
      <c r="F40" s="318">
        <f>F39^0.5</f>
        <v>7.8007253936199186E-2</v>
      </c>
      <c r="G40" s="318">
        <f>G39^0.5</f>
        <v>9.4979116125598867E-2</v>
      </c>
      <c r="H40" s="318">
        <f>H39^0.5</f>
        <v>9.4226025749637898E-2</v>
      </c>
      <c r="I40" s="318">
        <f>I39^0.5</f>
        <v>7.4505609674814899E-2</v>
      </c>
      <c r="J40" s="318">
        <f>J39^0.5</f>
        <v>6.6539704700181057E-2</v>
      </c>
      <c r="K40" t="s">
        <v>647</v>
      </c>
    </row>
    <row r="41" spans="2:17">
      <c r="F41" s="317">
        <f>F40*SQRT(252)</f>
        <v>1.2383267662454847</v>
      </c>
      <c r="G41" s="317">
        <f>G40*SQRT(252)</f>
        <v>1.5077467260783552</v>
      </c>
      <c r="H41" s="317">
        <f>H40*SQRT(252)</f>
        <v>1.4957917869810622</v>
      </c>
      <c r="I41" s="317">
        <f>I40*SQRT(252)</f>
        <v>1.1827398868728491</v>
      </c>
      <c r="J41" s="317">
        <f>J40*SQRT(252)</f>
        <v>1.0562850656901284</v>
      </c>
      <c r="K41" t="s">
        <v>646</v>
      </c>
    </row>
    <row r="42" spans="2:17">
      <c r="F42" s="316">
        <f>F40/F36</f>
        <v>3.7985483627162102</v>
      </c>
      <c r="G42" s="316">
        <f>G40/G36</f>
        <v>4.9809934789506274</v>
      </c>
      <c r="H42" s="316">
        <f>H40/H36</f>
        <v>4.2361704530757907</v>
      </c>
      <c r="I42" s="316">
        <f>I40/I36</f>
        <v>4.3515080458898048</v>
      </c>
      <c r="J42" s="316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45896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46072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46042</v>
      </c>
      <c r="AN3" s="142">
        <f ca="1">WORKDAY($Q$3,-66)</f>
        <v>45980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20250827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20260219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185.45</v>
      </c>
      <c r="H8" s="150" cm="1">
        <f t="array" ref="H8">G8/_xll.BDP(B8&amp;" Equity", "PREV_CLOSE_VAL")-1</f>
        <v>-1.2460727408275196E-2</v>
      </c>
      <c r="I8" s="149" cm="1">
        <f t="array" ref="I8">_xll.BDP(C8&amp;" Equity","LAST PRICE")</f>
        <v>81.56</v>
      </c>
      <c r="J8" s="150" cm="1">
        <f t="array" ref="J8">I8/_xll.BDP(C8&amp;" Equity", "PREV_CLOSE_VAL")-1</f>
        <v>-5.3658536585365901E-3</v>
      </c>
      <c r="K8" s="151">
        <f>G8/I8</f>
        <v>2.2737861696910247</v>
      </c>
      <c r="L8" s="150" cm="1">
        <f t="array" ref="L8">K8/(_xll.BDP(B8&amp;" Equity", "PREV_CLOSE_VAL")/_xll.BDP(C8&amp;" Equity", "PREV_CLOSE_VAL"))-1</f>
        <v>-7.1331491843866779E-3</v>
      </c>
      <c r="M8" s="150"/>
      <c r="N8" s="152">
        <f>ABS(L8/O8)</f>
        <v>0.40699800948947074</v>
      </c>
      <c r="O8" s="153">
        <f>P8/15.87/100</f>
        <v>1.7526250787649654E-2</v>
      </c>
      <c r="P8" s="154" cm="1">
        <f t="array" ref="P8">_xll.BDP($A8&amp;" Index","VOLATILITY_30D")</f>
        <v>27.814160000000001</v>
      </c>
      <c r="Q8" s="154" cm="1">
        <f t="array" aca="1" ref="Q8" ca="1">(_xll.BDP(($B8&amp; " Equity"),"CORR_COEF", "BETA_OVERRIDE_REL_INDEX",($C8&amp; " Equity"),"BETA_OVERRIDE_END_DT",$Q$5,"BETA_OVERRIDE_START_DT",$Q$4))*100</f>
        <v>82.391866789783819</v>
      </c>
      <c r="R8" s="150"/>
      <c r="S8" s="150" cm="1">
        <f t="array" ref="S8">_xll.BDP($A8&amp;" Index","CHG_PCT_2D")/100</f>
        <v>4.8763149999999997E-5</v>
      </c>
      <c r="T8" s="150" cm="1">
        <f t="array" ref="T8">_xll.BDP($A8&amp;" Index","CHG_PCT_5D")/100</f>
        <v>-6.0993980000000007E-3</v>
      </c>
      <c r="U8" s="150" cm="1">
        <f t="array" ref="U8">K8/_xll.BDP($A8&amp;" Index","HIGH_52WEEK")-1</f>
        <v>-0.27455663084061566</v>
      </c>
      <c r="V8" s="150" cm="1">
        <f t="array" ref="V8">K8/_xll.BDP($A8&amp;" Index","LOW_52WEEK")-1</f>
        <v>0.11012248121110635</v>
      </c>
      <c r="W8" s="150"/>
      <c r="X8" s="154" cm="1">
        <f t="array" ref="X8">_xll.BDP($A8&amp;" Index","RSI_14D")</f>
        <v>45.104219999999998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1.8849345048183712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8.6514381118616424E-3</v>
      </c>
      <c r="AN8" s="156">
        <f ca="1">IF(ISTEXT(B8),AP8/_xll.BDH(B8 &amp;  " Equity","BEST_EPS",$AN$3,$AN$3,"BEST_FPERIOD_OVERRIDE=1BF","CDR=US","Fill=p")-1,"")</f>
        <v>6.6864665275325086E-2</v>
      </c>
      <c r="AO8" s="158">
        <f ca="1">G8/AP8</f>
        <v>13.953050936724098</v>
      </c>
      <c r="AP8" s="158" cm="1">
        <f t="array" aca="1" ref="AP8" ca="1">IF(ISTEXT(B8),_xll.BDH(B8 &amp;  " Equity","BEST_EPS",$Q$3,$Q$3,"BEST_FPERIOD_OVERRIDE=1BF","CDR=US","Fill=p"),"")</f>
        <v>13.291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644.38499999999999</v>
      </c>
      <c r="H9" s="150" cm="1">
        <f t="array" ref="H9">G9/_xll.BDP(B9&amp;" Equity", "PREV_CLOSE_VAL")-1</f>
        <v>1.8111999005006041E-3</v>
      </c>
      <c r="I9" s="149" cm="1">
        <f t="array" ref="I9">_xll.BDP(C9&amp;" Equity","LAST PRICE")</f>
        <v>602.49400000000003</v>
      </c>
      <c r="J9" s="150" cm="1">
        <f t="array" ref="J9">I9/_xll.BDP(C9&amp;" Equity", "PREV_CLOSE_VAL")-1</f>
        <v>-5.4408293302958821E-3</v>
      </c>
      <c r="K9" s="151">
        <f>G9/I9</f>
        <v>1.0695293231135912</v>
      </c>
      <c r="L9" s="150" cm="1">
        <f t="array" ref="L9">K9/(_xll.BDP(B9&amp;" Equity", "PREV_CLOSE_VAL")/_xll.BDP(C9&amp;" Equity", "PREV_CLOSE_VAL"))-1</f>
        <v>7.291702137654843E-3</v>
      </c>
      <c r="M9" s="150"/>
      <c r="N9" s="152">
        <f>ABS(L9/O9)</f>
        <v>0.28362416811028363</v>
      </c>
      <c r="O9" s="153">
        <f>P9/15.87/100</f>
        <v>2.5709029615626967E-2</v>
      </c>
      <c r="P9" s="154" cm="1">
        <f t="array" ref="P9">_xll.BDP($A9&amp;" Index","VOLATILITY_30D")</f>
        <v>40.800229999999999</v>
      </c>
      <c r="Q9" s="154" cm="1">
        <f t="array" aca="1" ref="Q9" ca="1">(_xll.BDP(($B9&amp; " Equity"),"CORR_COEF", "BETA_OVERRIDE_REL_INDEX",($C9&amp; " Equity"),"BETA_OVERRIDE_END_DT",$Q$5,"BETA_OVERRIDE_START_DT",$Q$4))*100</f>
        <v>45.726696031552073</v>
      </c>
      <c r="R9" s="150"/>
      <c r="S9" s="150" cm="1">
        <f t="array" ref="S9">_xll.BDP($A9&amp;" Index","CHG_PCT_2D")/100</f>
        <v>6.5181809999999996E-3</v>
      </c>
      <c r="T9" s="150" cm="1">
        <f t="array" ref="T9">_xll.BDP($A9&amp;" Index","CHG_PCT_5D")/100</f>
        <v>-1.0863670000000001E-2</v>
      </c>
      <c r="U9" s="150" cm="1">
        <f t="array" ref="U9">K9/_xll.BDP($A9&amp;" Index","HIGH_52WEEK")-1</f>
        <v>-0.222895209537462</v>
      </c>
      <c r="V9" s="150" cm="1">
        <f t="array" ref="V9">K9/_xll.BDP($A9&amp;" Index","LOW_52WEEK")-1</f>
        <v>9.0722052595522129E-2</v>
      </c>
      <c r="W9" s="150"/>
      <c r="X9" s="154" cm="1">
        <f t="array" ref="X9">_xll.BDP($A9&amp;" Index","RSI_14D")</f>
        <v>46.278709999999997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1.8142741591976506</v>
      </c>
      <c r="AI9" s="158" cm="1">
        <f t="array" ref="AI9">(_xll.BDP(C9&amp;" Equity","SHORT_INT")/_xll.BDP(C9&amp;" Equity","VOLUME_AVG_90D"))</f>
        <v>0.7869171500358243</v>
      </c>
      <c r="AJ9" s="158" cm="1">
        <f t="array" ref="AJ9">(_xll.BDP(B9&amp;" Equity","SHORT_INT"))/((_xll.BDP(B9&amp;" Equity","EQY_FREE_FLOAT_PCT"))*(_xll.BDP(B9&amp;" Equity","EQY_SH_OUT_TOT_MULT_SH")))/100</f>
        <v>1.2846529138965301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-2.2472900326077183E-2</v>
      </c>
      <c r="AN9" s="156">
        <f ca="1">IF(ISTEXT(B9),AP9/_xll.BDH(B9 &amp;  " Equity","BEST_EPS",$AN$3,$AN$3,"BEST_FPERIOD_OVERRIDE=1BF","CDR=US","Fill=p")-1,"")</f>
        <v>5.1957467375545185E-3</v>
      </c>
      <c r="AO9" s="158">
        <f ca="1">G9/AP9</f>
        <v>19.36485755499459</v>
      </c>
      <c r="AP9" s="158" cm="1">
        <f t="array" aca="1" ref="AP9" ca="1">IF(ISTEXT(B9),_xll.BDH(B9 &amp;  " Equity","BEST_EPS",$Q$3,$Q$3,"BEST_FPERIOD_OVERRIDE=1BF","CDR=US","Fill=p"),"")</f>
        <v>33.276000000000003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359.95</v>
      </c>
      <c r="H10" s="150" cm="1">
        <f t="array" ref="H10">G10/_xll.BDP(B10&amp;" Equity", "PREV_CLOSE_VAL")-1</f>
        <v>-6.3766355656158513E-3</v>
      </c>
      <c r="I10" s="149" cm="1">
        <f t="array" ref="I10">_xll.BDP(C10&amp;" Equity","LAST PRICE")</f>
        <v>408.30500000000001</v>
      </c>
      <c r="J10" s="150" cm="1">
        <f t="array" ref="J10">I10/_xll.BDP(C10&amp;" Equity", "PREV_CLOSE_VAL")-1</f>
        <v>-1.0289661859168575E-2</v>
      </c>
      <c r="K10" s="151">
        <f>G10/I10</f>
        <v>0.88157137434026034</v>
      </c>
      <c r="L10" s="150" cm="1">
        <f t="array" ref="L10">K10/(_xll.BDP(B10&amp;" Equity", "PREV_CLOSE_VAL")/_xll.BDP(C10&amp;" Equity", "PREV_CLOSE_VAL"))-1</f>
        <v>3.9537086183250025E-3</v>
      </c>
      <c r="M10" s="150"/>
      <c r="N10" s="152">
        <f>ABS(L10/O10)</f>
        <v>0.26889902564701373</v>
      </c>
      <c r="O10" s="153">
        <f>P10/15.87/100</f>
        <v>1.4703320730938879E-2</v>
      </c>
      <c r="P10" s="154" cm="1">
        <f t="array" ref="P10">_xll.BDP($A10&amp;" Index","VOLATILITY_30D")</f>
        <v>23.33417</v>
      </c>
      <c r="Q10" s="154" cm="1">
        <f t="array" aca="1" ref="Q10" ca="1">(_xll.BDP(($B10&amp; " Equity"),"CORR_COEF", "BETA_OVERRIDE_REL_INDEX",($C10&amp; " Equity"),"BETA_OVERRIDE_END_DT",$Q$5,"BETA_OVERRIDE_START_DT",$Q$4))*100</f>
        <v>72.827279572616504</v>
      </c>
      <c r="R10" s="150"/>
      <c r="S10" s="150" cm="1">
        <f t="array" ref="S10">_xll.BDP($A10&amp;" Index","CHG_PCT_2D")/100</f>
        <v>-1.270017E-2</v>
      </c>
      <c r="T10" s="150" cm="1">
        <f t="array" ref="T10">_xll.BDP($A10&amp;" Index","CHG_PCT_5D")/100</f>
        <v>-2.6516519999999998E-2</v>
      </c>
      <c r="U10" s="150" cm="1">
        <f t="array" ref="U10">K10/_xll.BDP($A10&amp;" Index","HIGH_52WEEK")-1</f>
        <v>-2.7392570233605085E-2</v>
      </c>
      <c r="V10" s="150" cm="1">
        <f t="array" ref="V10">K10/_xll.BDP($A10&amp;" Index","LOW_52WEEK")-1</f>
        <v>0.17077661337653116</v>
      </c>
      <c r="W10" s="150"/>
      <c r="X10" s="154" cm="1">
        <f t="array" ref="X10">_xll.BDP($A10&amp;" Index","RSI_14D")</f>
        <v>57.414549999999998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1.4607306682739369</v>
      </c>
      <c r="AI10" s="158" cm="1">
        <f t="array" ref="AI10">(_xll.BDP(C10&amp;" Equity","SHORT_INT")/_xll.BDP(C10&amp;" Equity","VOLUME_AVG_90D"))</f>
        <v>1.0393109460111827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3.8969414893617049E-2</v>
      </c>
      <c r="AN10" s="156">
        <f ca="1">IF(ISTEXT(B10),AP10/_xll.BDH(B10 &amp;  " Equity","BEST_EPS",$AN$3,$AN$3,"BEST_FPERIOD_OVERRIDE=1BF","CDR=US","Fill=p")-1,"")</f>
        <v>0.27021842154463949</v>
      </c>
      <c r="AO10" s="158">
        <f ca="1">G10/AP10</f>
        <v>0.76783927744820091</v>
      </c>
      <c r="AP10" s="158" cm="1">
        <f t="array" aca="1" ref="AP10" ca="1">IF(ISTEXT(B10),_xll.BDH(B10 &amp;  " Equity","BEST_EPS",$Q$3,$Q$3,"BEST_FPERIOD_OVERRIDE=1BF","CDR=US","Fill=p"),"")</f>
        <v>468.78300000000002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186.66499999999999</v>
      </c>
      <c r="H11" s="150" cm="1">
        <f t="array" ref="H11">G11/_xll.BDP(B11&amp;" Equity", "PREV_CLOSE_VAL")-1</f>
        <v>-6.9954250452175515E-3</v>
      </c>
      <c r="I11" s="149" cm="1">
        <f t="array" ref="I11">_xll.BDP(C11&amp;" Equity","LAST PRICE")</f>
        <v>408.30500000000001</v>
      </c>
      <c r="J11" s="150" cm="1">
        <f t="array" ref="J11">I11/_xll.BDP(C11&amp;" Equity", "PREV_CLOSE_VAL")-1</f>
        <v>-1.0289661859168575E-2</v>
      </c>
      <c r="K11" s="151">
        <f>G11/I11</f>
        <v>0.45717049754472755</v>
      </c>
      <c r="L11" s="150" cm="1">
        <f t="array" ref="L11">K11/(_xll.BDP(B11&amp;" Equity", "PREV_CLOSE_VAL")/_xll.BDP(C11&amp;" Equity", "PREV_CLOSE_VAL"))-1</f>
        <v>3.3284858074122958E-3</v>
      </c>
      <c r="M11" s="150"/>
      <c r="N11" s="152">
        <f>ABS(L11/O11)</f>
        <v>0.21754217883560803</v>
      </c>
      <c r="O11" s="153">
        <f>P11/15.87/100</f>
        <v>1.5300415879017013E-2</v>
      </c>
      <c r="P11" s="154" cm="1">
        <f t="array" ref="P11">_xll.BDP($A11&amp;" Index","VOLATILITY_30D")</f>
        <v>24.281759999999998</v>
      </c>
      <c r="Q11" s="154" cm="1">
        <f t="array" aca="1" ref="Q11" ca="1">(_xll.BDP(($B11&amp; " Equity"),"CORR_COEF", "BETA_OVERRIDE_REL_INDEX",($C11&amp; " Equity"),"BETA_OVERRIDE_END_DT",$Q$5,"BETA_OVERRIDE_START_DT",$Q$4))*100</f>
        <v>55.914839200887066</v>
      </c>
      <c r="R11" s="150"/>
      <c r="S11" s="150" cm="1">
        <f t="array" ref="S11">_xll.BDP($A11&amp;" Index","CHG_PCT_2D")/100</f>
        <v>8.0567869999999993E-3</v>
      </c>
      <c r="T11" s="150" cm="1">
        <f t="array" ref="T11">_xll.BDP($A11&amp;" Index","CHG_PCT_5D")/100</f>
        <v>-5.9928060000000007E-3</v>
      </c>
      <c r="U11" s="150" cm="1">
        <f t="array" ref="U11">K11/_xll.BDP($A11&amp;" Index","HIGH_52WEEK")-1</f>
        <v>-0.26968402443373296</v>
      </c>
      <c r="V11" s="150" cm="1">
        <f t="array" ref="V11">K11/_xll.BDP($A11&amp;" Index","LOW_52WEEK")-1</f>
        <v>1.9627757309203409E-2</v>
      </c>
      <c r="W11" s="150"/>
      <c r="X11" s="154" cm="1">
        <f t="array" ref="X11">_xll.BDP($A11&amp;" Index","RSI_14D")</f>
        <v>42.702379999999998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1.4102145299497857</v>
      </c>
      <c r="AI11" s="158" cm="1">
        <f t="array" ref="AI11">(_xll.BDP(C11&amp;" Equity","SHORT_INT")/_xll.BDP(C11&amp;" Equity","VOLUME_AVG_90D"))</f>
        <v>1.0393109460111827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3.6687631027253698E-2</v>
      </c>
      <c r="AN11" s="156">
        <f ca="1">IF(ISTEXT(B11),AP11/_xll.BDH(B11 &amp;  " Equity","BEST_EPS",$AN$3,$AN$3,"BEST_FPERIOD_OVERRIDE=1BF","CDR=US","Fill=p")-1,"")</f>
        <v>0.20886172650878532</v>
      </c>
      <c r="AO11" s="158">
        <f ca="1">G11/AP11</f>
        <v>23.592644084934275</v>
      </c>
      <c r="AP11" s="158" cm="1">
        <f t="array" aca="1" ref="AP11" ca="1">IF(ISTEXT(B11),_xll.BDH(B11 &amp;  " Equity","BEST_EPS",$Q$3,$Q$3,"BEST_FPERIOD_OVERRIDE=1BF","CDR=US","Fill=p"),"")</f>
        <v>7.9119999999999999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333.565</v>
      </c>
      <c r="H12" s="150" cm="1">
        <f t="array" ref="H12">G12/_xll.BDP(B12&amp;" Equity", "PREV_CLOSE_VAL")-1</f>
        <v>1.6491259632389621E-4</v>
      </c>
      <c r="I12" s="149" cm="1">
        <f t="array" ref="I12">_xll.BDP(C12&amp;" Equity","LAST PRICE")</f>
        <v>408.30500000000001</v>
      </c>
      <c r="J12" s="150" cm="1">
        <f t="array" ref="J12">I12/_xll.BDP(C12&amp;" Equity", "PREV_CLOSE_VAL")-1</f>
        <v>-1.0289661859168575E-2</v>
      </c>
      <c r="K12" s="151">
        <f>G12/I12</f>
        <v>0.81695056391667986</v>
      </c>
      <c r="L12" s="150" cm="1">
        <f t="array" ref="L12">K12/(_xll.BDP(B12&amp;" Equity", "PREV_CLOSE_VAL")/_xll.BDP(C12&amp;" Equity", "PREV_CLOSE_VAL"))-1</f>
        <v>1.0563266900021961E-2</v>
      </c>
      <c r="M12" s="150"/>
      <c r="N12" s="152">
        <f>ABS(L12/O12)</f>
        <v>0.55679088704211133</v>
      </c>
      <c r="O12" s="153">
        <f>P12/15.87/100</f>
        <v>1.8971695022054192E-2</v>
      </c>
      <c r="P12" s="154" cm="1">
        <f t="array" ref="P12">_xll.BDP($A12&amp;" Index","VOLATILITY_30D")</f>
        <v>30.108080000000001</v>
      </c>
      <c r="Q12" s="154" cm="1">
        <f t="array" aca="1" ref="Q12" ca="1">(_xll.BDP(($B12&amp; " Equity"),"CORR_COEF", "BETA_OVERRIDE_REL_INDEX",($C12&amp; " Equity"),"BETA_OVERRIDE_END_DT",$Q$5,"BETA_OVERRIDE_START_DT",$Q$4))*100</f>
        <v>58.413476778586606</v>
      </c>
      <c r="R12" s="150"/>
      <c r="S12" s="150" cm="1">
        <f t="array" ref="S12">_xll.BDP($A12&amp;" Index","CHG_PCT_2D")/100</f>
        <v>2.5132680000000004E-3</v>
      </c>
      <c r="T12" s="150" cm="1">
        <f t="array" ref="T12">_xll.BDP($A12&amp;" Index","CHG_PCT_5D")/100</f>
        <v>3.2022080000000002E-3</v>
      </c>
      <c r="U12" s="150" cm="1">
        <f t="array" ref="U12">K12/_xll.BDP($A12&amp;" Index","HIGH_52WEEK")-1</f>
        <v>-0.33500157597339852</v>
      </c>
      <c r="V12" s="150" cm="1">
        <f t="array" ref="V12">K12/_xll.BDP($A12&amp;" Index","LOW_52WEEK")-1</f>
        <v>3.741071495089443E-2</v>
      </c>
      <c r="W12" s="150"/>
      <c r="X12" s="154" cm="1">
        <f t="array" ref="X12">_xll.BDP($A12&amp;" Index","RSI_14D")</f>
        <v>40.020269999999996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1.9404776071015295</v>
      </c>
      <c r="AI12" s="158" cm="1">
        <f t="array" ref="AI12">(_xll.BDP(C12&amp;" Equity","SHORT_INT")/_xll.BDP(C12&amp;" Equity","VOLUME_AVG_90D"))</f>
        <v>1.0393109460111827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2.9536244934714073E-2</v>
      </c>
      <c r="AN12" s="156">
        <f ca="1">IF(ISTEXT(B12),AP12/_xll.BDH(B12 &amp;  " Equity","BEST_EPS",$AN$3,$AN$3,"BEST_FPERIOD_OVERRIDE=1BF","CDR=US","Fill=p")-1,"")</f>
        <v>0.20410742496050571</v>
      </c>
      <c r="AO12" s="158">
        <f ca="1">G12/AP12</f>
        <v>29.175631942622235</v>
      </c>
      <c r="AP12" s="158" cm="1">
        <f t="array" aca="1" ref="AP12" ca="1">IF(ISTEXT(B12),_xll.BDH(B12 &amp;  " Equity","BEST_EPS",$Q$3,$Q$3,"BEST_FPERIOD_OVERRIDE=1BF","CDR=US","Fill=p"),"")</f>
        <v>11.433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0.71923333149260615</v>
      </c>
      <c r="G5" s="130" cm="1">
        <f t="array" ref="G5">_xll.BDP($C5&amp;" Equity","volatility_30d")/100</f>
        <v>0.6824915138029608</v>
      </c>
      <c r="J5" t="s">
        <v>411</v>
      </c>
      <c r="K5" s="205">
        <v>70</v>
      </c>
      <c r="L5" cm="1">
        <f t="array" ref="L5">_xll.BDP(J5&amp;" Equity","LAST PRICE")</f>
        <v>74.161100000000005</v>
      </c>
      <c r="M5" s="207">
        <f>L5/K5-1</f>
        <v>5.9444285714285838E-2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0.71923333149260615</v>
      </c>
      <c r="G6" s="130" cm="1">
        <f t="array" ref="G6">_xll.BDP($C6&amp;" Equity","volatility_30d")/100</f>
        <v>0.6824915138029608</v>
      </c>
      <c r="J6" t="s">
        <v>411</v>
      </c>
      <c r="K6" s="205">
        <v>70</v>
      </c>
      <c r="L6" cm="1">
        <f t="array" ref="L6">_xll.BDP(J6&amp;" Equity","LAST PRICE")</f>
        <v>74.161100000000005</v>
      </c>
      <c r="M6" s="207">
        <f>L6/K6-1</f>
        <v>5.9444285714285838E-2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0.40257743715537264</v>
      </c>
      <c r="G7" s="130" cm="1">
        <f t="array" ref="G7">_xll.BDP($C7&amp;" Equity","volatility_30d")/100</f>
        <v>0.50625365908602205</v>
      </c>
      <c r="J7" t="s">
        <v>414</v>
      </c>
      <c r="K7" s="205">
        <v>28.5</v>
      </c>
      <c r="L7" cm="1">
        <f t="array" ref="L7">_xll.BDP(J7&amp;" Equity","LAST PRICE")</f>
        <v>18.329999999999998</v>
      </c>
      <c r="M7" s="207">
        <f t="shared" ref="M7:M13" si="6">L7/K7-1</f>
        <v>-0.35684210526315796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0.63508366028863095</v>
      </c>
      <c r="G8" s="130" cm="1">
        <f t="array" ref="G8">_xll.BDP($C8&amp;" Equity","volatility_30d")/100</f>
        <v>0.63508353727908939</v>
      </c>
      <c r="J8" t="s">
        <v>317</v>
      </c>
      <c r="K8" s="205">
        <v>318.75</v>
      </c>
      <c r="L8" cm="1">
        <f t="array" ref="L8">_xll.BDP(J8&amp;" Equity","LAST PRICE")</f>
        <v>212.47</v>
      </c>
      <c r="M8" s="207">
        <f t="shared" si="6"/>
        <v>-0.33342745098039217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0.39112420601735892</v>
      </c>
      <c r="G9" s="130" cm="1">
        <f t="array" ref="G9">_xll.BDP($C9&amp;" Equity","volatility_30d")/100</f>
        <v>0.35340803051885389</v>
      </c>
      <c r="J9" t="s">
        <v>81</v>
      </c>
      <c r="K9" s="205">
        <v>265.95999999999998</v>
      </c>
      <c r="L9" cm="1">
        <f t="array" ref="L9">_xll.BDP(J9&amp;" Equity","LAST PRICE")</f>
        <v>185.45</v>
      </c>
      <c r="M9" s="207">
        <f t="shared" si="6"/>
        <v>-0.30271469393893813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0.3500277</v>
      </c>
      <c r="G10" s="130" cm="1">
        <f t="array" ref="G10">_xll.BDP($C10&amp;" Equity","volatility_30d")/100</f>
        <v>0.40440420000000005</v>
      </c>
      <c r="J10" t="s">
        <v>424</v>
      </c>
      <c r="K10" s="205">
        <v>251.52</v>
      </c>
      <c r="L10" cm="1">
        <f t="array" ref="L10">_xll.BDP(J10&amp;" Equity","LAST PRICE")</f>
        <v>140.94999999999999</v>
      </c>
      <c r="M10" s="207">
        <f t="shared" si="6"/>
        <v>-0.43960718829516543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0.22831182833956237</v>
      </c>
      <c r="G11" s="130" cm="1">
        <f t="array" ref="G11">_xll.BDP($C11&amp;" Equity","volatility_30d")/100</f>
        <v>0.20194745613807419</v>
      </c>
      <c r="J11" t="s">
        <v>277</v>
      </c>
      <c r="K11" s="205">
        <v>117.4</v>
      </c>
      <c r="L11" cm="1">
        <f t="array" ref="L11">_xll.BDP(J11&amp;" Equity","LAST PRICE")</f>
        <v>142.83000000000001</v>
      </c>
      <c r="M11" s="207">
        <f t="shared" si="6"/>
        <v>0.21660988074957421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0.24438962495700978</v>
      </c>
      <c r="G12" s="130" cm="1">
        <f t="array" ref="G12">_xll.BDP($C12&amp;" Equity","volatility_30d")/100</f>
        <v>0.29717017744593782</v>
      </c>
      <c r="J12" t="s">
        <v>413</v>
      </c>
      <c r="K12" s="205">
        <v>5420</v>
      </c>
      <c r="L12" cm="1">
        <f t="array" ref="L12">_xll.BDP(J12&amp;" Index","LAST PRICE")</f>
        <v>5387</v>
      </c>
      <c r="M12" s="207">
        <f t="shared" si="6"/>
        <v>-6.0885608856088291E-3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0.2497747213852238</v>
      </c>
      <c r="G13" s="130" cm="1">
        <f t="array" ref="G13">_xll.BDP($C13&amp;" Equity","volatility_30d")/100</f>
        <v>0.32102281608344396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0.20797149884137667</v>
      </c>
      <c r="G14" s="130" cm="1">
        <f t="array" ref="G14">_xll.BDP($C14&amp;" Equity","volatility_30d")/100</f>
        <v>0.17157272972620113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0.2974910333446249</v>
      </c>
      <c r="G15" s="130" cm="1">
        <f t="array" ref="G15">_xll.BDP($C15&amp;" Equity","volatility_30d")/100</f>
        <v>0.22292301162637293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0.17930444299132586</v>
      </c>
      <c r="G16" s="130" cm="1">
        <f t="array" ref="G16">_xll.BDP($C16&amp;" Equity","volatility_30d")/100</f>
        <v>0.25098377209225203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0.35833860763210951</v>
      </c>
      <c r="G17" s="130" cm="1">
        <f t="array" ref="G17">_xll.BDP($C17&amp;" Equity","volatility_30d")/100</f>
        <v>0.34778098900005611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0.35031391310273163</v>
      </c>
      <c r="G18" s="130" cm="1">
        <f t="array" ref="G18">_xll.BDP($C18&amp;" Equity","volatility_30d")/100</f>
        <v>0.33130255552226906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0.14954068385130251</v>
      </c>
      <c r="G19" s="130" cm="1">
        <f t="array" ref="G19">_xll.BDP($C19&amp;" Equity","volatility_30d")/100</f>
        <v>0.14390118924391956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0.1695364556025602</v>
      </c>
      <c r="G20" s="130" cm="1">
        <f t="array" ref="G20">_xll.BDP($C20&amp;" Equity","volatility_30d")/100</f>
        <v>0.14845564186280522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0.1442668822735878</v>
      </c>
      <c r="G21" s="130" cm="1">
        <f t="array" ref="G21">_xll.BDP($C21&amp;" Equity","volatility_30d")/100</f>
        <v>0.11908190147678917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0.14756806961764427</v>
      </c>
      <c r="G22" s="130" cm="1">
        <f t="array" ref="G22">_xll.BDP($C22&amp;" Equity","volatility_30d")/100</f>
        <v>0.12462177476945241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0.18253682042239014</v>
      </c>
      <c r="G23" s="130" cm="1">
        <f t="array" ref="G23">_xll.BDP($C23&amp;" Equity","volatility_30d")/100</f>
        <v>0.16858406867471992</v>
      </c>
      <c r="K23" s="301" t="s">
        <v>572</v>
      </c>
      <c r="L23" s="302">
        <v>-1.0963377653370632E-2</v>
      </c>
      <c r="M23" s="303">
        <v>-0.37836540865925272</v>
      </c>
      <c r="N23" s="304">
        <v>3.4133390057770963E-3</v>
      </c>
      <c r="O23" s="304">
        <v>0</v>
      </c>
      <c r="P23" s="304">
        <v>3.4133390057770963E-3</v>
      </c>
      <c r="R23" s="304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0.24581594683378413</v>
      </c>
      <c r="G24" s="130" cm="1">
        <f t="array" ref="G24">_xll.BDP($C24&amp;" Equity","volatility_30d")/100</f>
        <v>0.19101068003583502</v>
      </c>
      <c r="K24" s="298" t="s">
        <v>9</v>
      </c>
      <c r="L24" s="296">
        <v>-1.0963377653370632E-2</v>
      </c>
      <c r="M24" s="299">
        <v>-0.37836540865925272</v>
      </c>
      <c r="N24" s="297">
        <v>3.4133390057770963E-3</v>
      </c>
      <c r="O24" s="297">
        <v>0</v>
      </c>
      <c r="P24" s="297">
        <v>3.4133390057770963E-3</v>
      </c>
      <c r="R24" s="297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0.23202196854137999</v>
      </c>
      <c r="G25" s="130" cm="1">
        <f t="array" ref="G25">_xll.BDP($C25&amp;" Equity","volatility_30d")/100</f>
        <v>0.21156492520722922</v>
      </c>
      <c r="K25" s="301" t="s">
        <v>32</v>
      </c>
      <c r="L25" s="302">
        <v>-5.9553798585880949E-3</v>
      </c>
      <c r="M25" s="303">
        <v>-0.63972487206523787</v>
      </c>
      <c r="N25" s="304">
        <v>1.1232261185275198E-2</v>
      </c>
      <c r="O25" s="304">
        <v>0</v>
      </c>
      <c r="P25" s="304">
        <v>1.1232261185275198E-2</v>
      </c>
      <c r="R25" s="304"/>
    </row>
    <row r="26" spans="3:42" ht="15.75">
      <c r="C26" t="s">
        <v>29</v>
      </c>
      <c r="D26" s="205" cm="1">
        <f t="array" ref="D26">_xll.BDP(C26&amp;" EQUITY","eqy_beta")</f>
        <v>1.1938503980636597</v>
      </c>
      <c r="F26" s="130" cm="1">
        <f t="array" ref="F26">_xll.BDP($C26&amp;" Equity","volatility_10d")/100</f>
        <v>0.23978310823209689</v>
      </c>
      <c r="G26" s="130" cm="1">
        <f t="array" ref="G26">_xll.BDP($C26&amp;" Equity","volatility_30d")/100</f>
        <v>0.43619612143308717</v>
      </c>
      <c r="K26" s="298" t="s">
        <v>33</v>
      </c>
      <c r="L26" s="296">
        <v>4.7598096076157947E-3</v>
      </c>
      <c r="M26" s="299">
        <v>-4.6604870922836092E-2</v>
      </c>
      <c r="N26" s="297">
        <v>-9.837935777997017E-4</v>
      </c>
      <c r="O26" s="297">
        <v>0</v>
      </c>
      <c r="P26" s="297">
        <v>-9.837935777997017E-4</v>
      </c>
      <c r="R26" s="297"/>
    </row>
    <row r="27" spans="3:42" ht="15.75">
      <c r="C27" t="s">
        <v>27</v>
      </c>
      <c r="D27" s="205" cm="1">
        <f t="array" ref="D27">_xll.BDP(C27&amp;" EQUITY","eqy_beta")</f>
        <v>1.0833579301834106</v>
      </c>
      <c r="F27" s="130" cm="1">
        <f t="array" ref="F27">_xll.BDP($C27&amp;" Equity","volatility_10d")/100</f>
        <v>0.36938107343522653</v>
      </c>
      <c r="G27" s="130" cm="1">
        <f t="array" ref="G27">_xll.BDP($C27&amp;" Equity","volatility_30d")/100</f>
        <v>0.29440978288332298</v>
      </c>
      <c r="K27" s="298" t="s">
        <v>6</v>
      </c>
      <c r="L27" s="296">
        <v>-2.9742661321608965E-3</v>
      </c>
      <c r="M27" s="299">
        <v>-0.27022992383829852</v>
      </c>
      <c r="N27" s="297">
        <v>9.0585770121445457E-3</v>
      </c>
      <c r="O27" s="297">
        <v>0</v>
      </c>
      <c r="P27" s="297">
        <v>9.0585770121445457E-3</v>
      </c>
      <c r="R27" s="297"/>
    </row>
    <row r="28" spans="3:42" ht="15.75">
      <c r="C28" t="s">
        <v>31</v>
      </c>
      <c r="D28" s="205" cm="1">
        <f t="array" ref="D28">_xll.BDP(C28&amp;" EQUITY","eqy_beta")</f>
        <v>1.225918173789978</v>
      </c>
      <c r="F28" s="130" cm="1">
        <f t="array" ref="F28">_xll.BDP($C28&amp;" Equity","volatility_10d")/100</f>
        <v>0.29340215536161118</v>
      </c>
      <c r="G28" s="130" cm="1">
        <f t="array" ref="G28">_xll.BDP($C28&amp;" Equity","volatility_30d")/100</f>
        <v>0.29760454676932752</v>
      </c>
      <c r="K28" s="298" t="s">
        <v>358</v>
      </c>
      <c r="L28" s="296">
        <v>-3.3200841711480411E-3</v>
      </c>
      <c r="M28" s="299">
        <v>-3.8619816007486069E-2</v>
      </c>
      <c r="N28" s="297">
        <v>1.1593559977233082E-3</v>
      </c>
      <c r="O28" s="297">
        <v>0</v>
      </c>
      <c r="P28" s="297">
        <v>1.1593559977233082E-3</v>
      </c>
      <c r="R28" s="297"/>
    </row>
    <row r="29" spans="3:42" ht="15.75">
      <c r="C29" t="s">
        <v>30</v>
      </c>
      <c r="D29" s="205" cm="1">
        <f t="array" ref="D29">_xll.BDP(C29&amp;" EQUITY","eqy_beta")</f>
        <v>0.86689811944961548</v>
      </c>
      <c r="F29" s="130" cm="1">
        <f t="array" ref="F29">_xll.BDP($C29&amp;" Equity","volatility_10d")/100</f>
        <v>0.57019403875877095</v>
      </c>
      <c r="G29" s="130" cm="1">
        <f t="array" ref="G29">_xll.BDP($C29&amp;" Equity","volatility_30d")/100</f>
        <v>0.46686623986302966</v>
      </c>
      <c r="K29" s="298" t="s">
        <v>471</v>
      </c>
      <c r="L29" s="296">
        <v>-1.9074643335697972E-2</v>
      </c>
      <c r="M29" s="299">
        <v>-0.18961576845233849</v>
      </c>
      <c r="N29" s="297">
        <v>9.7511084230964917E-4</v>
      </c>
      <c r="O29" s="297">
        <v>0</v>
      </c>
      <c r="P29" s="297">
        <v>9.7511084230964917E-4</v>
      </c>
      <c r="R29" s="297"/>
    </row>
    <row r="30" spans="3:42" ht="15.75">
      <c r="C30" t="s">
        <v>38</v>
      </c>
      <c r="D30" s="205" cm="1">
        <f t="array" ref="D30">_xll.BDP(C30&amp;" EQUITY","eqy_beta")</f>
        <v>1.0136584043502808</v>
      </c>
      <c r="F30" s="130" cm="1">
        <f t="array" ref="F30">_xll.BDP($C30&amp;" Equity","volatility_10d")/100</f>
        <v>0.25348387258081861</v>
      </c>
      <c r="G30" s="130" cm="1">
        <f t="array" ref="G30">_xll.BDP($C30&amp;" Equity","volatility_30d")/100</f>
        <v>0.42125262120280182</v>
      </c>
      <c r="K30" s="298" t="s">
        <v>566</v>
      </c>
      <c r="L30" s="296">
        <v>-9.1677152615493585E-3</v>
      </c>
      <c r="M30" s="299">
        <v>-9.4654492844278598E-2</v>
      </c>
      <c r="N30" s="297">
        <v>1.0230109108973979E-3</v>
      </c>
      <c r="O30" s="297">
        <v>0</v>
      </c>
      <c r="P30" s="297">
        <v>1.0230109108973979E-3</v>
      </c>
      <c r="R30" s="297"/>
    </row>
    <row r="31" spans="3:42" ht="15.75">
      <c r="C31" t="s">
        <v>358</v>
      </c>
      <c r="D31" s="205" cm="1">
        <f t="array" ref="D31">_xll.BDP(C31&amp;" EQUITY","eqy_beta")</f>
        <v>1.2457360029220581</v>
      </c>
      <c r="F31" s="130" cm="1">
        <f t="array" ref="F31">_xll.BDP($C31&amp;" Equity","volatility_10d")/100</f>
        <v>0.33609832283776375</v>
      </c>
      <c r="G31" s="130" cm="1">
        <f t="array" ref="G31">_xll.BDP($C31&amp;" Equity","volatility_30d")/100</f>
        <v>0.41885704661495887</v>
      </c>
      <c r="K31" s="301" t="s">
        <v>26</v>
      </c>
      <c r="L31" s="302">
        <v>-4.2479506412567702E-3</v>
      </c>
      <c r="M31" s="303">
        <v>1.0338056955883257</v>
      </c>
      <c r="N31" s="304">
        <v>-2.396608490698357E-2</v>
      </c>
      <c r="O31" s="304">
        <v>0</v>
      </c>
      <c r="P31" s="304">
        <v>-2.396608490698357E-2</v>
      </c>
      <c r="R31" s="304"/>
    </row>
    <row r="32" spans="3:42" ht="15.75">
      <c r="C32" t="s">
        <v>34</v>
      </c>
      <c r="D32" s="205" cm="1">
        <f t="array" ref="D32">_xll.BDP(C32&amp;" EQUITY","eqy_beta")</f>
        <v>0.86190950870513916</v>
      </c>
      <c r="F32" s="130" cm="1">
        <f t="array" ref="F32">_xll.BDP($C32&amp;" Equity","volatility_10d")/100</f>
        <v>0.22419296628690355</v>
      </c>
      <c r="G32" s="130" cm="1">
        <f t="array" ref="G32">_xll.BDP($C32&amp;" Equity","volatility_30d")/100</f>
        <v>0.25747342857942707</v>
      </c>
      <c r="K32" s="298" t="s">
        <v>3</v>
      </c>
      <c r="L32" s="296">
        <v>-3.7397353418066048E-3</v>
      </c>
      <c r="M32" s="299">
        <v>0.16241210060252317</v>
      </c>
      <c r="N32" s="297">
        <v>-4.3266356450720909E-3</v>
      </c>
      <c r="O32" s="297">
        <v>0</v>
      </c>
      <c r="P32" s="297">
        <v>-4.3266356450720909E-3</v>
      </c>
      <c r="R32" s="297"/>
    </row>
    <row r="33" spans="3:18" ht="15.75">
      <c r="C33" t="s">
        <v>35</v>
      </c>
      <c r="D33" s="205" cm="1">
        <f t="array" ref="D33">_xll.BDP(C33&amp;" EQUITY","eqy_beta")</f>
        <v>0.84131026268005371</v>
      </c>
      <c r="F33" s="130" cm="1">
        <f t="array" ref="F33">_xll.BDP($C33&amp;" Equity","volatility_10d")/100</f>
        <v>0.25037319978894546</v>
      </c>
      <c r="G33" s="130" cm="1">
        <f t="array" ref="G33">_xll.BDP($C33&amp;" Equity","volatility_30d")/100</f>
        <v>0.25910908741912841</v>
      </c>
      <c r="K33" s="298" t="s">
        <v>573</v>
      </c>
      <c r="L33" s="296">
        <v>-4.417355741073492E-3</v>
      </c>
      <c r="M33" s="299">
        <v>0.8713935949858026</v>
      </c>
      <c r="N33" s="297">
        <v>-1.9639449261911478E-2</v>
      </c>
      <c r="O33" s="297"/>
      <c r="P33" s="297">
        <v>-1.9639449261911478E-2</v>
      </c>
      <c r="R33" s="297"/>
    </row>
    <row r="34" spans="3:18" ht="15.75">
      <c r="C34" t="s">
        <v>33</v>
      </c>
      <c r="D34" s="205" cm="1">
        <f t="array" ref="D34">_xll.BDP(C34&amp;" EQUITY","eqy_beta")</f>
        <v>0.62489408254623413</v>
      </c>
      <c r="F34" s="130" cm="1">
        <f t="array" ref="F34">_xll.BDP($C34&amp;" Equity","volatility_10d")/100</f>
        <v>0.15341760277968741</v>
      </c>
      <c r="G34" s="130" cm="1">
        <f t="array" ref="G34">_xll.BDP($C34&amp;" Equity","volatility_30d")/100</f>
        <v>0.1552407734293775</v>
      </c>
      <c r="K34" s="301" t="s">
        <v>544</v>
      </c>
      <c r="L34" s="302">
        <v>-1.068463658385139E-2</v>
      </c>
      <c r="M34" s="303">
        <v>-0.90024740598245501</v>
      </c>
      <c r="N34" s="304">
        <v>4.8096776346909318E-3</v>
      </c>
      <c r="O34" s="304">
        <v>5.1572351618506054E-3</v>
      </c>
      <c r="P34" s="304">
        <v>9.9669127965415355E-3</v>
      </c>
      <c r="R34" s="304"/>
    </row>
    <row r="35" spans="3:18" ht="15.75">
      <c r="C35" t="s">
        <v>44</v>
      </c>
      <c r="D35" s="205" cm="1">
        <f t="array" ref="D35">_xll.BDP(C35&amp;" EQUITY","eqy_beta")</f>
        <v>1.4376184940338135</v>
      </c>
      <c r="F35" s="130" cm="1">
        <f t="array" ref="F35">_xll.BDP($C35&amp;" Equity","volatility_10d")/100</f>
        <v>0.37024857671150996</v>
      </c>
      <c r="G35" s="130" cm="1">
        <f t="array" ref="G35">_xll.BDP($C35&amp;" Equity","volatility_30d")/100</f>
        <v>0.35784020746819661</v>
      </c>
      <c r="K35" s="298" t="s">
        <v>29</v>
      </c>
      <c r="L35" s="296">
        <v>-6.4136601179329844E-3</v>
      </c>
      <c r="M35" s="299">
        <v>-0.19767788893855778</v>
      </c>
      <c r="N35" s="297">
        <v>3.0623707295760953E-3</v>
      </c>
      <c r="O35" s="297">
        <v>0</v>
      </c>
      <c r="P35" s="297">
        <v>3.0623707295760953E-3</v>
      </c>
      <c r="R35" s="297"/>
    </row>
    <row r="36" spans="3:18" ht="15.75">
      <c r="C36" t="s">
        <v>42</v>
      </c>
      <c r="D36" s="205" cm="1">
        <f t="array" ref="D36">_xll.BDP(C36&amp;" EQUITY","eqy_beta")</f>
        <v>1.8321964740753174</v>
      </c>
      <c r="F36" s="130" cm="1">
        <f t="array" ref="F36">_xll.BDP($C36&amp;" Equity","volatility_10d")/100</f>
        <v>0.4753025509460081</v>
      </c>
      <c r="G36" s="130" cm="1">
        <f t="array" ref="G36">_xll.BDP($C36&amp;" Equity","volatility_30d")/100</f>
        <v>0.38030958026988598</v>
      </c>
      <c r="K36" s="298" t="s">
        <v>30</v>
      </c>
      <c r="L36" s="296">
        <v>4.6735154486730046E-3</v>
      </c>
      <c r="M36" s="299">
        <v>1.3065464514081379E-2</v>
      </c>
      <c r="N36" s="297">
        <v>2.8087049905996193E-4</v>
      </c>
      <c r="O36" s="297">
        <v>0</v>
      </c>
      <c r="P36" s="297">
        <v>2.8087049905996193E-4</v>
      </c>
      <c r="R36" s="297"/>
    </row>
    <row r="37" spans="3:18" ht="15.75">
      <c r="C37" t="s">
        <v>280</v>
      </c>
      <c r="D37" s="205" cm="1">
        <f t="array" ref="D37">_xll.BDP(C37&amp;" EQUITY","eqy_beta")</f>
        <v>1.6608302593231201</v>
      </c>
      <c r="F37" s="130" cm="1">
        <f t="array" ref="F37">_xll.BDP($C37&amp;" Equity","volatility_10d")/100</f>
        <v>0.69920883155069158</v>
      </c>
      <c r="G37" s="130" cm="1">
        <f t="array" ref="G37">_xll.BDP($C37&amp;" Equity","volatility_30d")/100</f>
        <v>0.86902366264345843</v>
      </c>
      <c r="K37" s="298" t="s">
        <v>31</v>
      </c>
      <c r="L37" s="296">
        <v>-1.9930069930069849E-2</v>
      </c>
      <c r="M37" s="299">
        <v>-0.4000142632662666</v>
      </c>
      <c r="N37" s="297">
        <v>0</v>
      </c>
      <c r="O37" s="297">
        <v>1.6318254484903006E-3</v>
      </c>
      <c r="P37" s="297">
        <v>1.6318254484903006E-3</v>
      </c>
      <c r="R37" s="297"/>
    </row>
    <row r="38" spans="3:18" ht="15.75">
      <c r="C38" t="s">
        <v>77</v>
      </c>
      <c r="D38" s="205" cm="1">
        <f t="array" ref="D38">_xll.BDP(C38&amp;" EQUITY","eqy_beta")</f>
        <v>1.1844266653060913</v>
      </c>
      <c r="F38" s="130" cm="1">
        <f t="array" ref="F38">_xll.BDP($C38&amp;" Equity","volatility_10d")/100</f>
        <v>0.34636795157754724</v>
      </c>
      <c r="G38" s="130" cm="1">
        <f t="array" ref="G38">_xll.BDP($C38&amp;" Equity","volatility_30d")/100</f>
        <v>0.36907125506024019</v>
      </c>
      <c r="K38" s="298" t="s">
        <v>316</v>
      </c>
      <c r="L38" s="296">
        <v>1.3128112267994929E-3</v>
      </c>
      <c r="M38" s="299">
        <v>7.9154304583226778E-3</v>
      </c>
      <c r="N38" s="297">
        <v>8.2776255868375693E-4</v>
      </c>
      <c r="O38" s="297">
        <v>5.6416207697500146E-4</v>
      </c>
      <c r="P38" s="297">
        <v>1.3919246356587584E-3</v>
      </c>
      <c r="R38" s="297"/>
    </row>
    <row r="39" spans="3:18" ht="15.75">
      <c r="C39" t="s">
        <v>76</v>
      </c>
      <c r="D39" s="205" cm="1">
        <f t="array" ref="D39">_xll.BDP(C39&amp;" EQUITY","eqy_beta")</f>
        <v>1.1130708456039429</v>
      </c>
      <c r="F39" s="130" cm="1">
        <f t="array" ref="F39">_xll.BDP($C39&amp;" Equity","volatility_10d")/100</f>
        <v>0.59836647164225554</v>
      </c>
      <c r="G39" s="130" cm="1">
        <f t="array" ref="G39">_xll.BDP($C39&amp;" Equity","volatility_30d")/100</f>
        <v>0.47134567080305095</v>
      </c>
      <c r="K39" s="298" t="s">
        <v>338</v>
      </c>
      <c r="L39" s="296">
        <v>-2.3083787755390939E-2</v>
      </c>
      <c r="M39" s="299">
        <v>-0.25663139707509386</v>
      </c>
      <c r="N39" s="297">
        <v>6.3867384737111737E-4</v>
      </c>
      <c r="O39" s="297">
        <v>2.1555720957797475E-3</v>
      </c>
      <c r="P39" s="297">
        <v>2.794245943150865E-3</v>
      </c>
      <c r="Q39" s="297">
        <f>R39-P39</f>
        <v>-7.9424594315086498E-4</v>
      </c>
      <c r="R39" s="297">
        <v>2E-3</v>
      </c>
    </row>
    <row r="40" spans="3:18" ht="15.75">
      <c r="C40" t="s">
        <v>355</v>
      </c>
      <c r="D40" s="205" cm="1">
        <f t="array" ref="D40">_xll.BDP(C40&amp;" EQUITY","eqy_beta")</f>
        <v>0.60142147541046143</v>
      </c>
      <c r="F40" s="130" cm="1">
        <f t="array" ref="F40">_xll.BDP($C40&amp;" Equity","volatility_10d")/100</f>
        <v>0.5082253010790958</v>
      </c>
      <c r="G40" s="130" cm="1">
        <f t="array" ref="G40">_xll.BDP($C40&amp;" Equity","volatility_30d")/100</f>
        <v>0.34443112959574285</v>
      </c>
      <c r="K40" s="298" t="s">
        <v>576</v>
      </c>
      <c r="L40" s="296">
        <v>-8.2674772036475108E-3</v>
      </c>
      <c r="M40" s="299">
        <v>-6.6904751674940866E-2</v>
      </c>
      <c r="N40" s="297">
        <v>0</v>
      </c>
      <c r="O40" s="297">
        <v>8.0567554060555571E-4</v>
      </c>
      <c r="P40" s="297">
        <v>8.0567554060555571E-4</v>
      </c>
      <c r="R40" s="297"/>
    </row>
    <row r="41" spans="3:18" ht="15.75">
      <c r="C41" t="s">
        <v>356</v>
      </c>
      <c r="D41" s="205" cm="1">
        <f t="array" ref="D41">_xll.BDP(C41&amp;" EQUITY","eqy_beta")</f>
        <v>0.52510792016983032</v>
      </c>
      <c r="F41" s="130" cm="1">
        <f t="array" ref="F41">_xll.BDP($C41&amp;" Equity","volatility_10d")/100</f>
        <v>0.30548668681685015</v>
      </c>
      <c r="G41" s="130" cm="1">
        <f t="array" ref="G41">_xll.BDP($C41&amp;" Equity","volatility_30d")/100</f>
        <v>0.31967543639079443</v>
      </c>
      <c r="K41" s="301" t="s">
        <v>543</v>
      </c>
      <c r="L41" s="302">
        <v>-2.171898868541829E-2</v>
      </c>
      <c r="M41" s="303">
        <v>-2.1659089402196168</v>
      </c>
      <c r="N41" s="304">
        <v>7.426914807117521E-3</v>
      </c>
      <c r="O41" s="304">
        <v>1.0473448302227259E-2</v>
      </c>
      <c r="P41" s="304">
        <v>1.790069034429281E-2</v>
      </c>
      <c r="R41" s="304"/>
    </row>
    <row r="42" spans="3:18" ht="15.75">
      <c r="C42" t="s">
        <v>357</v>
      </c>
      <c r="D42" s="205" cm="1">
        <f t="array" ref="D42">_xll.BDP(C42&amp;" EQUITY","eqy_beta")</f>
        <v>0.5364798903465271</v>
      </c>
      <c r="F42" s="130" cm="1">
        <f t="array" ref="F42">_xll.BDP($C42&amp;" Equity","volatility_10d")/100</f>
        <v>0.26236156547084732</v>
      </c>
      <c r="G42" s="130" cm="1">
        <f t="array" ref="G42">_xll.BDP($C42&amp;" Equity","volatility_30d")/100</f>
        <v>0.23538530383715464</v>
      </c>
      <c r="K42" s="298" t="s">
        <v>38</v>
      </c>
      <c r="L42" s="296">
        <v>-6.2572785972485057E-3</v>
      </c>
      <c r="M42" s="299">
        <v>-1.1994344461055253</v>
      </c>
      <c r="N42" s="297">
        <v>7.426914807117521E-3</v>
      </c>
      <c r="O42" s="297">
        <v>8.792129380292845E-3</v>
      </c>
      <c r="P42" s="297">
        <v>1.6219371422358395E-2</v>
      </c>
      <c r="Q42" s="297">
        <f>R42-P42</f>
        <v>-3.7193714223583939E-3</v>
      </c>
      <c r="R42" s="297">
        <v>1.2500000000000001E-2</v>
      </c>
    </row>
    <row r="43" spans="3:18" ht="15.75">
      <c r="C43" t="s">
        <v>363</v>
      </c>
      <c r="D43" s="205" cm="1">
        <f t="array" ref="D43">_xll.BDP(C43&amp;" EQUITY","eqy_beta")</f>
        <v>0.77288568019866943</v>
      </c>
      <c r="F43" s="130" cm="1">
        <f t="array" ref="F43">_xll.BDP($C43&amp;" Equity","volatility_10d")/100</f>
        <v>0.1121033490030385</v>
      </c>
      <c r="G43" s="130" cm="1">
        <f t="array" ref="G43">_xll.BDP($C43&amp;" Equity","volatility_30d")/100</f>
        <v>0.25619148991790586</v>
      </c>
      <c r="K43" s="298" t="s">
        <v>552</v>
      </c>
      <c r="L43" s="296">
        <v>-5.2642408861757861E-2</v>
      </c>
      <c r="M43" s="299">
        <v>-0.96647449411409159</v>
      </c>
      <c r="N43" s="297">
        <v>0</v>
      </c>
      <c r="O43" s="297">
        <v>1.6813189219344138E-3</v>
      </c>
      <c r="P43" s="297">
        <v>1.6813189219344138E-3</v>
      </c>
      <c r="Q43" s="297">
        <f>R43-P43</f>
        <v>-6.8131892193441378E-4</v>
      </c>
      <c r="R43" s="297">
        <v>1E-3</v>
      </c>
    </row>
    <row r="44" spans="3:18" ht="15.75">
      <c r="C44" t="s">
        <v>41</v>
      </c>
      <c r="D44" s="205" cm="1">
        <f t="array" ref="D44">_xll.BDP(C44&amp;" EQUITY","eqy_beta")</f>
        <v>0.70346605777740479</v>
      </c>
      <c r="F44" s="130" cm="1">
        <f t="array" ref="F44">_xll.BDP($C44&amp;" Equity","volatility_10d")/100</f>
        <v>0.61790017450693313</v>
      </c>
      <c r="G44" s="130" cm="1">
        <f t="array" ref="G44">_xll.BDP($C44&amp;" Equity","volatility_30d")/100</f>
        <v>0.79723438949346648</v>
      </c>
      <c r="K44" s="301" t="s">
        <v>545</v>
      </c>
      <c r="L44" s="302">
        <v>-1.5317902816898016E-2</v>
      </c>
      <c r="M44" s="303">
        <v>-1.4805052895405777</v>
      </c>
      <c r="N44" s="304">
        <v>2.2698465837621799E-3</v>
      </c>
      <c r="O44" s="304">
        <v>9.6786193156367471E-3</v>
      </c>
      <c r="P44" s="304">
        <v>1.1948465899398925E-2</v>
      </c>
      <c r="R44" s="304"/>
    </row>
    <row r="45" spans="3:18" ht="15.75">
      <c r="C45" t="s">
        <v>40</v>
      </c>
      <c r="D45" s="205" cm="1">
        <f t="array" ref="D45">_xll.BDP(C45&amp;" EQUITY","eqy_beta")</f>
        <v>0.54653507471084595</v>
      </c>
      <c r="F45" s="130" cm="1">
        <f t="array" ref="F45">_xll.BDP($C45&amp;" Equity","volatility_10d")/100</f>
        <v>0.59031610754799513</v>
      </c>
      <c r="G45" s="130" cm="1">
        <f t="array" ref="G45">_xll.BDP($C45&amp;" Equity","volatility_30d")/100</f>
        <v>0.68755340478979876</v>
      </c>
      <c r="K45" s="298" t="s">
        <v>42</v>
      </c>
      <c r="L45" s="296">
        <v>-1.4552118141639703E-3</v>
      </c>
      <c r="M45" s="299">
        <v>-0.12432534684415254</v>
      </c>
      <c r="N45" s="297">
        <v>1.543887739934495E-3</v>
      </c>
      <c r="O45" s="297">
        <v>2.9553410385488818E-3</v>
      </c>
      <c r="P45" s="297">
        <v>4.4992287784833768E-3</v>
      </c>
      <c r="Q45" s="297">
        <f>R45-P45</f>
        <v>-9.9922877848337673E-4</v>
      </c>
      <c r="R45" s="297">
        <v>3.5000000000000001E-3</v>
      </c>
    </row>
    <row r="46" spans="3:18" ht="15.75">
      <c r="K46" s="298" t="s">
        <v>44</v>
      </c>
      <c r="L46" s="296">
        <v>-1.6534391534391513E-2</v>
      </c>
      <c r="M46" s="299">
        <v>-0.9982406526329215</v>
      </c>
      <c r="N46" s="297">
        <v>0</v>
      </c>
      <c r="O46" s="297">
        <v>5.1455045378578784E-3</v>
      </c>
      <c r="P46" s="297">
        <v>5.1455045378578784E-3</v>
      </c>
      <c r="Q46" s="297">
        <f>R46-P46</f>
        <v>-1.1455045378578783E-3</v>
      </c>
      <c r="R46" s="297">
        <v>4.0000000000000001E-3</v>
      </c>
    </row>
    <row r="47" spans="3:18" ht="15.75">
      <c r="K47" s="298" t="s">
        <v>518</v>
      </c>
      <c r="L47" s="296">
        <v>-2.6798655211057065E-2</v>
      </c>
      <c r="M47" s="299">
        <v>1.5852618559466514E-2</v>
      </c>
      <c r="N47" s="297">
        <v>-7.9358043150606667E-4</v>
      </c>
      <c r="O47" s="297">
        <v>9.8607657949751791E-4</v>
      </c>
      <c r="P47" s="297">
        <v>1.9249614799145119E-4</v>
      </c>
      <c r="Q47" s="297">
        <f>R47-P47</f>
        <v>-1.9249614799145119E-4</v>
      </c>
      <c r="R47" s="297">
        <v>0</v>
      </c>
    </row>
    <row r="48" spans="3:18" ht="15.75">
      <c r="K48" s="298" t="s">
        <v>84</v>
      </c>
      <c r="L48" s="296">
        <v>-1.6483352707979515E-2</v>
      </c>
      <c r="M48" s="299">
        <v>-0.37379190862297018</v>
      </c>
      <c r="N48" s="297">
        <v>1.5195392753337515E-3</v>
      </c>
      <c r="O48" s="297">
        <v>5.9169715973246908E-4</v>
      </c>
      <c r="P48" s="297">
        <v>2.1112364350662207E-3</v>
      </c>
      <c r="Q48" s="297">
        <f>R48-P48</f>
        <v>-6.1123643506622071E-4</v>
      </c>
      <c r="R48" s="297">
        <v>1.5E-3</v>
      </c>
    </row>
    <row r="49" spans="11:18" ht="15.75">
      <c r="K49" s="301" t="s">
        <v>354</v>
      </c>
      <c r="L49" s="302">
        <v>-8.4026174193907455E-4</v>
      </c>
      <c r="M49" s="303">
        <v>-1.7578782910323221E-2</v>
      </c>
      <c r="N49" s="304">
        <v>-1.5669404759838411E-3</v>
      </c>
      <c r="O49" s="304">
        <v>2.4004823085147778E-3</v>
      </c>
      <c r="P49" s="304">
        <v>8.3354183253093669E-4</v>
      </c>
      <c r="R49" s="304"/>
    </row>
    <row r="50" spans="11:18" ht="15.75">
      <c r="K50" s="298" t="s">
        <v>355</v>
      </c>
      <c r="L50" s="296">
        <v>-1.2919896640827266E-3</v>
      </c>
      <c r="M50" s="299">
        <v>-7.1821978952513466E-2</v>
      </c>
      <c r="N50" s="297">
        <v>1.3471744978480506E-3</v>
      </c>
      <c r="O50" s="297">
        <v>2.4004823085147778E-3</v>
      </c>
      <c r="P50" s="297">
        <v>3.7476568063628283E-3</v>
      </c>
      <c r="R50" s="297"/>
    </row>
    <row r="51" spans="11:18" ht="15.75">
      <c r="K51" s="298" t="s">
        <v>356</v>
      </c>
      <c r="L51" s="296">
        <v>7.8093442843678584E-3</v>
      </c>
      <c r="M51" s="299">
        <v>-9.7169632839115672E-2</v>
      </c>
      <c r="N51" s="297">
        <v>-1.2539908651737638E-3</v>
      </c>
      <c r="O51" s="297">
        <v>0</v>
      </c>
      <c r="P51" s="297">
        <v>-1.2539908651737638E-3</v>
      </c>
      <c r="R51" s="297"/>
    </row>
    <row r="52" spans="11:18" ht="15.75">
      <c r="K52" s="298" t="s">
        <v>357</v>
      </c>
      <c r="L52" s="296">
        <v>-9.0381398461023554E-3</v>
      </c>
      <c r="M52" s="299">
        <v>0.15141282888130592</v>
      </c>
      <c r="N52" s="297">
        <v>-1.6601241086581279E-3</v>
      </c>
      <c r="O52" s="297">
        <v>0</v>
      </c>
      <c r="P52" s="297">
        <v>-1.6601241086581279E-3</v>
      </c>
      <c r="R52" s="297"/>
    </row>
    <row r="53" spans="11:18" ht="15.75">
      <c r="K53" s="301" t="s">
        <v>560</v>
      </c>
      <c r="L53" s="302">
        <v>8.5655571165981219E-4</v>
      </c>
      <c r="M53" s="303">
        <v>0.30047010447379285</v>
      </c>
      <c r="N53" s="304">
        <v>2.4558330120338706E-3</v>
      </c>
      <c r="O53" s="304">
        <v>4.083701484987501E-3</v>
      </c>
      <c r="P53" s="304">
        <v>6.5395344970213716E-3</v>
      </c>
      <c r="R53" s="304"/>
    </row>
    <row r="54" spans="11:18" ht="15.75">
      <c r="K54" s="298" t="s">
        <v>40</v>
      </c>
      <c r="L54" s="296">
        <v>-2.0689655172413945E-2</v>
      </c>
      <c r="M54" s="299">
        <v>-0.14686408904255172</v>
      </c>
      <c r="N54" s="297">
        <v>6.9515668813474141E-4</v>
      </c>
      <c r="O54" s="297">
        <v>0</v>
      </c>
      <c r="P54" s="297">
        <v>6.9515668813474141E-4</v>
      </c>
      <c r="R54" s="297"/>
    </row>
    <row r="55" spans="11:18" ht="15.75">
      <c r="K55" s="298" t="s">
        <v>41</v>
      </c>
      <c r="L55" s="296">
        <v>-2.6907036189963707E-3</v>
      </c>
      <c r="M55" s="299">
        <v>-1.8493996397951615E-2</v>
      </c>
      <c r="N55" s="297">
        <v>4.83868218698858E-4</v>
      </c>
      <c r="O55" s="297">
        <v>2.5123589968408243E-4</v>
      </c>
      <c r="P55" s="297">
        <v>7.3510411838294048E-4</v>
      </c>
      <c r="R55" s="297"/>
    </row>
    <row r="56" spans="11:18" ht="15.75">
      <c r="K56" s="298" t="s">
        <v>370</v>
      </c>
      <c r="L56" s="296">
        <v>6.5590866677642801E-3</v>
      </c>
      <c r="M56" s="299">
        <v>0.11670799609248043</v>
      </c>
      <c r="N56" s="297">
        <v>1.276808105200271E-3</v>
      </c>
      <c r="O56" s="297">
        <v>6.7729666444606672E-4</v>
      </c>
      <c r="P56" s="297">
        <v>1.9541047696463375E-3</v>
      </c>
      <c r="R56" s="297"/>
    </row>
    <row r="57" spans="11:18" ht="15.75">
      <c r="K57" s="298" t="s">
        <v>337</v>
      </c>
      <c r="L57" s="296">
        <v>8.594130047024473E-3</v>
      </c>
      <c r="M57" s="299">
        <v>0.16635599412441882</v>
      </c>
      <c r="N57" s="297">
        <v>0</v>
      </c>
      <c r="O57" s="297">
        <v>1.544348871542936E-3</v>
      </c>
      <c r="P57" s="297">
        <v>1.544348871542936E-3</v>
      </c>
      <c r="R57" s="297"/>
    </row>
    <row r="58" spans="11:18" ht="15.75">
      <c r="K58" s="298" t="s">
        <v>575</v>
      </c>
      <c r="L58" s="296">
        <v>1.2509920634920624E-2</v>
      </c>
      <c r="M58" s="299">
        <v>0.18276419969739696</v>
      </c>
      <c r="N58" s="297">
        <v>0</v>
      </c>
      <c r="O58" s="297">
        <v>1.6108200493144163E-3</v>
      </c>
      <c r="P58" s="297">
        <v>1.6108200493144163E-3</v>
      </c>
      <c r="R58" s="297"/>
    </row>
    <row r="59" spans="11:18" ht="15.75">
      <c r="K59" s="305" t="s">
        <v>45</v>
      </c>
      <c r="L59" s="306">
        <v>-8.037222487176969E-3</v>
      </c>
      <c r="M59" s="307">
        <v>-4.2480548993153455</v>
      </c>
      <c r="N59" s="308">
        <v>6.0748468456893858E-3</v>
      </c>
      <c r="O59" s="308">
        <v>3.17934865732169E-2</v>
      </c>
      <c r="P59" s="308">
        <v>3.7868660653854309E-2</v>
      </c>
      <c r="R59" s="308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459" priority="6" operator="lessThan">
      <formula>0</formula>
    </cfRule>
  </conditionalFormatting>
  <conditionalFormatting sqref="L23:O59">
    <cfRule type="cellIs" dxfId="3458" priority="5" operator="lessThan">
      <formula>0</formula>
    </cfRule>
  </conditionalFormatting>
  <conditionalFormatting sqref="R23:R59">
    <cfRule type="cellIs" dxfId="3457" priority="4" operator="lessThan">
      <formula>0</formula>
    </cfRule>
  </conditionalFormatting>
  <conditionalFormatting sqref="Q45:Q48">
    <cfRule type="cellIs" dxfId="3456" priority="3" operator="lessThan">
      <formula>0</formula>
    </cfRule>
  </conditionalFormatting>
  <conditionalFormatting sqref="Q42:Q43">
    <cfRule type="cellIs" dxfId="3455" priority="2" operator="lessThan">
      <formula>0</formula>
    </cfRule>
  </conditionalFormatting>
  <conditionalFormatting sqref="Q39">
    <cfRule type="cellIs" dxfId="3454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925</v>
      </c>
      <c r="J5" s="6" t="s">
        <v>922</v>
      </c>
      <c r="K5" s="6" t="s">
        <v>924</v>
      </c>
      <c r="L5" s="6" t="s">
        <v>923</v>
      </c>
      <c r="O5" s="6" t="s">
        <v>5</v>
      </c>
      <c r="P5" s="6" t="s">
        <v>929</v>
      </c>
      <c r="Q5" s="6" t="s">
        <v>929</v>
      </c>
      <c r="R5" s="6" t="s">
        <v>930</v>
      </c>
      <c r="S5" s="6" t="s">
        <v>928</v>
      </c>
      <c r="T5" s="6" t="s">
        <v>928</v>
      </c>
      <c r="V5" s="367" t="s">
        <v>623</v>
      </c>
      <c r="W5" s="367" t="s">
        <v>623</v>
      </c>
      <c r="X5" s="367" t="s">
        <v>620</v>
      </c>
      <c r="Y5" s="367" t="s">
        <v>620</v>
      </c>
      <c r="Z5" s="367" t="s">
        <v>621</v>
      </c>
      <c r="AA5" s="367" t="s">
        <v>621</v>
      </c>
      <c r="AB5" s="367" t="s">
        <v>622</v>
      </c>
      <c r="AC5" s="367" t="s">
        <v>622</v>
      </c>
      <c r="AD5" s="367" t="s">
        <v>623</v>
      </c>
    </row>
    <row r="6" spans="3:30" s="6" customFormat="1">
      <c r="V6" s="367" t="s">
        <v>926</v>
      </c>
      <c r="W6" s="367" t="s">
        <v>927</v>
      </c>
      <c r="X6" s="367" t="s">
        <v>926</v>
      </c>
      <c r="Y6" s="367" t="s">
        <v>927</v>
      </c>
      <c r="Z6" s="367" t="s">
        <v>926</v>
      </c>
      <c r="AA6" s="367" t="s">
        <v>927</v>
      </c>
      <c r="AB6" s="367" t="s">
        <v>926</v>
      </c>
      <c r="AC6" s="367" t="s">
        <v>927</v>
      </c>
      <c r="AD6" s="367" t="s">
        <v>926</v>
      </c>
    </row>
    <row r="7" spans="3:30">
      <c r="P7" s="368"/>
      <c r="Q7" s="368"/>
      <c r="R7" s="368"/>
      <c r="T7" s="368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7"/>
      <c r="W10" s="367">
        <f>W9-V9</f>
        <v>-1.8999999999999986</v>
      </c>
      <c r="X10" s="367"/>
      <c r="Y10" s="367">
        <f>Y9-X9</f>
        <v>-1.3200000000000003</v>
      </c>
      <c r="Z10" s="367"/>
      <c r="AA10" s="367">
        <f>AA9-Z9</f>
        <v>-0.40000000000000213</v>
      </c>
      <c r="AB10" s="367"/>
      <c r="AC10" s="367">
        <f>AC9-AB9</f>
        <v>-1.5</v>
      </c>
      <c r="AD10" s="367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4" t="s">
        <v>29</v>
      </c>
      <c r="D13" s="375">
        <v>-2.0000000000000001E-4</v>
      </c>
      <c r="E13" s="366"/>
      <c r="F13" s="366"/>
      <c r="H13" s="374"/>
      <c r="I13" s="374"/>
      <c r="J13" s="374"/>
      <c r="K13" s="374"/>
      <c r="L13" s="374"/>
      <c r="M13" s="374"/>
      <c r="N13" s="374"/>
      <c r="O13" s="381">
        <v>672</v>
      </c>
      <c r="P13" s="381">
        <v>750</v>
      </c>
      <c r="Q13" s="381">
        <v>710</v>
      </c>
      <c r="R13" s="381">
        <v>672</v>
      </c>
      <c r="S13" s="381">
        <v>630</v>
      </c>
      <c r="T13" s="381">
        <v>600</v>
      </c>
      <c r="U13" s="374"/>
      <c r="V13" s="377"/>
      <c r="W13" s="377"/>
      <c r="X13" s="377"/>
      <c r="Y13" s="377"/>
      <c r="Z13" s="377"/>
      <c r="AA13" s="377"/>
      <c r="AB13" s="377"/>
      <c r="AC13" s="377"/>
      <c r="AD13" s="377"/>
    </row>
    <row r="14" spans="3:30" s="6" customFormat="1">
      <c r="C14" s="374"/>
      <c r="D14" s="375"/>
      <c r="E14" s="366"/>
      <c r="F14" s="366"/>
      <c r="H14" s="374"/>
      <c r="I14" s="374"/>
      <c r="J14" s="374"/>
      <c r="K14" s="374"/>
      <c r="L14" s="374"/>
      <c r="M14" s="374"/>
      <c r="N14" s="374"/>
      <c r="O14" s="374"/>
      <c r="P14" s="382">
        <f>P13/$O13-1</f>
        <v>0.1160714285714286</v>
      </c>
      <c r="Q14" s="382">
        <f>Q13/$O13-1</f>
        <v>5.6547619047619069E-2</v>
      </c>
      <c r="R14" s="382">
        <f>R13/$O13-1</f>
        <v>0</v>
      </c>
      <c r="S14" s="382">
        <f>S13/$O13-1</f>
        <v>-6.25E-2</v>
      </c>
      <c r="T14" s="382">
        <f>T13/$O13-1</f>
        <v>-0.1071428571428571</v>
      </c>
      <c r="U14" s="374"/>
      <c r="V14" s="377"/>
      <c r="W14" s="377"/>
      <c r="X14" s="377"/>
      <c r="Y14" s="377"/>
      <c r="Z14" s="377"/>
      <c r="AA14" s="377"/>
      <c r="AB14" s="377"/>
      <c r="AC14" s="377"/>
      <c r="AD14" s="377"/>
    </row>
    <row r="15" spans="3:30" s="6" customFormat="1">
      <c r="C15" s="374"/>
      <c r="D15" s="375"/>
      <c r="E15" s="42"/>
      <c r="F15" s="42"/>
      <c r="G15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2"/>
      <c r="W15" s="372"/>
      <c r="X15" s="372"/>
      <c r="Y15" s="372"/>
      <c r="Z15" s="372"/>
      <c r="AA15" s="372"/>
      <c r="AB15" s="372"/>
      <c r="AC15" s="372"/>
      <c r="AD15" s="372"/>
    </row>
    <row r="16" spans="3:30">
      <c r="C16" s="369"/>
      <c r="D16" s="370"/>
      <c r="E16" s="42"/>
      <c r="F16" s="42"/>
      <c r="H16" s="369"/>
      <c r="I16" s="371"/>
      <c r="J16" s="370"/>
      <c r="K16" s="370"/>
      <c r="L16" s="370" t="e">
        <f>L17*Q18/100</f>
        <v>#REF!</v>
      </c>
      <c r="M16" s="369"/>
      <c r="N16" s="369"/>
      <c r="O16" s="369"/>
      <c r="P16" s="369"/>
      <c r="Q16" s="369"/>
      <c r="R16" s="369"/>
      <c r="S16" s="369"/>
      <c r="T16" s="369"/>
      <c r="U16" s="369"/>
      <c r="V16" s="372"/>
      <c r="W16" s="372"/>
      <c r="X16" s="372"/>
      <c r="Y16" s="372"/>
      <c r="Z16" s="372"/>
      <c r="AA16" s="372"/>
      <c r="AB16" s="372"/>
      <c r="AC16" s="372"/>
      <c r="AD16" s="372"/>
    </row>
    <row r="17" spans="3:30">
      <c r="C17" s="369"/>
      <c r="D17" s="370"/>
      <c r="E17" s="42"/>
      <c r="F17" s="42"/>
      <c r="H17" s="374" t="str">
        <f>'Options Price'!B79</f>
        <v>META US 07/17/26 C700</v>
      </c>
      <c r="I17" s="376" t="e">
        <f>Options!#REF!</f>
        <v>#REF!</v>
      </c>
      <c r="J17" s="375" t="e">
        <f>Options!#REF!</f>
        <v>#REF!</v>
      </c>
      <c r="K17" s="375" t="e">
        <f>Options!#REF!</f>
        <v>#REF!</v>
      </c>
      <c r="L17" s="375" t="e">
        <f>Options!#REF!</f>
        <v>#REF!</v>
      </c>
      <c r="M17" s="369"/>
      <c r="N17" s="369" t="s">
        <v>1</v>
      </c>
      <c r="O17" s="369">
        <v>37</v>
      </c>
      <c r="P17" s="369">
        <v>34</v>
      </c>
      <c r="Q17" s="369">
        <v>34</v>
      </c>
      <c r="R17" s="369">
        <v>34</v>
      </c>
      <c r="S17" s="369">
        <v>34</v>
      </c>
      <c r="T17" s="369">
        <v>34</v>
      </c>
      <c r="U17" s="369"/>
      <c r="V17" s="372">
        <v>36.299999999999997</v>
      </c>
      <c r="W17" s="372">
        <v>34.119999999999997</v>
      </c>
      <c r="X17" s="372">
        <v>39.200000000000003</v>
      </c>
      <c r="Y17" s="372">
        <v>37.200000000000003</v>
      </c>
      <c r="Z17" s="372">
        <v>32</v>
      </c>
      <c r="AA17" s="372">
        <v>31.7</v>
      </c>
      <c r="AB17" s="372">
        <v>37</v>
      </c>
      <c r="AC17" s="372">
        <v>38.5</v>
      </c>
      <c r="AD17" s="372">
        <v>36.5</v>
      </c>
    </row>
    <row r="18" spans="3:30">
      <c r="C18" s="369"/>
      <c r="D18" s="370"/>
      <c r="E18" s="42"/>
      <c r="F18" s="42"/>
      <c r="H18" s="369"/>
      <c r="I18" s="371"/>
      <c r="J18" s="370"/>
      <c r="K18" s="370"/>
      <c r="L18" s="370"/>
      <c r="M18" s="369"/>
      <c r="N18" s="369" t="s">
        <v>163</v>
      </c>
      <c r="O18" s="369">
        <v>53</v>
      </c>
      <c r="P18" s="369">
        <v>71</v>
      </c>
      <c r="Q18" s="369">
        <v>62</v>
      </c>
      <c r="R18" s="369">
        <v>52</v>
      </c>
      <c r="S18" s="369">
        <v>52</v>
      </c>
      <c r="T18" s="369">
        <v>34</v>
      </c>
      <c r="U18" s="369"/>
      <c r="V18" s="377"/>
      <c r="W18" s="377">
        <f>W17-V17</f>
        <v>-2.1799999999999997</v>
      </c>
      <c r="X18" s="377"/>
      <c r="Y18" s="377">
        <f>Y17-X17</f>
        <v>-2</v>
      </c>
      <c r="Z18" s="377"/>
      <c r="AA18" s="377">
        <f>AA17-Z17</f>
        <v>-0.30000000000000071</v>
      </c>
      <c r="AB18" s="377"/>
      <c r="AC18" s="377">
        <f>AC17-AB17</f>
        <v>1.5</v>
      </c>
      <c r="AD18" s="377"/>
    </row>
    <row r="19" spans="3:30">
      <c r="C19" s="369"/>
      <c r="D19" s="370"/>
      <c r="E19" s="42"/>
      <c r="F19" s="42"/>
      <c r="H19" s="369"/>
      <c r="I19" s="371"/>
      <c r="J19" s="370"/>
      <c r="K19" s="370"/>
      <c r="L19" s="370"/>
      <c r="M19" s="369"/>
      <c r="N19" s="369" t="s">
        <v>5</v>
      </c>
      <c r="O19" s="369">
        <v>64</v>
      </c>
      <c r="P19" s="369">
        <v>106</v>
      </c>
      <c r="Q19" s="369">
        <v>80</v>
      </c>
      <c r="R19" s="369">
        <v>58</v>
      </c>
      <c r="S19" s="369">
        <v>38</v>
      </c>
      <c r="T19" s="369">
        <v>27</v>
      </c>
      <c r="U19" s="369"/>
      <c r="V19" s="372"/>
      <c r="W19" s="372"/>
      <c r="X19" s="372"/>
      <c r="Y19" s="372"/>
      <c r="Z19" s="372"/>
      <c r="AA19" s="372"/>
      <c r="AB19" s="372"/>
      <c r="AC19" s="372"/>
      <c r="AD19" s="372"/>
    </row>
    <row r="20" spans="3:30">
      <c r="C20" s="369"/>
      <c r="D20" s="370"/>
      <c r="E20" s="42"/>
      <c r="F20" s="42"/>
      <c r="H20" s="369"/>
      <c r="I20" s="371"/>
      <c r="J20" s="370"/>
      <c r="K20" s="370"/>
      <c r="L20" s="370"/>
      <c r="M20" s="369"/>
      <c r="N20" s="369" t="s">
        <v>51</v>
      </c>
      <c r="O20" s="369"/>
      <c r="P20" s="373">
        <f>P19/$O19-1</f>
        <v>0.65625</v>
      </c>
      <c r="Q20" s="373">
        <f>Q19/$O19-1</f>
        <v>0.25</v>
      </c>
      <c r="R20" s="373">
        <f>R19/$O19-1</f>
        <v>-9.375E-2</v>
      </c>
      <c r="S20" s="373">
        <f>S19/$O19-1</f>
        <v>-0.40625</v>
      </c>
      <c r="T20" s="373">
        <f>T19/$O19-1</f>
        <v>-0.578125</v>
      </c>
      <c r="U20" s="369"/>
      <c r="V20" s="372"/>
      <c r="W20" s="372"/>
      <c r="X20" s="372"/>
      <c r="Y20" s="372"/>
      <c r="Z20" s="372"/>
      <c r="AA20" s="372"/>
      <c r="AB20" s="372"/>
      <c r="AC20" s="372"/>
      <c r="AD20" s="372"/>
    </row>
    <row r="21" spans="3:30">
      <c r="C21" s="369"/>
      <c r="D21" s="370"/>
      <c r="E21" s="42"/>
      <c r="F21" s="42"/>
      <c r="H21" s="369"/>
      <c r="I21" s="371"/>
      <c r="J21" s="370"/>
      <c r="K21" s="370"/>
      <c r="L21" s="370"/>
      <c r="M21" s="369"/>
      <c r="N21" s="369" t="s">
        <v>873</v>
      </c>
      <c r="O21" s="369"/>
      <c r="P21" s="371" t="e">
        <f>$I$17*(1+P20)</f>
        <v>#REF!</v>
      </c>
      <c r="Q21" s="371" t="e">
        <f>$I$17*(1+Q20)</f>
        <v>#REF!</v>
      </c>
      <c r="R21" s="371" t="e">
        <f>$I$17*(1+R20)</f>
        <v>#REF!</v>
      </c>
      <c r="S21" s="371" t="e">
        <f>$I$17*(1+S20)</f>
        <v>#REF!</v>
      </c>
      <c r="T21" s="371" t="e">
        <f>$I$17*(1+T20)</f>
        <v>#REF!</v>
      </c>
      <c r="U21" s="369"/>
      <c r="V21" s="372"/>
      <c r="W21" s="372"/>
      <c r="X21" s="372"/>
      <c r="Y21" s="372"/>
      <c r="Z21" s="372"/>
      <c r="AA21" s="372"/>
      <c r="AB21" s="372"/>
      <c r="AC21" s="372"/>
      <c r="AD21" s="372"/>
    </row>
    <row r="22" spans="3:30">
      <c r="C22" s="369"/>
      <c r="D22" s="370"/>
      <c r="E22" s="42"/>
      <c r="F22" s="42"/>
      <c r="H22" s="369"/>
      <c r="I22" s="371"/>
      <c r="J22" s="370"/>
      <c r="K22" s="370"/>
      <c r="L22" s="370"/>
      <c r="M22" s="369"/>
      <c r="N22" s="369" t="s">
        <v>931</v>
      </c>
      <c r="O22" s="369"/>
      <c r="P22" s="371" t="e">
        <f>P21-$I$17</f>
        <v>#REF!</v>
      </c>
      <c r="Q22" s="371" t="e">
        <f>Q21-$I$17</f>
        <v>#REF!</v>
      </c>
      <c r="R22" s="371" t="e">
        <f>R21-$I$17</f>
        <v>#REF!</v>
      </c>
      <c r="S22" s="371" t="e">
        <f>S21-$I$17</f>
        <v>#REF!</v>
      </c>
      <c r="T22" s="371" t="e">
        <f>T21-$I$17</f>
        <v>#REF!</v>
      </c>
      <c r="U22" s="369"/>
      <c r="V22" s="372"/>
      <c r="W22" s="372"/>
      <c r="X22" s="372"/>
      <c r="Y22" s="372"/>
      <c r="Z22" s="372"/>
      <c r="AA22" s="372"/>
      <c r="AB22" s="372"/>
      <c r="AC22" s="372"/>
      <c r="AD22" s="372"/>
    </row>
    <row r="23" spans="3:30" ht="15.75" thickBot="1">
      <c r="C23" s="369"/>
      <c r="D23" s="370"/>
      <c r="E23" s="42"/>
      <c r="F23" s="42"/>
      <c r="H23" s="369"/>
      <c r="I23" s="371"/>
      <c r="J23" s="370"/>
      <c r="K23" s="370"/>
      <c r="L23" s="370"/>
      <c r="M23" s="369"/>
      <c r="N23" s="369"/>
      <c r="O23" s="369"/>
      <c r="P23" s="369"/>
      <c r="Q23" s="369"/>
      <c r="R23" s="369"/>
      <c r="S23" s="369"/>
      <c r="T23" s="369"/>
      <c r="U23" s="369"/>
      <c r="V23" s="372"/>
      <c r="W23" s="372"/>
      <c r="X23" s="372"/>
      <c r="Y23" s="372"/>
      <c r="Z23" s="372"/>
      <c r="AA23" s="372"/>
      <c r="AB23" s="372"/>
      <c r="AC23" s="372"/>
      <c r="AD23" s="372"/>
    </row>
    <row r="24" spans="3:30" ht="15.75" thickBot="1">
      <c r="C24" s="369"/>
      <c r="D24" s="370"/>
      <c r="E24" s="42"/>
      <c r="F24" s="42"/>
      <c r="H24" s="379" t="s">
        <v>163</v>
      </c>
      <c r="I24" s="380" t="e">
        <f>K17*10000</f>
        <v>#REF!</v>
      </c>
      <c r="J24" s="370"/>
      <c r="K24" s="370"/>
      <c r="L24" s="370"/>
      <c r="M24" s="369"/>
      <c r="N24" s="369"/>
      <c r="O24" s="369"/>
      <c r="P24" s="378" t="e">
        <f>P22/$I$24</f>
        <v>#REF!</v>
      </c>
      <c r="Q24" s="378" t="e">
        <f>Q22/$I$24</f>
        <v>#REF!</v>
      </c>
      <c r="R24" s="378" t="e">
        <f>R22/$I$24</f>
        <v>#REF!</v>
      </c>
      <c r="S24" s="378" t="e">
        <f>S22/$I$24</f>
        <v>#REF!</v>
      </c>
      <c r="T24" s="378" t="e">
        <f>T22/$I$24</f>
        <v>#REF!</v>
      </c>
      <c r="U24" s="369"/>
      <c r="V24" s="372"/>
      <c r="W24" s="372"/>
      <c r="X24" s="372"/>
      <c r="Y24" s="372"/>
      <c r="Z24" s="372"/>
      <c r="AA24" s="372"/>
      <c r="AB24" s="372"/>
      <c r="AC24" s="372"/>
      <c r="AD24" s="372"/>
    </row>
    <row r="25" spans="3:30">
      <c r="D25" s="42"/>
      <c r="E25" s="42"/>
      <c r="F25" s="42"/>
      <c r="H25" s="369"/>
      <c r="I25" s="371"/>
      <c r="J25" s="370"/>
      <c r="K25" s="370"/>
      <c r="L25" s="370"/>
      <c r="M25" s="369"/>
      <c r="N25" s="369"/>
      <c r="O25" s="369"/>
      <c r="P25" s="369"/>
      <c r="Q25" s="369"/>
      <c r="R25" s="369"/>
      <c r="S25" s="369"/>
      <c r="T25" s="369"/>
      <c r="U25" s="369"/>
      <c r="V25" s="372"/>
      <c r="W25" s="372"/>
      <c r="X25" s="372"/>
      <c r="Y25" s="372"/>
      <c r="Z25" s="372"/>
      <c r="AA25" s="372"/>
      <c r="AB25" s="372"/>
      <c r="AC25" s="372"/>
      <c r="AD25" s="372"/>
    </row>
    <row r="26" spans="3:30">
      <c r="D26" s="42"/>
      <c r="E26" s="42"/>
      <c r="F26" s="42"/>
      <c r="H26" s="369"/>
      <c r="I26" s="371"/>
      <c r="J26" s="370"/>
      <c r="K26" s="370"/>
      <c r="L26" s="370" t="e">
        <f>L27*Q28/100</f>
        <v>#REF!</v>
      </c>
      <c r="M26" s="369"/>
      <c r="N26" s="369"/>
      <c r="O26" s="369"/>
      <c r="P26" s="369"/>
      <c r="Q26" s="369"/>
      <c r="R26" s="369"/>
      <c r="S26" s="369"/>
      <c r="T26" s="369"/>
      <c r="U26" s="369"/>
      <c r="V26" s="372"/>
      <c r="W26" s="372"/>
      <c r="X26" s="372"/>
      <c r="Y26" s="372"/>
      <c r="Z26" s="372"/>
      <c r="AA26" s="372"/>
      <c r="AB26" s="372"/>
      <c r="AC26" s="372"/>
      <c r="AD26" s="372"/>
    </row>
    <row r="27" spans="3:30">
      <c r="D27" s="42"/>
      <c r="E27" s="42"/>
      <c r="F27" s="42"/>
      <c r="H27" s="374" t="e">
        <f>Options!#REF!</f>
        <v>#REF!</v>
      </c>
      <c r="I27" s="376" t="e">
        <f>Options!#REF!</f>
        <v>#REF!</v>
      </c>
      <c r="J27" s="375" t="e">
        <f>Options!#REF!</f>
        <v>#REF!</v>
      </c>
      <c r="K27" s="375" t="e">
        <f>Options!#REF!</f>
        <v>#REF!</v>
      </c>
      <c r="L27" s="375" t="e">
        <f>Options!#REF!</f>
        <v>#REF!</v>
      </c>
      <c r="M27" s="369"/>
      <c r="N27" s="369" t="s">
        <v>1</v>
      </c>
      <c r="O27" s="369">
        <v>37</v>
      </c>
      <c r="P27" s="369">
        <v>32.5</v>
      </c>
      <c r="Q27" s="369">
        <v>32.5</v>
      </c>
      <c r="R27" s="369">
        <v>32.5</v>
      </c>
      <c r="S27" s="369">
        <v>32.5</v>
      </c>
      <c r="T27" s="369">
        <v>32.5</v>
      </c>
      <c r="U27" s="369"/>
      <c r="V27" s="372">
        <v>37.5</v>
      </c>
      <c r="W27" s="372">
        <v>33.200000000000003</v>
      </c>
      <c r="X27" s="372">
        <v>40.299999999999997</v>
      </c>
      <c r="Y27" s="372">
        <v>36.700000000000003</v>
      </c>
      <c r="Z27" s="372">
        <v>32</v>
      </c>
      <c r="AA27" s="372">
        <v>30</v>
      </c>
      <c r="AB27" s="372">
        <v>37.1</v>
      </c>
      <c r="AC27" s="372">
        <v>37.4</v>
      </c>
      <c r="AD27" s="372">
        <v>36.799999999999997</v>
      </c>
    </row>
    <row r="28" spans="3:30">
      <c r="D28" s="42"/>
      <c r="E28" s="42"/>
      <c r="F28" s="42"/>
      <c r="H28" s="369"/>
      <c r="I28" s="371"/>
      <c r="J28" s="370"/>
      <c r="K28" s="370"/>
      <c r="L28" s="370"/>
      <c r="M28" s="369"/>
      <c r="N28" s="369" t="s">
        <v>163</v>
      </c>
      <c r="O28" s="369">
        <v>48</v>
      </c>
      <c r="P28" s="369">
        <v>75</v>
      </c>
      <c r="Q28" s="369">
        <v>62</v>
      </c>
      <c r="R28" s="369">
        <v>48</v>
      </c>
      <c r="S28" s="369">
        <v>31</v>
      </c>
      <c r="T28" s="369">
        <v>21</v>
      </c>
      <c r="U28" s="369"/>
      <c r="V28" s="377"/>
      <c r="W28" s="377">
        <f>W27-V27</f>
        <v>-4.2999999999999972</v>
      </c>
      <c r="X28" s="377"/>
      <c r="Y28" s="377">
        <f>Y27-X27</f>
        <v>-3.5999999999999943</v>
      </c>
      <c r="Z28" s="377"/>
      <c r="AA28" s="377">
        <f>AA27-Z27</f>
        <v>-2</v>
      </c>
      <c r="AB28" s="377"/>
      <c r="AC28" s="377">
        <f>AC27-AB27</f>
        <v>0.29999999999999716</v>
      </c>
      <c r="AD28" s="377"/>
    </row>
    <row r="29" spans="3:30">
      <c r="D29" s="42"/>
      <c r="E29" s="42"/>
      <c r="F29" s="42"/>
      <c r="H29" s="369"/>
      <c r="I29" s="371"/>
      <c r="J29" s="370"/>
      <c r="K29" s="370"/>
      <c r="L29" s="370"/>
      <c r="M29" s="369"/>
      <c r="N29" s="369" t="s">
        <v>5</v>
      </c>
      <c r="O29" s="369">
        <v>40</v>
      </c>
      <c r="P29" s="369">
        <v>82.9</v>
      </c>
      <c r="Q29" s="369">
        <v>55</v>
      </c>
      <c r="R29" s="369">
        <v>34</v>
      </c>
      <c r="S29" s="369">
        <v>18</v>
      </c>
      <c r="T29" s="369">
        <v>10</v>
      </c>
      <c r="U29" s="369"/>
      <c r="V29" s="372"/>
      <c r="W29" s="372"/>
      <c r="X29" s="372"/>
      <c r="Y29" s="372"/>
      <c r="Z29" s="372"/>
      <c r="AA29" s="372"/>
      <c r="AB29" s="372"/>
      <c r="AC29" s="372"/>
      <c r="AD29" s="372"/>
    </row>
    <row r="30" spans="3:30">
      <c r="D30" s="42"/>
      <c r="E30" s="42"/>
      <c r="F30" s="42"/>
      <c r="H30" s="369"/>
      <c r="I30" s="371"/>
      <c r="J30" s="370"/>
      <c r="K30" s="370"/>
      <c r="L30" s="370"/>
      <c r="M30" s="369"/>
      <c r="N30" s="369" t="s">
        <v>51</v>
      </c>
      <c r="O30" s="369"/>
      <c r="P30" s="373">
        <f>P29/$O29-1</f>
        <v>1.0725000000000002</v>
      </c>
      <c r="Q30" s="373">
        <f>Q29/$O29-1</f>
        <v>0.375</v>
      </c>
      <c r="R30" s="373">
        <f>R29/$O29-1</f>
        <v>-0.15000000000000002</v>
      </c>
      <c r="S30" s="373">
        <f>S29/$O29-1</f>
        <v>-0.55000000000000004</v>
      </c>
      <c r="T30" s="373">
        <f>T29/$O29-1</f>
        <v>-0.75</v>
      </c>
      <c r="U30" s="369"/>
      <c r="V30" s="372"/>
      <c r="W30" s="372"/>
      <c r="X30" s="372"/>
      <c r="Y30" s="372"/>
      <c r="Z30" s="372"/>
      <c r="AA30" s="372"/>
      <c r="AB30" s="372"/>
      <c r="AC30" s="372"/>
      <c r="AD30" s="372"/>
    </row>
    <row r="31" spans="3:30">
      <c r="D31" s="42"/>
      <c r="E31" s="42"/>
      <c r="F31" s="42"/>
      <c r="H31" s="369"/>
      <c r="I31" s="371"/>
      <c r="J31" s="370"/>
      <c r="K31" s="370"/>
      <c r="L31" s="370"/>
      <c r="M31" s="369"/>
      <c r="N31" s="369" t="s">
        <v>873</v>
      </c>
      <c r="O31" s="369"/>
      <c r="P31" s="371" t="e">
        <f>$I$27*(1+P30)</f>
        <v>#REF!</v>
      </c>
      <c r="Q31" s="371" t="e">
        <f>$I$27*(1+Q30)</f>
        <v>#REF!</v>
      </c>
      <c r="R31" s="371" t="e">
        <f>$I$27*(1+R30)</f>
        <v>#REF!</v>
      </c>
      <c r="S31" s="371" t="e">
        <f>$I$27*(1+S30)</f>
        <v>#REF!</v>
      </c>
      <c r="T31" s="371" t="e">
        <f>$I$27*(1+T30)</f>
        <v>#REF!</v>
      </c>
      <c r="U31" s="369"/>
      <c r="V31" s="372"/>
      <c r="W31" s="372"/>
      <c r="X31" s="372"/>
      <c r="Y31" s="372"/>
      <c r="Z31" s="372"/>
      <c r="AA31" s="372"/>
      <c r="AB31" s="372"/>
      <c r="AC31" s="372"/>
      <c r="AD31" s="372"/>
    </row>
    <row r="32" spans="3:30">
      <c r="D32" s="42"/>
      <c r="E32" s="42"/>
      <c r="F32" s="42"/>
      <c r="H32" s="369"/>
      <c r="I32" s="371"/>
      <c r="J32" s="370"/>
      <c r="K32" s="370"/>
      <c r="L32" s="370"/>
      <c r="M32" s="369"/>
      <c r="N32" s="369" t="s">
        <v>931</v>
      </c>
      <c r="O32" s="369"/>
      <c r="P32" s="371" t="e">
        <f>P31-$I$27</f>
        <v>#REF!</v>
      </c>
      <c r="Q32" s="371" t="e">
        <f>Q31-$I$27</f>
        <v>#REF!</v>
      </c>
      <c r="R32" s="371" t="e">
        <f>R31-$I$27</f>
        <v>#REF!</v>
      </c>
      <c r="S32" s="371" t="e">
        <f>S31-$I$27</f>
        <v>#REF!</v>
      </c>
      <c r="T32" s="371" t="e">
        <f>T31-$I$27</f>
        <v>#REF!</v>
      </c>
      <c r="U32" s="369"/>
      <c r="V32" s="372"/>
      <c r="W32" s="372"/>
      <c r="X32" s="372"/>
      <c r="Y32" s="372"/>
      <c r="Z32" s="372"/>
      <c r="AA32" s="372"/>
      <c r="AB32" s="372"/>
      <c r="AC32" s="372"/>
      <c r="AD32" s="372"/>
    </row>
    <row r="33" spans="3:30" ht="15.75" thickBot="1">
      <c r="D33" s="42"/>
      <c r="E33" s="42"/>
      <c r="F33" s="42"/>
      <c r="H33" s="369"/>
      <c r="I33" s="371"/>
      <c r="J33" s="370"/>
      <c r="K33" s="370"/>
      <c r="L33" s="370"/>
      <c r="M33" s="369"/>
      <c r="N33" s="369"/>
      <c r="O33" s="369"/>
      <c r="P33" s="369"/>
      <c r="Q33" s="369"/>
      <c r="R33" s="369"/>
      <c r="S33" s="369"/>
      <c r="T33" s="369"/>
      <c r="U33" s="369"/>
      <c r="V33" s="372"/>
      <c r="W33" s="372"/>
      <c r="X33" s="372"/>
      <c r="Y33" s="372"/>
      <c r="Z33" s="372"/>
      <c r="AA33" s="372"/>
      <c r="AB33" s="372"/>
      <c r="AC33" s="372"/>
      <c r="AD33" s="372"/>
    </row>
    <row r="34" spans="3:30" ht="15.75" thickBot="1">
      <c r="D34" s="42"/>
      <c r="E34" s="42"/>
      <c r="F34" s="42"/>
      <c r="H34" s="379" t="s">
        <v>163</v>
      </c>
      <c r="I34" s="380" t="e">
        <f>K27*10000</f>
        <v>#REF!</v>
      </c>
      <c r="J34" s="370"/>
      <c r="K34" s="370"/>
      <c r="L34" s="370"/>
      <c r="M34" s="369"/>
      <c r="N34" s="369"/>
      <c r="O34" s="369"/>
      <c r="P34" s="378" t="e">
        <f>P32/$I$34</f>
        <v>#REF!</v>
      </c>
      <c r="Q34" s="378" t="e">
        <f>Q32/$I$34</f>
        <v>#REF!</v>
      </c>
      <c r="R34" s="378" t="e">
        <f>R32/$I$34</f>
        <v>#REF!</v>
      </c>
      <c r="S34" s="378" t="e">
        <f>S32/$I$34</f>
        <v>#REF!</v>
      </c>
      <c r="T34" s="378" t="e">
        <f>T32/$I$34</f>
        <v>#REF!</v>
      </c>
      <c r="U34" s="369"/>
      <c r="V34" s="372"/>
      <c r="W34" s="372"/>
      <c r="X34" s="372"/>
      <c r="Y34" s="372"/>
      <c r="Z34" s="372"/>
      <c r="AA34" s="372"/>
      <c r="AB34" s="372"/>
      <c r="AC34" s="372"/>
      <c r="AD34" s="372"/>
    </row>
    <row r="35" spans="3:30" ht="15.75" thickBot="1">
      <c r="D35" s="42"/>
      <c r="E35" s="42"/>
      <c r="F35" s="42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72"/>
      <c r="W35" s="372"/>
      <c r="X35" s="372"/>
      <c r="Y35" s="372"/>
      <c r="Z35" s="372"/>
      <c r="AA35" s="372"/>
      <c r="AB35" s="372"/>
      <c r="AC35" s="372"/>
      <c r="AD35" s="372"/>
    </row>
    <row r="36" spans="3:30" s="6" customFormat="1" ht="15.75" thickBot="1">
      <c r="D36" s="366"/>
      <c r="E36" s="366"/>
      <c r="F36" s="366"/>
      <c r="H36" s="374"/>
      <c r="I36" s="376"/>
      <c r="J36" s="375"/>
      <c r="K36" s="375"/>
      <c r="L36" s="375"/>
      <c r="M36" s="374"/>
      <c r="N36" s="383" t="s">
        <v>933</v>
      </c>
      <c r="O36" s="384"/>
      <c r="P36" s="385" t="e">
        <f>P22+P32</f>
        <v>#REF!</v>
      </c>
      <c r="Q36" s="385" t="e">
        <f>Q22+Q32</f>
        <v>#REF!</v>
      </c>
      <c r="R36" s="385" t="e">
        <f>R22+R32</f>
        <v>#REF!</v>
      </c>
      <c r="S36" s="385" t="e">
        <f>S22+S32</f>
        <v>#REF!</v>
      </c>
      <c r="T36" s="386" t="e">
        <f>T22+T32</f>
        <v>#REF!</v>
      </c>
      <c r="U36" s="374"/>
      <c r="V36" s="377"/>
      <c r="W36" s="377"/>
      <c r="X36" s="377"/>
      <c r="Y36" s="377"/>
      <c r="Z36" s="377"/>
      <c r="AA36" s="377"/>
      <c r="AB36" s="377"/>
      <c r="AC36" s="377"/>
      <c r="AD36" s="377"/>
    </row>
    <row r="37" spans="3:30">
      <c r="D37" s="42"/>
      <c r="E37" s="42"/>
      <c r="F37" s="42"/>
      <c r="H37" s="369"/>
      <c r="I37" s="376"/>
      <c r="J37" s="375"/>
      <c r="K37" s="375"/>
      <c r="L37" s="375"/>
      <c r="M37" s="369"/>
      <c r="N37" s="369"/>
      <c r="O37" s="369"/>
      <c r="P37" s="369"/>
      <c r="Q37" s="369"/>
      <c r="R37" s="369"/>
      <c r="S37" s="369"/>
      <c r="T37" s="369"/>
      <c r="U37" s="369"/>
      <c r="V37" s="372"/>
      <c r="W37" s="372"/>
      <c r="X37" s="372"/>
      <c r="Y37" s="372"/>
      <c r="Z37" s="372"/>
      <c r="AA37" s="372"/>
      <c r="AB37" s="372"/>
      <c r="AC37" s="372"/>
      <c r="AD37" s="372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7"/>
      <c r="K39" s="387"/>
      <c r="L39" s="387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0"/>
      <c r="W39" s="350"/>
      <c r="X39" s="350"/>
      <c r="Y39" s="350"/>
      <c r="Z39" s="350"/>
      <c r="AA39" s="350"/>
      <c r="AB39" s="350"/>
      <c r="AC39" s="350"/>
      <c r="AD39" s="350"/>
    </row>
    <row r="40" spans="3:30">
      <c r="D40" s="42"/>
      <c r="E40" s="42"/>
      <c r="F40" s="42"/>
      <c r="H40" s="58"/>
      <c r="I40" s="265"/>
      <c r="J40" s="387"/>
      <c r="K40" s="387"/>
      <c r="L40" s="387"/>
      <c r="M40" s="58"/>
      <c r="N40" s="58"/>
      <c r="O40" s="92"/>
      <c r="P40" s="388">
        <f>P39/$O39-1</f>
        <v>7.0686070686070579E-2</v>
      </c>
      <c r="Q40" s="388">
        <f>Q39/$O39-1</f>
        <v>4.9896049896049899E-2</v>
      </c>
      <c r="R40" s="388">
        <f>R39/$O39-1</f>
        <v>0</v>
      </c>
      <c r="S40" s="388">
        <f>S39/$O39-1</f>
        <v>-5.4054054054054057E-2</v>
      </c>
      <c r="T40" s="388">
        <f>T39/$O39-1</f>
        <v>-7.4844074844074848E-2</v>
      </c>
      <c r="U40" s="58"/>
      <c r="V40" s="350"/>
      <c r="W40" s="350"/>
      <c r="X40" s="350"/>
      <c r="Y40" s="350"/>
      <c r="Z40" s="350"/>
      <c r="AA40" s="350"/>
      <c r="AB40" s="350"/>
      <c r="AC40" s="350"/>
      <c r="AD40" s="350"/>
    </row>
    <row r="41" spans="3:30">
      <c r="D41" s="42"/>
      <c r="E41" s="42"/>
      <c r="F41" s="42"/>
      <c r="H41" s="58"/>
      <c r="I41" s="265"/>
      <c r="J41" s="387"/>
      <c r="K41" s="387"/>
      <c r="L41" s="387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0"/>
      <c r="W41" s="350"/>
      <c r="X41" s="350"/>
      <c r="Y41" s="350"/>
      <c r="Z41" s="350"/>
      <c r="AA41" s="350"/>
      <c r="AB41" s="350"/>
      <c r="AC41" s="350"/>
      <c r="AD41" s="350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7" t="e">
        <f>Options!#REF!</f>
        <v>#REF!</v>
      </c>
      <c r="K42" s="387" t="e">
        <f>Options!#REF!</f>
        <v>#REF!</v>
      </c>
      <c r="L42" s="387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0">
        <v>23.2</v>
      </c>
      <c r="W42" s="350">
        <v>22.9</v>
      </c>
      <c r="X42" s="350">
        <v>27.1</v>
      </c>
      <c r="Y42" s="350">
        <v>24.8</v>
      </c>
      <c r="Z42" s="350">
        <v>21.5</v>
      </c>
      <c r="AA42" s="350">
        <v>22</v>
      </c>
      <c r="AB42" s="350">
        <v>26.4</v>
      </c>
      <c r="AC42" s="350">
        <v>26.5</v>
      </c>
      <c r="AD42" s="350">
        <v>27.5</v>
      </c>
    </row>
    <row r="43" spans="3:30">
      <c r="D43" s="42"/>
      <c r="E43" s="42"/>
      <c r="F43" s="42"/>
      <c r="H43" s="58"/>
      <c r="I43" s="389"/>
      <c r="J43" s="390"/>
      <c r="K43" s="390"/>
      <c r="L43" s="390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1"/>
      <c r="W43" s="391">
        <f>W42-V42</f>
        <v>-0.30000000000000071</v>
      </c>
      <c r="X43" s="391"/>
      <c r="Y43" s="391">
        <f>Y42-X42</f>
        <v>-2.3000000000000007</v>
      </c>
      <c r="Z43" s="391"/>
      <c r="AA43" s="391">
        <f>AA42-Z42</f>
        <v>0.5</v>
      </c>
      <c r="AB43" s="391"/>
      <c r="AC43" s="391">
        <f>AC42-AB42</f>
        <v>0.10000000000000142</v>
      </c>
      <c r="AD43" s="391"/>
    </row>
    <row r="44" spans="3:30">
      <c r="D44" s="42"/>
      <c r="E44" s="42"/>
      <c r="F44" s="42"/>
      <c r="H44" s="58"/>
      <c r="I44" s="265"/>
      <c r="J44" s="387"/>
      <c r="K44" s="387"/>
      <c r="L44" s="387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0"/>
      <c r="W44" s="350"/>
      <c r="X44" s="350"/>
      <c r="Y44" s="350"/>
      <c r="Z44" s="350"/>
      <c r="AA44" s="350"/>
      <c r="AB44" s="350"/>
      <c r="AC44" s="350"/>
      <c r="AD44" s="350"/>
    </row>
    <row r="45" spans="3:30">
      <c r="D45" s="42"/>
      <c r="E45" s="42"/>
      <c r="F45" s="42"/>
      <c r="H45" s="58"/>
      <c r="I45" s="265"/>
      <c r="J45" s="387"/>
      <c r="K45" s="387"/>
      <c r="L45" s="387"/>
      <c r="M45" s="58"/>
      <c r="N45" s="58" t="s">
        <v>51</v>
      </c>
      <c r="O45" s="58"/>
      <c r="P45" s="349">
        <f>P44/$O44-1</f>
        <v>0.4838709677419355</v>
      </c>
      <c r="Q45" s="349">
        <f>Q44/$O44-1</f>
        <v>0.29032258064516125</v>
      </c>
      <c r="R45" s="349">
        <f>R44/$O44-1</f>
        <v>-0.12903225806451613</v>
      </c>
      <c r="S45" s="349">
        <f>S44/$O44-1</f>
        <v>-0.4838709677419355</v>
      </c>
      <c r="T45" s="349">
        <f>T44/$O44-1</f>
        <v>-0.58064516129032251</v>
      </c>
      <c r="U45" s="58"/>
      <c r="V45" s="350"/>
      <c r="W45" s="350"/>
      <c r="X45" s="350"/>
      <c r="Y45" s="350"/>
      <c r="Z45" s="350"/>
      <c r="AA45" s="350"/>
      <c r="AB45" s="350"/>
      <c r="AC45" s="350"/>
      <c r="AD45" s="350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873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0"/>
      <c r="W46" s="350"/>
      <c r="X46" s="350"/>
      <c r="Y46" s="350"/>
      <c r="Z46" s="350"/>
      <c r="AA46" s="350"/>
      <c r="AB46" s="350"/>
      <c r="AC46" s="350"/>
      <c r="AD46" s="350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931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0"/>
      <c r="W47" s="350"/>
      <c r="X47" s="350"/>
      <c r="Y47" s="350"/>
      <c r="Z47" s="350"/>
      <c r="AA47" s="350"/>
      <c r="AB47" s="350"/>
      <c r="AC47" s="350"/>
      <c r="AD47" s="350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1"/>
      <c r="W48" s="391"/>
      <c r="X48" s="391"/>
      <c r="Y48" s="391"/>
      <c r="Z48" s="391"/>
      <c r="AA48" s="391"/>
      <c r="AB48" s="391"/>
      <c r="AC48" s="391"/>
      <c r="AD48" s="391"/>
    </row>
    <row r="49" spans="8:30">
      <c r="H49" s="58"/>
      <c r="I49" s="58"/>
      <c r="J49" s="58"/>
      <c r="K49" s="58"/>
      <c r="L49" s="58"/>
      <c r="M49" s="58"/>
      <c r="N49" s="58"/>
      <c r="O49" s="58"/>
      <c r="P49" s="348" t="e">
        <f>P47/$I$42</f>
        <v>#REF!</v>
      </c>
      <c r="Q49" s="348" t="e">
        <f>Q47/$I$42</f>
        <v>#REF!</v>
      </c>
      <c r="R49" s="348" t="e">
        <f>R47/$I$42</f>
        <v>#REF!</v>
      </c>
      <c r="S49" s="348" t="e">
        <f>S47/$I$42</f>
        <v>#REF!</v>
      </c>
      <c r="T49" s="348" t="e">
        <f>T47/$I$42</f>
        <v>#REF!</v>
      </c>
      <c r="U49" s="58"/>
      <c r="V49" s="350"/>
      <c r="W49" s="350"/>
      <c r="X49" s="350"/>
      <c r="Y49" s="350"/>
      <c r="Z49" s="350"/>
      <c r="AA49" s="350"/>
      <c r="AB49" s="350"/>
      <c r="AC49" s="350"/>
      <c r="AD49" s="350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0"/>
      <c r="W50" s="350"/>
      <c r="X50" s="350"/>
      <c r="Y50" s="350"/>
      <c r="Z50" s="350"/>
      <c r="AA50" s="350"/>
      <c r="AB50" s="350"/>
      <c r="AC50" s="350"/>
      <c r="AD50" s="350"/>
    </row>
    <row r="51" spans="8:30" ht="15.75" thickBot="1">
      <c r="H51" s="58"/>
      <c r="I51" s="58"/>
      <c r="J51" s="58"/>
      <c r="K51" s="58"/>
      <c r="L51" s="58"/>
      <c r="M51" s="58"/>
      <c r="N51" s="392" t="s">
        <v>933</v>
      </c>
      <c r="O51" s="393"/>
      <c r="P51" s="394" t="e">
        <f>P47</f>
        <v>#REF!</v>
      </c>
      <c r="Q51" s="394" t="e">
        <f>Q47</f>
        <v>#REF!</v>
      </c>
      <c r="R51" s="394" t="e">
        <f>R47</f>
        <v>#REF!</v>
      </c>
      <c r="S51" s="394" t="e">
        <f>S47</f>
        <v>#REF!</v>
      </c>
      <c r="T51" s="394" t="e">
        <f>T47</f>
        <v>#REF!</v>
      </c>
      <c r="U51" s="58"/>
      <c r="V51" s="350"/>
      <c r="W51" s="350"/>
      <c r="X51" s="350"/>
      <c r="Y51" s="350"/>
      <c r="Z51" s="350"/>
      <c r="AA51" s="350"/>
      <c r="AB51" s="350"/>
      <c r="AC51" s="350"/>
      <c r="AD51" s="350"/>
    </row>
    <row r="54" spans="8:30">
      <c r="H54">
        <v>2.2000000000000002</v>
      </c>
    </row>
    <row r="55" spans="8:30">
      <c r="H55">
        <v>1.8</v>
      </c>
    </row>
    <row r="57" spans="8:30">
      <c r="I57" t="s">
        <v>957</v>
      </c>
    </row>
    <row r="58" spans="8:30">
      <c r="H58" t="s">
        <v>956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957</v>
      </c>
      <c r="J64" s="42"/>
      <c r="K64" s="42"/>
      <c r="L64" s="42"/>
    </row>
    <row r="65" spans="8:9">
      <c r="H65" t="s">
        <v>956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5"/>
      <c r="F3" s="6" t="s">
        <v>642</v>
      </c>
      <c r="K3" s="6" t="s">
        <v>643</v>
      </c>
      <c r="M3" s="6" t="s">
        <v>644</v>
      </c>
    </row>
    <row r="4" spans="4:15">
      <c r="D4" s="6" t="s">
        <v>631</v>
      </c>
      <c r="E4" s="315" t="s">
        <v>632</v>
      </c>
      <c r="F4" s="6" t="s">
        <v>636</v>
      </c>
      <c r="G4" s="6" t="s">
        <v>637</v>
      </c>
      <c r="H4" s="6"/>
      <c r="I4" s="6" t="s">
        <v>624</v>
      </c>
      <c r="J4" s="6" t="s">
        <v>633</v>
      </c>
      <c r="K4" s="6" t="s">
        <v>637</v>
      </c>
      <c r="L4" s="6"/>
      <c r="M4" s="6" t="s">
        <v>634</v>
      </c>
    </row>
    <row r="5" spans="4:15">
      <c r="D5" t="s">
        <v>630</v>
      </c>
      <c r="E5" s="79">
        <v>45960</v>
      </c>
      <c r="F5" s="196">
        <v>140</v>
      </c>
      <c r="G5" s="196" t="s">
        <v>641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640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635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638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639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3" t="s">
        <v>627</v>
      </c>
      <c r="F6" s="56" t="s">
        <v>626</v>
      </c>
      <c r="G6" s="313" t="s">
        <v>627</v>
      </c>
      <c r="H6" s="313" t="s">
        <v>628</v>
      </c>
      <c r="J6" s="56"/>
      <c r="K6" s="56"/>
      <c r="L6" s="56" t="s">
        <v>625</v>
      </c>
      <c r="M6" s="313" t="s">
        <v>627</v>
      </c>
      <c r="N6" s="56" t="s">
        <v>626</v>
      </c>
      <c r="O6" s="313" t="s">
        <v>627</v>
      </c>
      <c r="P6" s="56" t="s">
        <v>629</v>
      </c>
      <c r="Q6" s="313" t="s">
        <v>627</v>
      </c>
      <c r="R6" s="313" t="s">
        <v>628</v>
      </c>
      <c r="T6" s="56"/>
      <c r="U6" s="56"/>
      <c r="V6" s="56" t="s">
        <v>625</v>
      </c>
      <c r="W6" s="313" t="s">
        <v>627</v>
      </c>
      <c r="X6" s="56" t="s">
        <v>626</v>
      </c>
      <c r="Y6" s="313" t="s">
        <v>627</v>
      </c>
      <c r="Z6" s="56" t="s">
        <v>629</v>
      </c>
      <c r="AA6" s="313" t="s">
        <v>627</v>
      </c>
      <c r="AB6" s="313" t="s">
        <v>628</v>
      </c>
    </row>
    <row r="7" spans="2:28">
      <c r="B7" t="s">
        <v>623</v>
      </c>
      <c r="C7" s="311">
        <v>45658</v>
      </c>
      <c r="D7">
        <v>30</v>
      </c>
      <c r="E7" s="312">
        <f>D7/15.9</f>
        <v>1.8867924528301887</v>
      </c>
      <c r="F7">
        <v>45</v>
      </c>
      <c r="G7" s="312">
        <f>F7/15.9</f>
        <v>2.8301886792452828</v>
      </c>
      <c r="H7" s="314">
        <v>1.55</v>
      </c>
      <c r="J7" t="s">
        <v>623</v>
      </c>
      <c r="K7" s="311">
        <v>45658</v>
      </c>
      <c r="L7">
        <v>31.5</v>
      </c>
      <c r="M7" s="312">
        <f>L7/15.9</f>
        <v>1.9811320754716981</v>
      </c>
      <c r="N7">
        <v>23</v>
      </c>
      <c r="O7" s="312">
        <f>N7/15.9</f>
        <v>1.4465408805031446</v>
      </c>
      <c r="P7">
        <v>43</v>
      </c>
      <c r="Q7" s="312">
        <f>P7/15.9</f>
        <v>2.7044025157232703</v>
      </c>
      <c r="R7" s="314">
        <v>-6.2</v>
      </c>
      <c r="T7" t="s">
        <v>623</v>
      </c>
      <c r="U7" s="311">
        <v>45658</v>
      </c>
      <c r="V7">
        <v>31.5</v>
      </c>
      <c r="W7" s="312">
        <f>V7/15.9</f>
        <v>1.9811320754716981</v>
      </c>
      <c r="X7">
        <v>23</v>
      </c>
      <c r="Y7" s="312">
        <f>X7/15.9</f>
        <v>1.4465408805031446</v>
      </c>
      <c r="Z7">
        <v>43</v>
      </c>
      <c r="AA7" s="312">
        <f>Z7/15.9</f>
        <v>2.7044025157232703</v>
      </c>
      <c r="AB7" s="314">
        <v>-6.2</v>
      </c>
    </row>
    <row r="8" spans="2:28">
      <c r="B8" t="s">
        <v>620</v>
      </c>
      <c r="C8" s="311">
        <v>45748</v>
      </c>
      <c r="D8">
        <v>67</v>
      </c>
      <c r="E8" s="312">
        <f>D8/15.9</f>
        <v>4.2138364779874209</v>
      </c>
      <c r="F8">
        <v>47</v>
      </c>
      <c r="G8" s="312">
        <f>F8/15.9</f>
        <v>2.9559748427672954</v>
      </c>
      <c r="H8" s="314">
        <v>4.2300000000000004</v>
      </c>
      <c r="J8" t="s">
        <v>620</v>
      </c>
      <c r="K8" s="311">
        <v>45748</v>
      </c>
      <c r="L8">
        <v>41.2</v>
      </c>
      <c r="M8" s="312">
        <f>L8/15.9</f>
        <v>2.5911949685534594</v>
      </c>
      <c r="N8">
        <v>32</v>
      </c>
      <c r="O8" s="312">
        <f t="shared" ref="O8:Q10" si="0">N8/15.9</f>
        <v>2.0125786163522013</v>
      </c>
      <c r="P8">
        <v>32</v>
      </c>
      <c r="Q8" s="312">
        <f t="shared" si="0"/>
        <v>2.0125786163522013</v>
      </c>
      <c r="R8" s="314">
        <v>7.6</v>
      </c>
      <c r="T8" t="s">
        <v>620</v>
      </c>
      <c r="U8" s="311">
        <v>45748</v>
      </c>
      <c r="V8">
        <v>41.2</v>
      </c>
      <c r="W8" s="312">
        <f>V8/15.9</f>
        <v>2.5911949685534594</v>
      </c>
      <c r="X8">
        <v>32</v>
      </c>
      <c r="Y8" s="312">
        <f>X8/15.9</f>
        <v>2.0125786163522013</v>
      </c>
      <c r="Z8">
        <v>32</v>
      </c>
      <c r="AA8" s="312">
        <f>Z8/15.9</f>
        <v>2.0125786163522013</v>
      </c>
      <c r="AB8" s="314">
        <v>7.6</v>
      </c>
    </row>
    <row r="9" spans="2:28">
      <c r="B9" t="s">
        <v>621</v>
      </c>
      <c r="C9" s="311">
        <v>45839</v>
      </c>
      <c r="D9">
        <v>21</v>
      </c>
      <c r="E9" s="312">
        <f>D9/15.9</f>
        <v>1.320754716981132</v>
      </c>
      <c r="F9">
        <v>36</v>
      </c>
      <c r="G9" s="312">
        <f>F9/15.9</f>
        <v>2.2641509433962264</v>
      </c>
      <c r="H9" s="314">
        <v>11.25</v>
      </c>
      <c r="J9" t="s">
        <v>621</v>
      </c>
      <c r="K9" s="311">
        <v>45839</v>
      </c>
      <c r="L9">
        <v>11.5</v>
      </c>
      <c r="M9" s="312">
        <f>L9/15.9</f>
        <v>0.72327044025157228</v>
      </c>
      <c r="N9">
        <v>23</v>
      </c>
      <c r="O9" s="312">
        <f t="shared" si="0"/>
        <v>1.4465408805031446</v>
      </c>
      <c r="P9">
        <v>23</v>
      </c>
      <c r="Q9" s="312">
        <f t="shared" si="0"/>
        <v>1.4465408805031446</v>
      </c>
      <c r="R9" s="314">
        <v>3.95</v>
      </c>
      <c r="T9" t="s">
        <v>621</v>
      </c>
      <c r="U9" s="311">
        <v>45839</v>
      </c>
      <c r="V9">
        <v>11.5</v>
      </c>
      <c r="W9" s="312">
        <f>V9/15.9</f>
        <v>0.72327044025157228</v>
      </c>
      <c r="X9">
        <v>23</v>
      </c>
      <c r="Y9" s="312">
        <f>X9/15.9</f>
        <v>1.4465408805031446</v>
      </c>
      <c r="Z9">
        <v>23</v>
      </c>
      <c r="AA9" s="312">
        <f>Z9/15.9</f>
        <v>1.4465408805031446</v>
      </c>
      <c r="AB9" s="314">
        <v>3.95</v>
      </c>
    </row>
    <row r="10" spans="2:28">
      <c r="B10" t="s">
        <v>622</v>
      </c>
      <c r="C10" s="311">
        <v>45931</v>
      </c>
      <c r="D10">
        <v>23</v>
      </c>
      <c r="E10" s="312">
        <f>D10/15.9</f>
        <v>1.4465408805031446</v>
      </c>
      <c r="F10">
        <v>41</v>
      </c>
      <c r="G10" s="312">
        <f>F10/15.9</f>
        <v>2.5786163522012577</v>
      </c>
      <c r="H10" s="314">
        <v>-11.33</v>
      </c>
      <c r="J10" t="s">
        <v>622</v>
      </c>
      <c r="K10" s="311">
        <v>45931</v>
      </c>
      <c r="L10">
        <v>15.1</v>
      </c>
      <c r="M10" s="312">
        <f>L10/15.9</f>
        <v>0.94968553459119498</v>
      </c>
      <c r="N10">
        <v>30</v>
      </c>
      <c r="O10" s="312">
        <f t="shared" si="0"/>
        <v>1.8867924528301887</v>
      </c>
      <c r="P10">
        <v>30</v>
      </c>
      <c r="Q10" s="312">
        <f t="shared" si="0"/>
        <v>1.8867924528301887</v>
      </c>
      <c r="R10" s="314">
        <v>-2.9</v>
      </c>
      <c r="T10" t="s">
        <v>622</v>
      </c>
      <c r="U10" s="311">
        <v>45931</v>
      </c>
      <c r="V10">
        <v>15.1</v>
      </c>
      <c r="W10" s="312">
        <f>V10/15.9</f>
        <v>0.94968553459119498</v>
      </c>
      <c r="X10">
        <v>30</v>
      </c>
      <c r="Y10" s="312">
        <f>X10/15.9</f>
        <v>1.8867924528301887</v>
      </c>
      <c r="Z10">
        <v>30</v>
      </c>
      <c r="AA10" s="312">
        <f>Z10/15.9</f>
        <v>1.8867924528301887</v>
      </c>
      <c r="AB10" s="314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1" zoomScale="80" zoomScaleNormal="80" zoomScaleSheetLayoutView="85" workbookViewId="0">
      <selection activeCell="H46" sqref="H46"/>
    </sheetView>
  </sheetViews>
  <sheetFormatPr defaultColWidth="9.140625" defaultRowHeight="15.75" outlineLevelCol="1"/>
  <cols>
    <col min="1" max="1" width="18.5703125" style="210" bestFit="1" customWidth="1"/>
    <col min="2" max="2" width="10.140625" style="211" bestFit="1" customWidth="1" outlineLevel="1"/>
    <col min="3" max="5" width="9.28515625" style="212" customWidth="1" outlineLevel="1"/>
    <col min="6" max="6" width="8.710937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1.3752247433223643</v>
      </c>
      <c r="F4" s="212">
        <f>'Master P&amp;L'!U5</f>
        <v>2.9893349399272958E-2</v>
      </c>
    </row>
    <row r="5" spans="1:28">
      <c r="A5" s="225" t="s">
        <v>13</v>
      </c>
      <c r="C5" s="226">
        <f>'Master P&amp;L'!V6</f>
        <v>0.40304862056393748</v>
      </c>
      <c r="F5" s="212">
        <f>'Master P&amp;L'!U6</f>
        <v>-3.1735848204411693E-2</v>
      </c>
    </row>
    <row r="6" spans="1:28" s="232" customFormat="1">
      <c r="A6" s="227" t="s">
        <v>14</v>
      </c>
      <c r="B6" s="228"/>
      <c r="C6" s="229">
        <f>'Master P&amp;L'!V7</f>
        <v>1.7782733638863018</v>
      </c>
      <c r="D6" s="230"/>
      <c r="E6" s="230"/>
      <c r="F6" s="230">
        <f>'Master P&amp;L'!U7</f>
        <v>-1.8424988051387349E-3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6.1629197603684654E-2</v>
      </c>
    </row>
    <row r="8" spans="1:28">
      <c r="A8" s="234" t="s">
        <v>16</v>
      </c>
      <c r="B8" s="235"/>
      <c r="C8" s="236">
        <f>'Master P&amp;L'!V7*'Master P&amp;L'!AD5/10000</f>
        <v>421550.45181652391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2202348.1804702478</v>
      </c>
      <c r="D9" s="240"/>
      <c r="E9" s="240"/>
      <c r="F9" s="240"/>
      <c r="G9" s="241"/>
      <c r="H9" s="240"/>
    </row>
    <row r="10" spans="1:28">
      <c r="A10" s="353" t="s">
        <v>785</v>
      </c>
      <c r="B10" s="356">
        <f>Options!AI1</f>
        <v>-28.062615202219671</v>
      </c>
      <c r="H10" s="219"/>
    </row>
    <row r="11" spans="1:28">
      <c r="A11" s="242">
        <f ca="1">TODAY()</f>
        <v>46072</v>
      </c>
      <c r="H11" s="219"/>
      <c r="L11" s="212"/>
    </row>
    <row r="12" spans="1:28" s="291" customFormat="1" ht="47.25">
      <c r="A12" s="291" t="s">
        <v>20</v>
      </c>
      <c r="B12" s="554" t="s">
        <v>21</v>
      </c>
      <c r="C12" s="558" t="s">
        <v>22</v>
      </c>
      <c r="D12" s="558" t="s">
        <v>23</v>
      </c>
      <c r="E12" s="558" t="s">
        <v>24</v>
      </c>
      <c r="F12" s="558" t="s">
        <v>25</v>
      </c>
      <c r="G12" s="292"/>
      <c r="H12" s="292"/>
      <c r="I12" s="292"/>
      <c r="L12" s="243"/>
      <c r="AA12" s="293"/>
      <c r="AB12" s="293"/>
    </row>
    <row r="13" spans="1:28">
      <c r="A13" s="210" t="s">
        <v>572</v>
      </c>
      <c r="B13" s="555">
        <v>-5.0637207489923064E-3</v>
      </c>
      <c r="C13" s="557">
        <v>-3.2468619833082399E-2</v>
      </c>
      <c r="D13" s="244">
        <v>6.4853646612164477E-4</v>
      </c>
      <c r="E13" s="244">
        <v>0</v>
      </c>
      <c r="F13" s="244">
        <v>6.4853646612164477E-4</v>
      </c>
      <c r="G13" s="219"/>
      <c r="H13" s="219"/>
      <c r="L13" s="244"/>
    </row>
    <row r="14" spans="1:28">
      <c r="A14" s="556" t="s">
        <v>7</v>
      </c>
      <c r="B14" s="555">
        <v>-5.4395765951189556E-3</v>
      </c>
      <c r="C14" s="557">
        <v>-7.8415901125009121E-3</v>
      </c>
      <c r="D14" s="244">
        <v>1.4337393813802719E-4</v>
      </c>
      <c r="E14" s="244">
        <v>0</v>
      </c>
      <c r="F14" s="244">
        <v>1.4337393813802719E-4</v>
      </c>
      <c r="G14" s="219"/>
      <c r="H14" s="219"/>
      <c r="I14" s="213"/>
      <c r="L14" s="244"/>
    </row>
    <row r="15" spans="1:28">
      <c r="A15" s="556" t="s">
        <v>800</v>
      </c>
      <c r="B15" s="555">
        <v>-4.1343294407775177E-3</v>
      </c>
      <c r="C15" s="557">
        <v>-1.0838388758677845E-2</v>
      </c>
      <c r="D15" s="244">
        <v>2.6107206606429585E-4</v>
      </c>
      <c r="E15" s="244">
        <v>0</v>
      </c>
      <c r="F15" s="244">
        <v>2.6107206606429585E-4</v>
      </c>
      <c r="G15" s="219"/>
      <c r="H15" s="219"/>
      <c r="I15" s="213"/>
      <c r="L15" s="244"/>
    </row>
    <row r="16" spans="1:28">
      <c r="A16" s="556" t="s">
        <v>334</v>
      </c>
      <c r="B16" s="555">
        <v>-5.6172562110804458E-3</v>
      </c>
      <c r="C16" s="557">
        <v>-1.3788640961903643E-2</v>
      </c>
      <c r="D16" s="244">
        <v>2.4409046191932172E-4</v>
      </c>
      <c r="E16" s="244">
        <v>0</v>
      </c>
      <c r="F16" s="244">
        <v>2.4409046191932172E-4</v>
      </c>
      <c r="G16" s="219"/>
      <c r="H16" s="219"/>
      <c r="I16" s="213"/>
      <c r="L16" s="244"/>
    </row>
    <row r="17" spans="1:12">
      <c r="A17" s="210" t="s">
        <v>26</v>
      </c>
      <c r="B17" s="555">
        <v>-1.1787500447333714E-3</v>
      </c>
      <c r="C17" s="557">
        <v>-0.22738432556583185</v>
      </c>
      <c r="D17" s="244">
        <v>-2.1685730280000183E-2</v>
      </c>
      <c r="E17" s="244">
        <v>-2.9179606626385628E-3</v>
      </c>
      <c r="F17" s="244">
        <v>-2.4603690942638746E-2</v>
      </c>
      <c r="G17" s="219"/>
      <c r="H17" s="219"/>
      <c r="I17" s="213"/>
      <c r="L17" s="244"/>
    </row>
    <row r="18" spans="1:12">
      <c r="A18" s="556" t="s">
        <v>82</v>
      </c>
      <c r="B18" s="555">
        <v>-2.9878340679112547E-3</v>
      </c>
      <c r="C18" s="557">
        <v>-7.9227988002032013E-2</v>
      </c>
      <c r="D18" s="244">
        <v>0</v>
      </c>
      <c r="E18" s="244">
        <v>-2.9179606626385628E-3</v>
      </c>
      <c r="F18" s="244">
        <v>-2.9179606626385628E-3</v>
      </c>
      <c r="G18" s="219"/>
      <c r="H18" s="219"/>
      <c r="I18" s="213"/>
      <c r="L18" s="244"/>
    </row>
    <row r="19" spans="1:12">
      <c r="A19" s="556" t="s">
        <v>573</v>
      </c>
      <c r="B19" s="555">
        <v>-2.7420803314442965E-4</v>
      </c>
      <c r="C19" s="557">
        <v>-0.14815633756379984</v>
      </c>
      <c r="D19" s="244">
        <v>-2.1685730280000183E-2</v>
      </c>
      <c r="E19" s="244"/>
      <c r="F19" s="244">
        <v>-2.1685730280000183E-2</v>
      </c>
      <c r="G19" s="219"/>
      <c r="H19" s="219"/>
      <c r="I19" s="213"/>
      <c r="L19" s="244"/>
    </row>
    <row r="20" spans="1:12">
      <c r="A20" s="210" t="s">
        <v>797</v>
      </c>
      <c r="B20" s="555">
        <v>6.1427457098284233E-3</v>
      </c>
      <c r="C20" s="557">
        <v>3.720811730335203E-2</v>
      </c>
      <c r="D20" s="244">
        <v>6.0944533722744813E-4</v>
      </c>
      <c r="E20" s="244">
        <v>0</v>
      </c>
      <c r="F20" s="244">
        <v>6.0944533722744813E-4</v>
      </c>
      <c r="G20" s="219"/>
      <c r="H20" s="219"/>
      <c r="L20" s="244"/>
    </row>
    <row r="21" spans="1:12">
      <c r="A21" s="556" t="s">
        <v>78</v>
      </c>
      <c r="B21" s="555">
        <v>6.1427457098284233E-3</v>
      </c>
      <c r="C21" s="557">
        <v>3.720811730335203E-2</v>
      </c>
      <c r="D21" s="244">
        <v>6.0944533722744813E-4</v>
      </c>
      <c r="E21" s="244">
        <v>0</v>
      </c>
      <c r="F21" s="244">
        <v>6.0944533722744813E-4</v>
      </c>
      <c r="G21" s="219"/>
      <c r="H21" s="219"/>
      <c r="I21" s="213"/>
      <c r="L21" s="244"/>
    </row>
    <row r="22" spans="1:12">
      <c r="A22" s="210" t="s">
        <v>545</v>
      </c>
      <c r="B22" s="555">
        <v>-2.5393989639736492E-3</v>
      </c>
      <c r="C22" s="557">
        <v>8.6249766508682296E-2</v>
      </c>
      <c r="D22" s="244">
        <v>6.0117627823896881E-3</v>
      </c>
      <c r="E22" s="244">
        <v>8.3499756639130104E-3</v>
      </c>
      <c r="F22" s="244">
        <v>1.43617384463027E-2</v>
      </c>
      <c r="G22" s="219"/>
      <c r="H22" s="219"/>
      <c r="L22" s="244"/>
    </row>
    <row r="23" spans="1:12">
      <c r="A23" s="556" t="s">
        <v>42</v>
      </c>
      <c r="B23" s="555">
        <v>-3.511011809766984E-3</v>
      </c>
      <c r="C23" s="557">
        <v>-0.26953440746279195</v>
      </c>
      <c r="D23" s="244">
        <v>4.1532501315044964E-3</v>
      </c>
      <c r="E23" s="244">
        <v>2.2571242976922399E-3</v>
      </c>
      <c r="F23" s="244">
        <v>6.4103744291967362E-3</v>
      </c>
      <c r="G23" s="219">
        <v>5.0000000000000001E-3</v>
      </c>
      <c r="H23" s="219"/>
      <c r="J23" s="244"/>
      <c r="L23" s="244"/>
    </row>
    <row r="24" spans="1:12">
      <c r="A24" s="556" t="s">
        <v>44</v>
      </c>
      <c r="B24" s="555">
        <v>-2.5534146745431752E-3</v>
      </c>
      <c r="C24" s="557">
        <v>0.15256339439641287</v>
      </c>
      <c r="D24" s="244">
        <v>0</v>
      </c>
      <c r="E24" s="244">
        <v>5.7357964701116601E-3</v>
      </c>
      <c r="F24" s="244">
        <v>5.7357964701116601E-3</v>
      </c>
      <c r="G24" s="219">
        <v>5.0000000000000001E-3</v>
      </c>
      <c r="H24" s="219"/>
      <c r="L24" s="244"/>
    </row>
    <row r="25" spans="1:12">
      <c r="A25" s="556" t="s">
        <v>84</v>
      </c>
      <c r="B25" s="555">
        <v>1.0179604809450904E-2</v>
      </c>
      <c r="C25" s="557">
        <v>0.24206626209245741</v>
      </c>
      <c r="D25" s="244">
        <v>1.7016344627363176E-3</v>
      </c>
      <c r="E25" s="244">
        <v>3.1635654367095987E-4</v>
      </c>
      <c r="F25" s="244">
        <v>2.0179910064072777E-3</v>
      </c>
      <c r="G25" s="219"/>
      <c r="H25" s="219"/>
      <c r="L25" s="244"/>
    </row>
    <row r="26" spans="1:12">
      <c r="A26" s="556" t="s">
        <v>433</v>
      </c>
      <c r="B26" s="555">
        <v>0</v>
      </c>
      <c r="C26" s="557">
        <v>0</v>
      </c>
      <c r="D26" s="244">
        <v>4.3213523318505416E-4</v>
      </c>
      <c r="E26" s="244">
        <v>0</v>
      </c>
      <c r="F26" s="244">
        <v>4.3213523318505416E-4</v>
      </c>
      <c r="G26" s="219"/>
      <c r="H26" s="219"/>
      <c r="L26" s="244"/>
    </row>
    <row r="27" spans="1:12">
      <c r="A27" s="556" t="s">
        <v>85</v>
      </c>
      <c r="B27" s="555">
        <v>-1.643697053989257E-3</v>
      </c>
      <c r="C27" s="557">
        <v>1.1662359833899356E-2</v>
      </c>
      <c r="D27" s="244">
        <v>-2.7525704503617964E-4</v>
      </c>
      <c r="E27" s="244">
        <v>-2.0944008291121774E-4</v>
      </c>
      <c r="F27" s="244">
        <v>-4.8469712794739739E-4</v>
      </c>
      <c r="G27" s="219"/>
      <c r="H27" s="219"/>
      <c r="L27" s="244"/>
    </row>
    <row r="28" spans="1:12">
      <c r="A28" s="556" t="s">
        <v>342</v>
      </c>
      <c r="B28" s="555">
        <v>-1.7707875054993383E-2</v>
      </c>
      <c r="C28" s="557">
        <v>-5.0507842351295379E-2</v>
      </c>
      <c r="D28" s="244">
        <v>0</v>
      </c>
      <c r="E28" s="244">
        <v>2.5013843534936778E-4</v>
      </c>
      <c r="F28" s="244">
        <v>2.5013843534936778E-4</v>
      </c>
      <c r="G28" s="219">
        <v>0</v>
      </c>
      <c r="H28" s="219"/>
      <c r="L28" s="244"/>
    </row>
    <row r="29" spans="1:12">
      <c r="A29" s="210" t="s">
        <v>796</v>
      </c>
      <c r="B29" s="555">
        <v>1.9033128624875901E-2</v>
      </c>
      <c r="C29" s="557">
        <v>0.58355950371599585</v>
      </c>
      <c r="D29" s="244">
        <v>2.7603375816384061E-3</v>
      </c>
      <c r="E29" s="244">
        <v>0</v>
      </c>
      <c r="F29" s="244">
        <v>2.7603375816384061E-3</v>
      </c>
      <c r="G29" s="219"/>
      <c r="H29" s="219"/>
      <c r="L29" s="244"/>
    </row>
    <row r="30" spans="1:12">
      <c r="A30" s="556" t="s">
        <v>425</v>
      </c>
      <c r="B30" s="555">
        <v>9.4565462418065849E-3</v>
      </c>
      <c r="C30" s="557">
        <v>0.35004256129496175</v>
      </c>
      <c r="D30" s="244">
        <v>1.6283272813126623E-3</v>
      </c>
      <c r="E30" s="244">
        <v>0</v>
      </c>
      <c r="F30" s="244">
        <v>1.6283272813126623E-3</v>
      </c>
      <c r="G30" s="219">
        <v>1.5E-3</v>
      </c>
      <c r="H30" s="219"/>
      <c r="I30" s="213"/>
      <c r="L30" s="244"/>
    </row>
    <row r="31" spans="1:12">
      <c r="A31" s="556" t="s">
        <v>432</v>
      </c>
      <c r="B31" s="555">
        <v>4.5146726862301811E-3</v>
      </c>
      <c r="C31" s="557">
        <v>1.7061047118406777E-2</v>
      </c>
      <c r="D31" s="244">
        <v>3.7960829838455082E-4</v>
      </c>
      <c r="E31" s="244">
        <v>0</v>
      </c>
      <c r="F31" s="244">
        <v>3.7960829838455082E-4</v>
      </c>
      <c r="G31" s="219"/>
      <c r="H31" s="219"/>
      <c r="I31" s="213"/>
      <c r="L31" s="244"/>
    </row>
    <row r="32" spans="1:12">
      <c r="A32" s="556" t="s">
        <v>523</v>
      </c>
      <c r="B32" s="555">
        <v>8.8967971530249379E-3</v>
      </c>
      <c r="C32" s="557">
        <v>2.0030084108942057E-2</v>
      </c>
      <c r="D32" s="244">
        <v>2.2714115379540299E-4</v>
      </c>
      <c r="E32" s="244">
        <v>0</v>
      </c>
      <c r="F32" s="244">
        <v>2.2714115379540299E-4</v>
      </c>
      <c r="G32" s="219"/>
      <c r="H32" s="219"/>
      <c r="L32" s="244"/>
    </row>
    <row r="33" spans="1:28">
      <c r="A33" s="556" t="s">
        <v>952</v>
      </c>
      <c r="B33" s="555">
        <v>3.5635964912280604E-2</v>
      </c>
      <c r="C33" s="557">
        <v>0.12558371535333973</v>
      </c>
      <c r="D33" s="244">
        <v>3.64965597388398E-4</v>
      </c>
      <c r="E33" s="244">
        <v>0</v>
      </c>
      <c r="F33" s="244">
        <v>3.64965597388398E-4</v>
      </c>
      <c r="G33" s="219"/>
      <c r="H33" s="219"/>
      <c r="I33" s="213"/>
      <c r="L33" s="244"/>
    </row>
    <row r="34" spans="1:28">
      <c r="A34" s="556" t="s">
        <v>1035</v>
      </c>
      <c r="B34" s="555">
        <v>4.6238244514106519E-2</v>
      </c>
      <c r="C34" s="557">
        <v>7.0842095840345495E-2</v>
      </c>
      <c r="D34" s="244">
        <v>1.6029525075739192E-4</v>
      </c>
      <c r="E34" s="244">
        <v>0</v>
      </c>
      <c r="F34" s="244">
        <v>1.6029525075739192E-4</v>
      </c>
      <c r="G34" s="219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210" t="s">
        <v>729</v>
      </c>
      <c r="B35" s="555">
        <v>1.1416342629935109E-2</v>
      </c>
      <c r="C35" s="557">
        <v>0.52552097560850153</v>
      </c>
      <c r="D35" s="244">
        <v>3.2668281889506722E-3</v>
      </c>
      <c r="E35" s="244">
        <v>3.5368598978492504E-4</v>
      </c>
      <c r="F35" s="244">
        <v>3.6205141787355967E-3</v>
      </c>
      <c r="G35" s="219"/>
      <c r="H35" s="219"/>
      <c r="I35" s="213"/>
      <c r="L35" s="244"/>
    </row>
    <row r="36" spans="1:28">
      <c r="A36" s="556" t="s">
        <v>728</v>
      </c>
      <c r="B36" s="555">
        <v>4.0689260593006482E-2</v>
      </c>
      <c r="C36" s="557">
        <v>0.59945678352067611</v>
      </c>
      <c r="D36" s="244">
        <v>9.8607985761203039E-4</v>
      </c>
      <c r="E36" s="244">
        <v>4.4158875259982244E-4</v>
      </c>
      <c r="F36" s="244">
        <v>1.4276686102118528E-3</v>
      </c>
      <c r="G36" s="219">
        <v>0.1</v>
      </c>
      <c r="H36" s="219"/>
      <c r="I36" s="213"/>
      <c r="L36" s="244"/>
    </row>
    <row r="37" spans="1:28">
      <c r="A37" s="556" t="s">
        <v>890</v>
      </c>
      <c r="B37" s="555">
        <v>-1.2790995139433381E-4</v>
      </c>
      <c r="C37" s="557">
        <v>-1.0904397497398202E-2</v>
      </c>
      <c r="D37" s="244">
        <v>1.2885060415918248E-3</v>
      </c>
      <c r="E37" s="244">
        <v>-8.7902762814897389E-5</v>
      </c>
      <c r="F37" s="244">
        <v>1.2006032787769275E-3</v>
      </c>
      <c r="G37" s="219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56" t="s">
        <v>1066</v>
      </c>
      <c r="B38" s="555">
        <v>-6.3123227518068203E-3</v>
      </c>
      <c r="C38" s="557">
        <v>-6.303141041477639E-2</v>
      </c>
      <c r="D38" s="244">
        <v>9.9224228974681655E-4</v>
      </c>
      <c r="E38" s="244">
        <v>0</v>
      </c>
      <c r="F38" s="244">
        <v>9.9224228974681655E-4</v>
      </c>
      <c r="G38" s="219">
        <v>0.05</v>
      </c>
      <c r="H38" s="219"/>
      <c r="I38" s="213"/>
      <c r="L38" s="244"/>
      <c r="AA38" s="247"/>
      <c r="AB38" s="247"/>
    </row>
    <row r="39" spans="1:28">
      <c r="A39" s="210" t="s">
        <v>791</v>
      </c>
      <c r="B39" s="555">
        <v>7.439485451867167E-3</v>
      </c>
      <c r="C39" s="557">
        <v>0.24025709098643205</v>
      </c>
      <c r="D39" s="244">
        <v>2.8907198374800089E-3</v>
      </c>
      <c r="E39" s="244">
        <v>0</v>
      </c>
      <c r="F39" s="244">
        <v>2.8907198374800089E-3</v>
      </c>
      <c r="G39" s="219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56" t="s">
        <v>790</v>
      </c>
      <c r="B40" s="555">
        <v>-2.2595222724338671E-3</v>
      </c>
      <c r="C40" s="557">
        <v>-4.1594693701066969E-3</v>
      </c>
      <c r="D40" s="244">
        <v>1.8367028318571068E-4</v>
      </c>
      <c r="E40" s="244">
        <v>0</v>
      </c>
      <c r="F40" s="244">
        <v>1.8367028318571068E-4</v>
      </c>
      <c r="G40" s="219"/>
      <c r="H40" s="219"/>
      <c r="L40" s="244"/>
    </row>
    <row r="41" spans="1:28">
      <c r="A41" s="556" t="s">
        <v>970</v>
      </c>
      <c r="B41" s="555">
        <v>-4.0892708622123353E-3</v>
      </c>
      <c r="C41" s="557">
        <v>-6.2287063467497863E-2</v>
      </c>
      <c r="D41" s="244">
        <v>1.516953923668596E-3</v>
      </c>
      <c r="E41" s="244">
        <v>0</v>
      </c>
      <c r="F41" s="244">
        <v>1.516953923668596E-3</v>
      </c>
      <c r="G41" s="219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56" t="s">
        <v>1030</v>
      </c>
      <c r="B42" s="555">
        <v>3.8756882063170073E-2</v>
      </c>
      <c r="C42" s="557">
        <v>0.26811880138716676</v>
      </c>
      <c r="D42" s="244">
        <v>7.1860850338141709E-4</v>
      </c>
      <c r="E42" s="244">
        <v>0</v>
      </c>
      <c r="F42" s="244">
        <v>7.1860850338141709E-4</v>
      </c>
      <c r="G42" s="219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56" t="s">
        <v>1031</v>
      </c>
      <c r="B43" s="555">
        <v>1.9790838480826967E-2</v>
      </c>
      <c r="C43" s="557">
        <v>6.1852101813366582E-2</v>
      </c>
      <c r="D43" s="244">
        <v>3.1871417085820725E-4</v>
      </c>
      <c r="E43" s="244">
        <v>0</v>
      </c>
      <c r="F43" s="244">
        <v>3.1871417085820725E-4</v>
      </c>
      <c r="G43" s="219"/>
      <c r="H43" s="219"/>
      <c r="I43" s="213"/>
      <c r="J43" s="486"/>
      <c r="L43" s="244"/>
    </row>
    <row r="44" spans="1:28">
      <c r="A44" s="556" t="s">
        <v>1041</v>
      </c>
      <c r="B44" s="555">
        <v>-1.5001500150015001E-2</v>
      </c>
      <c r="C44" s="557">
        <v>-2.3267279376496749E-2</v>
      </c>
      <c r="D44" s="244">
        <v>1.5277295638607764E-4</v>
      </c>
      <c r="E44" s="244">
        <v>0</v>
      </c>
      <c r="F44" s="244">
        <v>1.5277295638607764E-4</v>
      </c>
      <c r="G44" s="219"/>
      <c r="H44" s="219"/>
      <c r="I44" s="213"/>
      <c r="L44" s="244"/>
      <c r="S44" s="245"/>
      <c r="T44" s="245"/>
      <c r="U44" s="245"/>
    </row>
    <row r="45" spans="1:28">
      <c r="A45" s="210" t="s">
        <v>830</v>
      </c>
      <c r="B45" s="555">
        <v>2.3142922628317242E-3</v>
      </c>
      <c r="C45" s="557">
        <v>0.18777013349484739</v>
      </c>
      <c r="D45" s="244">
        <v>3.8306553737939494E-3</v>
      </c>
      <c r="E45" s="244">
        <v>9.7696356850762766E-4</v>
      </c>
      <c r="F45" s="244">
        <v>4.8076189423015775E-3</v>
      </c>
      <c r="G45" s="219"/>
      <c r="H45" s="219"/>
      <c r="I45" s="213"/>
      <c r="L45" s="244"/>
    </row>
    <row r="46" spans="1:28">
      <c r="A46" s="556" t="s">
        <v>29</v>
      </c>
      <c r="B46" s="555">
        <v>2.7937564130469106E-3</v>
      </c>
      <c r="C46" s="557">
        <v>9.1717091890733363E-2</v>
      </c>
      <c r="D46" s="244">
        <v>2.3252046607383538E-3</v>
      </c>
      <c r="E46" s="244">
        <v>1.3057606531322E-3</v>
      </c>
      <c r="F46" s="244">
        <v>3.6309653138705536E-3</v>
      </c>
      <c r="G46" s="219">
        <v>0.3</v>
      </c>
      <c r="H46" s="219"/>
      <c r="I46" s="213"/>
      <c r="J46" s="486"/>
    </row>
    <row r="47" spans="1:28">
      <c r="A47" s="556" t="s">
        <v>316</v>
      </c>
      <c r="B47" s="555">
        <v>2.4903559744129389E-3</v>
      </c>
      <c r="C47" s="557">
        <v>3.8029434240975504E-2</v>
      </c>
      <c r="D47" s="244">
        <v>0</v>
      </c>
      <c r="E47" s="244">
        <v>-1.5185204778377372E-4</v>
      </c>
      <c r="F47" s="244">
        <v>-1.5185204778377372E-4</v>
      </c>
      <c r="G47" s="219"/>
      <c r="H47" s="219"/>
      <c r="I47" s="213"/>
    </row>
    <row r="48" spans="1:28">
      <c r="A48" s="556" t="s">
        <v>978</v>
      </c>
      <c r="B48" s="555">
        <v>-3.2055391716878656E-4</v>
      </c>
      <c r="C48" s="557">
        <v>-6.3382390401625485E-3</v>
      </c>
      <c r="D48" s="244">
        <v>0</v>
      </c>
      <c r="E48" s="244">
        <v>-1.7694503684079858E-4</v>
      </c>
      <c r="F48" s="244">
        <v>-1.7694503684079858E-4</v>
      </c>
      <c r="G48" s="219"/>
      <c r="H48" s="219"/>
      <c r="I48" s="213"/>
    </row>
    <row r="49" spans="1:35">
      <c r="A49" s="556" t="s">
        <v>807</v>
      </c>
      <c r="B49" s="555">
        <v>4.2936105810358338E-3</v>
      </c>
      <c r="C49" s="557">
        <v>6.436184640330106E-2</v>
      </c>
      <c r="D49" s="244">
        <v>1.5054507130555959E-3</v>
      </c>
      <c r="E49" s="244">
        <v>0</v>
      </c>
      <c r="F49" s="244">
        <v>1.5054507130555959E-3</v>
      </c>
      <c r="G49" s="219">
        <v>0.1</v>
      </c>
      <c r="H49" s="219"/>
      <c r="I49" s="213"/>
    </row>
    <row r="50" spans="1:35">
      <c r="A50" s="210" t="s">
        <v>45</v>
      </c>
      <c r="B50" s="555">
        <v>5.389720499823644E-3</v>
      </c>
      <c r="C50" s="557">
        <v>1.4007126422188969</v>
      </c>
      <c r="D50" s="244">
        <v>-1.6674447123983603E-3</v>
      </c>
      <c r="E50" s="244">
        <v>6.7626645595670011E-3</v>
      </c>
      <c r="F50" s="244">
        <v>5.0952198471686371E-3</v>
      </c>
      <c r="G50" s="219" t="s">
        <v>1094</v>
      </c>
      <c r="H50" s="219"/>
      <c r="I50" s="213"/>
    </row>
    <row r="51" spans="1:35">
      <c r="A51"/>
      <c r="B51"/>
      <c r="C51"/>
      <c r="D51"/>
      <c r="E51"/>
      <c r="F51"/>
      <c r="G51" s="219"/>
      <c r="H51" s="219"/>
      <c r="I51" s="214"/>
    </row>
    <row r="52" spans="1:35">
      <c r="A52"/>
      <c r="B52"/>
      <c r="C52"/>
      <c r="D52"/>
      <c r="E52"/>
      <c r="F52"/>
      <c r="G52" s="219"/>
      <c r="H52" s="219"/>
      <c r="I52" s="213"/>
    </row>
    <row r="53" spans="1:35">
      <c r="A53"/>
      <c r="B53"/>
      <c r="C53"/>
      <c r="D53"/>
      <c r="E53"/>
      <c r="F53"/>
      <c r="G53" s="219"/>
      <c r="H53" s="219"/>
      <c r="I53" s="213"/>
    </row>
    <row r="54" spans="1:35">
      <c r="A54"/>
      <c r="B54"/>
      <c r="C54"/>
      <c r="D54"/>
      <c r="E54"/>
      <c r="F54"/>
      <c r="G54" s="219"/>
      <c r="H54" s="219"/>
      <c r="I54" s="213"/>
    </row>
    <row r="55" spans="1:35">
      <c r="A55"/>
      <c r="B55"/>
      <c r="C55"/>
      <c r="D55"/>
      <c r="E55"/>
      <c r="F55"/>
      <c r="G55" s="219"/>
      <c r="H55" s="219"/>
      <c r="I55" s="214"/>
    </row>
    <row r="56" spans="1:35">
      <c r="A56"/>
      <c r="B56"/>
      <c r="C56"/>
      <c r="D56"/>
      <c r="E56"/>
      <c r="F56"/>
      <c r="G56" s="219"/>
      <c r="H56" s="219"/>
      <c r="I56" s="214"/>
    </row>
    <row r="57" spans="1:35">
      <c r="A57"/>
      <c r="B57"/>
      <c r="C57"/>
      <c r="D57"/>
      <c r="E57"/>
      <c r="F57"/>
      <c r="G57" s="219"/>
      <c r="H57" s="219"/>
      <c r="I57" s="214"/>
    </row>
    <row r="58" spans="1:35">
      <c r="A58"/>
      <c r="B58"/>
      <c r="C58"/>
      <c r="D58"/>
      <c r="E58"/>
      <c r="F58"/>
      <c r="G58" s="219"/>
      <c r="H58" s="219"/>
      <c r="I58" s="214"/>
    </row>
    <row r="59" spans="1:35">
      <c r="A59"/>
      <c r="B59"/>
      <c r="C59"/>
      <c r="D59"/>
      <c r="E59"/>
      <c r="F59"/>
      <c r="G59" s="219"/>
      <c r="H59" s="219"/>
      <c r="I59" s="214"/>
    </row>
    <row r="60" spans="1:35">
      <c r="A60"/>
      <c r="B60"/>
      <c r="C60"/>
      <c r="D60"/>
      <c r="E60"/>
      <c r="F60"/>
      <c r="G60" s="219"/>
      <c r="H60" s="219"/>
      <c r="I60" s="214"/>
    </row>
    <row r="61" spans="1:35">
      <c r="A61"/>
      <c r="B61"/>
      <c r="C61"/>
      <c r="D61"/>
      <c r="E61"/>
      <c r="F61"/>
      <c r="G61" s="219"/>
      <c r="H61" s="219"/>
      <c r="I61" s="214"/>
      <c r="AI61" s="248"/>
    </row>
    <row r="62" spans="1:35">
      <c r="A62"/>
      <c r="B62"/>
      <c r="C62"/>
      <c r="D62"/>
      <c r="E62"/>
      <c r="F62"/>
      <c r="G62" s="219"/>
      <c r="H62" s="219"/>
      <c r="I62" s="214"/>
      <c r="AI62" s="248"/>
    </row>
    <row r="63" spans="1:35">
      <c r="A63"/>
      <c r="B63"/>
      <c r="C63"/>
      <c r="D63"/>
      <c r="E63"/>
      <c r="F63"/>
      <c r="G63" s="219"/>
      <c r="H63" s="219"/>
      <c r="I63" s="214"/>
      <c r="AI63" s="248"/>
    </row>
    <row r="64" spans="1:35">
      <c r="A64"/>
      <c r="B64"/>
      <c r="C64"/>
      <c r="D64"/>
      <c r="E64"/>
      <c r="F64"/>
      <c r="G64" s="219"/>
      <c r="H64" s="219"/>
      <c r="I64" s="214"/>
      <c r="AI64" s="248"/>
    </row>
    <row r="65" spans="1:9">
      <c r="A65"/>
      <c r="B65"/>
      <c r="C65"/>
      <c r="D65"/>
      <c r="E65"/>
      <c r="F65"/>
      <c r="G65" s="219"/>
      <c r="H65" s="219"/>
      <c r="I65" s="214"/>
    </row>
    <row r="66" spans="1:9">
      <c r="A66"/>
      <c r="B66"/>
      <c r="C66"/>
      <c r="D66"/>
      <c r="E66"/>
      <c r="F66"/>
      <c r="G66" s="219"/>
      <c r="H66" s="219"/>
      <c r="I66" s="214"/>
    </row>
    <row r="67" spans="1:9">
      <c r="A67"/>
      <c r="B67"/>
      <c r="C67"/>
      <c r="D67"/>
      <c r="E67"/>
      <c r="F67"/>
      <c r="G67" s="219"/>
      <c r="H67" s="219"/>
      <c r="I67" s="214"/>
    </row>
    <row r="68" spans="1:9">
      <c r="A68"/>
      <c r="B68"/>
      <c r="C68"/>
      <c r="D68"/>
      <c r="E68"/>
      <c r="F68"/>
      <c r="G68" s="219"/>
      <c r="H68" s="219"/>
      <c r="I68" s="214"/>
    </row>
    <row r="69" spans="1:9">
      <c r="A69"/>
      <c r="B69"/>
      <c r="C69"/>
      <c r="D69"/>
      <c r="E69"/>
      <c r="F69"/>
      <c r="G69" s="219"/>
      <c r="H69" s="219"/>
      <c r="I69" s="214"/>
    </row>
    <row r="70" spans="1:9">
      <c r="A70"/>
      <c r="B70"/>
      <c r="C70"/>
      <c r="D70"/>
      <c r="E70"/>
      <c r="F70"/>
      <c r="G70" s="219"/>
      <c r="H70" s="219"/>
      <c r="I70" s="214"/>
    </row>
    <row r="71" spans="1:9">
      <c r="A71"/>
      <c r="B71"/>
      <c r="C71"/>
      <c r="D71"/>
      <c r="E71"/>
      <c r="F71"/>
      <c r="G71" s="219"/>
      <c r="H71" s="219"/>
      <c r="I71" s="214"/>
    </row>
    <row r="72" spans="1:9">
      <c r="A72"/>
      <c r="B72"/>
      <c r="C72"/>
      <c r="D72"/>
      <c r="E72"/>
      <c r="F72"/>
      <c r="G72" s="219"/>
      <c r="H72" s="219"/>
      <c r="I72" s="214"/>
    </row>
    <row r="73" spans="1:9">
      <c r="A73"/>
      <c r="B73"/>
      <c r="C73"/>
      <c r="D73"/>
      <c r="E73"/>
      <c r="F73"/>
      <c r="G73" s="219"/>
      <c r="H73" s="219"/>
    </row>
    <row r="74" spans="1:9">
      <c r="A74"/>
      <c r="B74"/>
      <c r="C74"/>
      <c r="D74"/>
      <c r="E74"/>
      <c r="F74"/>
      <c r="G74" s="219"/>
      <c r="H74" s="219"/>
    </row>
    <row r="75" spans="1:9">
      <c r="A75"/>
      <c r="B75"/>
      <c r="C75"/>
      <c r="D75"/>
      <c r="E75"/>
      <c r="F75"/>
      <c r="G75" s="219"/>
      <c r="H75" s="219"/>
    </row>
    <row r="76" spans="1:9">
      <c r="A76"/>
      <c r="B76"/>
      <c r="C76"/>
      <c r="D76"/>
      <c r="E76"/>
      <c r="F76"/>
      <c r="G76" s="219"/>
      <c r="H76" s="219"/>
    </row>
    <row r="77" spans="1:9">
      <c r="A77"/>
      <c r="B77"/>
      <c r="C77"/>
      <c r="D77"/>
      <c r="E77"/>
      <c r="F77"/>
      <c r="G77" s="219"/>
      <c r="H77" s="219"/>
    </row>
    <row r="78" spans="1:9">
      <c r="A78"/>
      <c r="B78"/>
      <c r="C78"/>
      <c r="D78"/>
      <c r="E78"/>
      <c r="F78"/>
      <c r="G78" s="219"/>
      <c r="H78" s="219"/>
    </row>
    <row r="79" spans="1:9">
      <c r="A79"/>
      <c r="B79"/>
      <c r="C79"/>
      <c r="D79"/>
      <c r="E79"/>
      <c r="F79"/>
      <c r="G79" s="219"/>
      <c r="H79" s="219"/>
    </row>
    <row r="80" spans="1:9">
      <c r="A80"/>
      <c r="B80"/>
      <c r="C80"/>
      <c r="D80"/>
      <c r="E80"/>
      <c r="F80"/>
      <c r="G80" s="219"/>
      <c r="H80" s="219"/>
    </row>
    <row r="81" spans="1:8">
      <c r="A81"/>
      <c r="B81"/>
      <c r="C81"/>
      <c r="D81"/>
      <c r="E81"/>
      <c r="F81"/>
      <c r="G81" s="219"/>
      <c r="H81" s="219"/>
    </row>
    <row r="82" spans="1:8">
      <c r="A82"/>
      <c r="B82"/>
      <c r="C82"/>
      <c r="D82"/>
      <c r="E82"/>
      <c r="F82"/>
      <c r="G82" s="219"/>
      <c r="H82" s="219"/>
    </row>
    <row r="83" spans="1:8">
      <c r="A83"/>
      <c r="B83"/>
      <c r="C83"/>
      <c r="D83"/>
      <c r="E83"/>
      <c r="F83"/>
      <c r="G83" s="219"/>
      <c r="H83" s="219"/>
    </row>
    <row r="84" spans="1:8">
      <c r="A84"/>
      <c r="B84"/>
      <c r="C84"/>
      <c r="D84"/>
      <c r="E84"/>
      <c r="F84"/>
      <c r="G84" s="219"/>
      <c r="H84" s="219"/>
    </row>
    <row r="85" spans="1:8">
      <c r="A85"/>
      <c r="B85"/>
      <c r="C85"/>
      <c r="D85"/>
      <c r="E85"/>
      <c r="F85"/>
      <c r="G85" s="219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453" priority="12295" operator="lessThan">
      <formula>0</formula>
    </cfRule>
  </conditionalFormatting>
  <conditionalFormatting sqref="H86:H1048576 F1:H9 F12:G12 G10:G11">
    <cfRule type="cellIs" dxfId="3452" priority="12292" operator="lessThan">
      <formula>0</formula>
    </cfRule>
    <cfRule type="cellIs" dxfId="3451" priority="12293" operator="lessThan">
      <formula>0</formula>
    </cfRule>
  </conditionalFormatting>
  <conditionalFormatting sqref="F136:G1048576 G86:G135">
    <cfRule type="cellIs" dxfId="3450" priority="7928" operator="lessThan">
      <formula>0</formula>
    </cfRule>
  </conditionalFormatting>
  <conditionalFormatting sqref="F136:G1048576 G86:G135">
    <cfRule type="cellIs" dxfId="3449" priority="7927" operator="lessThan">
      <formula>0</formula>
    </cfRule>
  </conditionalFormatting>
  <conditionalFormatting sqref="F136:G1048576 G86:G135">
    <cfRule type="cellIs" dxfId="3448" priority="7925" operator="lessThan">
      <formula>0</formula>
    </cfRule>
    <cfRule type="cellIs" dxfId="3447" priority="7926" operator="lessThan">
      <formula>0</formula>
    </cfRule>
  </conditionalFormatting>
  <conditionalFormatting sqref="F136:G1048576 G86:G135">
    <cfRule type="cellIs" dxfId="3446" priority="7924" operator="lessThan">
      <formula>0</formula>
    </cfRule>
  </conditionalFormatting>
  <conditionalFormatting sqref="F136:G1048576 G86:G135">
    <cfRule type="cellIs" dxfId="3445" priority="7923" operator="lessThan">
      <formula>0</formula>
    </cfRule>
  </conditionalFormatting>
  <conditionalFormatting sqref="F136:G1048576 G86:G135">
    <cfRule type="cellIs" dxfId="3444" priority="7922" operator="lessThan">
      <formula>0</formula>
    </cfRule>
  </conditionalFormatting>
  <conditionalFormatting sqref="F136:G1048576 G86:G135">
    <cfRule type="cellIs" dxfId="3443" priority="7921" operator="lessThan">
      <formula>0</formula>
    </cfRule>
  </conditionalFormatting>
  <conditionalFormatting sqref="F136:G1048576 G86:G135">
    <cfRule type="cellIs" dxfId="3442" priority="7920" operator="lessThan">
      <formula>0</formula>
    </cfRule>
  </conditionalFormatting>
  <conditionalFormatting sqref="F136:G1048576 G86:G135">
    <cfRule type="cellIs" dxfId="3441" priority="7919" operator="lessThan">
      <formula>0</formula>
    </cfRule>
  </conditionalFormatting>
  <conditionalFormatting sqref="F136:G1048576 G86:G135">
    <cfRule type="cellIs" dxfId="3440" priority="7918" operator="lessThan">
      <formula>0</formula>
    </cfRule>
  </conditionalFormatting>
  <conditionalFormatting sqref="F136:G1048576 G86:G135">
    <cfRule type="cellIs" dxfId="3439" priority="7917" operator="lessThan">
      <formula>0</formula>
    </cfRule>
  </conditionalFormatting>
  <conditionalFormatting sqref="F136:G1048576 G86:G135">
    <cfRule type="cellIs" dxfId="3438" priority="7916" operator="lessThan">
      <formula>0</formula>
    </cfRule>
  </conditionalFormatting>
  <conditionalFormatting sqref="F136:G1048576 G86:G135">
    <cfRule type="cellIs" dxfId="3437" priority="7915" operator="lessThan">
      <formula>0</formula>
    </cfRule>
  </conditionalFormatting>
  <conditionalFormatting sqref="F136:G1048576 G86:G135">
    <cfRule type="cellIs" dxfId="3436" priority="7914" operator="lessThan">
      <formula>0</formula>
    </cfRule>
  </conditionalFormatting>
  <conditionalFormatting sqref="F136:G1048576 G86:G135">
    <cfRule type="cellIs" dxfId="3435" priority="7913" operator="lessThan">
      <formula>0</formula>
    </cfRule>
  </conditionalFormatting>
  <conditionalFormatting sqref="F136:G1048576 G86:G135">
    <cfRule type="cellIs" dxfId="3434" priority="7912" operator="lessThan">
      <formula>0</formula>
    </cfRule>
  </conditionalFormatting>
  <conditionalFormatting sqref="F136:G1048576 G86:G135">
    <cfRule type="cellIs" dxfId="3433" priority="7911" operator="lessThan">
      <formula>0</formula>
    </cfRule>
  </conditionalFormatting>
  <conditionalFormatting sqref="F136:G1048576 G86:G135">
    <cfRule type="cellIs" dxfId="3432" priority="7910" operator="lessThan">
      <formula>0</formula>
    </cfRule>
  </conditionalFormatting>
  <conditionalFormatting sqref="F136:G1048576 G86:G135">
    <cfRule type="cellIs" dxfId="3431" priority="7909" operator="lessThan">
      <formula>0</formula>
    </cfRule>
  </conditionalFormatting>
  <conditionalFormatting sqref="F136:G1048576 G86:G135">
    <cfRule type="cellIs" dxfId="3430" priority="7908" operator="lessThan">
      <formula>0</formula>
    </cfRule>
  </conditionalFormatting>
  <conditionalFormatting sqref="F136:G1048576 G86:G135">
    <cfRule type="cellIs" dxfId="3429" priority="7907" operator="lessThan">
      <formula>0</formula>
    </cfRule>
  </conditionalFormatting>
  <conditionalFormatting sqref="F136:G1048576 G86:G135">
    <cfRule type="cellIs" dxfId="3428" priority="7906" operator="lessThan">
      <formula>0</formula>
    </cfRule>
  </conditionalFormatting>
  <conditionalFormatting sqref="F136:G1048576 G86:G135">
    <cfRule type="cellIs" dxfId="3427" priority="7905" operator="lessThan">
      <formula>0</formula>
    </cfRule>
  </conditionalFormatting>
  <conditionalFormatting sqref="F136:G1048576 G86:G135">
    <cfRule type="cellIs" dxfId="3426" priority="7904" operator="lessThan">
      <formula>0</formula>
    </cfRule>
  </conditionalFormatting>
  <conditionalFormatting sqref="F136:G1048576 G86:G135">
    <cfRule type="cellIs" dxfId="3425" priority="7903" operator="lessThan">
      <formula>0</formula>
    </cfRule>
  </conditionalFormatting>
  <conditionalFormatting sqref="F136:G1048576 G86:G135">
    <cfRule type="cellIs" dxfId="3424" priority="7902" operator="lessThan">
      <formula>0</formula>
    </cfRule>
  </conditionalFormatting>
  <conditionalFormatting sqref="F136:G1048576 G86:G135">
    <cfRule type="cellIs" dxfId="3423" priority="7901" operator="lessThan">
      <formula>0</formula>
    </cfRule>
  </conditionalFormatting>
  <conditionalFormatting sqref="F136:G1048576 G86:G135">
    <cfRule type="cellIs" dxfId="3422" priority="7900" operator="lessThan">
      <formula>0</formula>
    </cfRule>
  </conditionalFormatting>
  <conditionalFormatting sqref="F136:G1048576 G86:G135">
    <cfRule type="cellIs" dxfId="3421" priority="7899" operator="lessThan">
      <formula>0</formula>
    </cfRule>
  </conditionalFormatting>
  <conditionalFormatting sqref="F136:G1048576 G86:G135">
    <cfRule type="cellIs" dxfId="3420" priority="7898" operator="lessThan">
      <formula>0</formula>
    </cfRule>
  </conditionalFormatting>
  <conditionalFormatting sqref="F136:G1048576 G86:G135">
    <cfRule type="cellIs" dxfId="3419" priority="7897" operator="lessThan">
      <formula>0</formula>
    </cfRule>
  </conditionalFormatting>
  <conditionalFormatting sqref="F136:G1048576 G86:G135">
    <cfRule type="cellIs" dxfId="3418" priority="7896" operator="lessThan">
      <formula>0</formula>
    </cfRule>
  </conditionalFormatting>
  <conditionalFormatting sqref="F136:G1048576 G86:G135">
    <cfRule type="cellIs" dxfId="3417" priority="7895" operator="lessThan">
      <formula>0</formula>
    </cfRule>
  </conditionalFormatting>
  <conditionalFormatting sqref="F136:G1048576 G86:G135">
    <cfRule type="cellIs" dxfId="3416" priority="7894" operator="lessThan">
      <formula>0</formula>
    </cfRule>
  </conditionalFormatting>
  <conditionalFormatting sqref="F136:G1048576 G86:G135">
    <cfRule type="cellIs" dxfId="3415" priority="7893" operator="lessThan">
      <formula>0</formula>
    </cfRule>
  </conditionalFormatting>
  <conditionalFormatting sqref="F136:G1048576 G86:G135">
    <cfRule type="cellIs" dxfId="3414" priority="7892" operator="lessThan">
      <formula>0</formula>
    </cfRule>
  </conditionalFormatting>
  <conditionalFormatting sqref="F136:G1048576 G86:G135">
    <cfRule type="cellIs" dxfId="3413" priority="7891" operator="lessThan">
      <formula>0</formula>
    </cfRule>
  </conditionalFormatting>
  <conditionalFormatting sqref="F136:G1048576 G86:G135">
    <cfRule type="cellIs" dxfId="3412" priority="7890" operator="lessThan">
      <formula>0</formula>
    </cfRule>
  </conditionalFormatting>
  <conditionalFormatting sqref="F136:G1048576 G86:G135">
    <cfRule type="cellIs" dxfId="3411" priority="7889" operator="lessThan">
      <formula>0</formula>
    </cfRule>
  </conditionalFormatting>
  <conditionalFormatting sqref="F136:G1048576 G86:G135">
    <cfRule type="cellIs" dxfId="3410" priority="7888" operator="lessThan">
      <formula>0</formula>
    </cfRule>
  </conditionalFormatting>
  <conditionalFormatting sqref="F136:G1048576 G86:G135">
    <cfRule type="cellIs" dxfId="3409" priority="7887" operator="lessThan">
      <formula>0</formula>
    </cfRule>
  </conditionalFormatting>
  <conditionalFormatting sqref="F136:G1048576 G86:G135">
    <cfRule type="cellIs" dxfId="3408" priority="7886" operator="lessThan">
      <formula>0</formula>
    </cfRule>
  </conditionalFormatting>
  <conditionalFormatting sqref="F136:G1048576 G86:G135">
    <cfRule type="cellIs" dxfId="3407" priority="7885" operator="lessThan">
      <formula>0</formula>
    </cfRule>
  </conditionalFormatting>
  <conditionalFormatting sqref="F136:G1048576 G86:G135">
    <cfRule type="cellIs" dxfId="3406" priority="7884" operator="lessThan">
      <formula>0</formula>
    </cfRule>
  </conditionalFormatting>
  <conditionalFormatting sqref="F136:G1048576 G86:G135">
    <cfRule type="cellIs" dxfId="3405" priority="7883" operator="lessThan">
      <formula>0</formula>
    </cfRule>
  </conditionalFormatting>
  <conditionalFormatting sqref="F136:G1048576 G86:G135">
    <cfRule type="cellIs" dxfId="3404" priority="7882" operator="lessThan">
      <formula>0</formula>
    </cfRule>
  </conditionalFormatting>
  <conditionalFormatting sqref="F136:G1048576 G86:G135">
    <cfRule type="cellIs" dxfId="3403" priority="7881" operator="lessThan">
      <formula>0</formula>
    </cfRule>
  </conditionalFormatting>
  <conditionalFormatting sqref="F136:G1048576 G86:G135">
    <cfRule type="cellIs" dxfId="3402" priority="7880" operator="lessThan">
      <formula>0</formula>
    </cfRule>
  </conditionalFormatting>
  <conditionalFormatting sqref="F136:G1048576 G86:G135">
    <cfRule type="cellIs" dxfId="3401" priority="7879" operator="lessThan">
      <formula>0</formula>
    </cfRule>
  </conditionalFormatting>
  <conditionalFormatting sqref="F136:G1048576 G86:G135">
    <cfRule type="cellIs" dxfId="3400" priority="7878" operator="lessThan">
      <formula>0</formula>
    </cfRule>
  </conditionalFormatting>
  <conditionalFormatting sqref="F136:G1048576 G86:G135">
    <cfRule type="cellIs" dxfId="3399" priority="7877" operator="lessThan">
      <formula>0</formula>
    </cfRule>
  </conditionalFormatting>
  <conditionalFormatting sqref="F136:G1048576 G86:G135">
    <cfRule type="cellIs" dxfId="3398" priority="7876" operator="lessThan">
      <formula>0</formula>
    </cfRule>
  </conditionalFormatting>
  <conditionalFormatting sqref="F136:G1048576 G86:G135">
    <cfRule type="cellIs" dxfId="3397" priority="7875" operator="lessThan">
      <formula>0</formula>
    </cfRule>
  </conditionalFormatting>
  <conditionalFormatting sqref="F136:G1048576 G86:G135">
    <cfRule type="cellIs" dxfId="3396" priority="7874" operator="lessThan">
      <formula>0</formula>
    </cfRule>
  </conditionalFormatting>
  <conditionalFormatting sqref="F136:G1048576 G86:G135">
    <cfRule type="cellIs" dxfId="3395" priority="7873" operator="lessThan">
      <formula>0</formula>
    </cfRule>
  </conditionalFormatting>
  <conditionalFormatting sqref="F136:G1048576 G86:G135">
    <cfRule type="cellIs" dxfId="3394" priority="7872" operator="lessThan">
      <formula>0</formula>
    </cfRule>
  </conditionalFormatting>
  <conditionalFormatting sqref="F136:G1048576 G86:G135">
    <cfRule type="cellIs" dxfId="3393" priority="7871" operator="lessThan">
      <formula>0</formula>
    </cfRule>
  </conditionalFormatting>
  <conditionalFormatting sqref="F136:G1048576 G86:G135">
    <cfRule type="cellIs" dxfId="3392" priority="7870" operator="lessThan">
      <formula>0</formula>
    </cfRule>
  </conditionalFormatting>
  <conditionalFormatting sqref="F136:G1048576 G86:G135">
    <cfRule type="cellIs" dxfId="3391" priority="7869" operator="lessThan">
      <formula>0</formula>
    </cfRule>
  </conditionalFormatting>
  <conditionalFormatting sqref="F136:G1048576 G86:G135">
    <cfRule type="cellIs" dxfId="3390" priority="7868" operator="lessThan">
      <formula>0</formula>
    </cfRule>
  </conditionalFormatting>
  <conditionalFormatting sqref="F136:G1048576 G86:G135">
    <cfRule type="cellIs" dxfId="3389" priority="7867" operator="lessThan">
      <formula>0</formula>
    </cfRule>
  </conditionalFormatting>
  <conditionalFormatting sqref="F136:G1048576 G86:G135">
    <cfRule type="cellIs" dxfId="3388" priority="7866" operator="lessThan">
      <formula>0</formula>
    </cfRule>
  </conditionalFormatting>
  <conditionalFormatting sqref="F136:G1048576 G86:G135">
    <cfRule type="cellIs" dxfId="3387" priority="7865" operator="lessThan">
      <formula>0</formula>
    </cfRule>
  </conditionalFormatting>
  <conditionalFormatting sqref="F136:G1048576 G86:G135">
    <cfRule type="cellIs" dxfId="3386" priority="7864" operator="lessThan">
      <formula>0</formula>
    </cfRule>
  </conditionalFormatting>
  <conditionalFormatting sqref="F136:G1048576 G86:G135">
    <cfRule type="cellIs" dxfId="3385" priority="7863" operator="lessThan">
      <formula>0</formula>
    </cfRule>
  </conditionalFormatting>
  <conditionalFormatting sqref="F136:G1048576 G86:G135">
    <cfRule type="cellIs" dxfId="3384" priority="7862" operator="lessThan">
      <formula>0</formula>
    </cfRule>
  </conditionalFormatting>
  <conditionalFormatting sqref="F136:G1048576 G86:G135">
    <cfRule type="cellIs" dxfId="3383" priority="7861" operator="lessThan">
      <formula>0</formula>
    </cfRule>
  </conditionalFormatting>
  <conditionalFormatting sqref="F136:G1048576 G86:G135">
    <cfRule type="cellIs" dxfId="3382" priority="7860" operator="lessThan">
      <formula>0</formula>
    </cfRule>
  </conditionalFormatting>
  <conditionalFormatting sqref="F136:G1048576 G86:G135">
    <cfRule type="cellIs" dxfId="3381" priority="7859" operator="lessThan">
      <formula>0</formula>
    </cfRule>
  </conditionalFormatting>
  <conditionalFormatting sqref="F136:G1048576 G86:G135">
    <cfRule type="cellIs" dxfId="3380" priority="7858" operator="lessThan">
      <formula>0</formula>
    </cfRule>
  </conditionalFormatting>
  <conditionalFormatting sqref="F136:G1048576 G86:G135">
    <cfRule type="cellIs" dxfId="3379" priority="7857" operator="lessThan">
      <formula>0</formula>
    </cfRule>
  </conditionalFormatting>
  <conditionalFormatting sqref="F136:G1048576 G86:G135">
    <cfRule type="cellIs" dxfId="3378" priority="7856" operator="lessThan">
      <formula>0</formula>
    </cfRule>
  </conditionalFormatting>
  <conditionalFormatting sqref="F136:G1048576 G86:G135">
    <cfRule type="cellIs" dxfId="3377" priority="7855" operator="lessThan">
      <formula>0</formula>
    </cfRule>
  </conditionalFormatting>
  <conditionalFormatting sqref="F136:G1048576 G86:G135">
    <cfRule type="cellIs" dxfId="3376" priority="7854" operator="lessThan">
      <formula>0</formula>
    </cfRule>
  </conditionalFormatting>
  <conditionalFormatting sqref="F136:G1048576 G86:G135">
    <cfRule type="cellIs" dxfId="3375" priority="7853" operator="lessThan">
      <formula>0</formula>
    </cfRule>
  </conditionalFormatting>
  <conditionalFormatting sqref="F136:G1048576 G86:G135">
    <cfRule type="cellIs" dxfId="3374" priority="7852" operator="lessThan">
      <formula>0</formula>
    </cfRule>
  </conditionalFormatting>
  <conditionalFormatting sqref="F136:G1048576 G86:G135">
    <cfRule type="cellIs" dxfId="3373" priority="7851" operator="lessThan">
      <formula>0</formula>
    </cfRule>
  </conditionalFormatting>
  <conditionalFormatting sqref="F136:G1048576 G86:G135">
    <cfRule type="cellIs" dxfId="3372" priority="7850" operator="lessThan">
      <formula>0</formula>
    </cfRule>
  </conditionalFormatting>
  <conditionalFormatting sqref="F136:G1048576 G86:G135">
    <cfRule type="cellIs" dxfId="3371" priority="7849" operator="lessThan">
      <formula>0</formula>
    </cfRule>
  </conditionalFormatting>
  <conditionalFormatting sqref="F136:G1048576 G86:G135">
    <cfRule type="cellIs" dxfId="3370" priority="7848" operator="lessThan">
      <formula>0</formula>
    </cfRule>
  </conditionalFormatting>
  <conditionalFormatting sqref="F136:G1048576 G86:G135">
    <cfRule type="cellIs" dxfId="3369" priority="7847" operator="lessThan">
      <formula>0</formula>
    </cfRule>
  </conditionalFormatting>
  <conditionalFormatting sqref="F136:G1048576 G86:G135">
    <cfRule type="cellIs" dxfId="3368" priority="7846" operator="lessThan">
      <formula>0</formula>
    </cfRule>
  </conditionalFormatting>
  <conditionalFormatting sqref="F136:G1048576 G86:G135">
    <cfRule type="cellIs" dxfId="3367" priority="7845" operator="lessThan">
      <formula>0</formula>
    </cfRule>
  </conditionalFormatting>
  <conditionalFormatting sqref="F136:G1048576 G86:G135">
    <cfRule type="cellIs" dxfId="3366" priority="7844" operator="lessThan">
      <formula>0</formula>
    </cfRule>
  </conditionalFormatting>
  <conditionalFormatting sqref="F136:G1048576 G86:G135">
    <cfRule type="cellIs" dxfId="3365" priority="7843" operator="lessThan">
      <formula>0</formula>
    </cfRule>
  </conditionalFormatting>
  <conditionalFormatting sqref="F136:G1048576 G86:G135">
    <cfRule type="cellIs" dxfId="3364" priority="7842" operator="lessThan">
      <formula>0</formula>
    </cfRule>
  </conditionalFormatting>
  <conditionalFormatting sqref="F136:G1048576 G86:G135">
    <cfRule type="cellIs" dxfId="3363" priority="7841" operator="lessThan">
      <formula>0</formula>
    </cfRule>
  </conditionalFormatting>
  <conditionalFormatting sqref="F136:G1048576 G86:G135">
    <cfRule type="cellIs" dxfId="3362" priority="7840" operator="lessThan">
      <formula>0</formula>
    </cfRule>
  </conditionalFormatting>
  <conditionalFormatting sqref="F136:G1048576 G86:G135">
    <cfRule type="cellIs" dxfId="3361" priority="7839" operator="lessThan">
      <formula>0</formula>
    </cfRule>
  </conditionalFormatting>
  <conditionalFormatting sqref="F136:G1048576 G86:G135">
    <cfRule type="cellIs" dxfId="3360" priority="7838" operator="lessThan">
      <formula>0</formula>
    </cfRule>
  </conditionalFormatting>
  <conditionalFormatting sqref="F136:G1048576 G86:G135">
    <cfRule type="cellIs" dxfId="3359" priority="7837" operator="lessThan">
      <formula>0</formula>
    </cfRule>
  </conditionalFormatting>
  <conditionalFormatting sqref="F136:G1048576 G86:G135">
    <cfRule type="cellIs" dxfId="3358" priority="7836" operator="lessThan">
      <formula>0</formula>
    </cfRule>
  </conditionalFormatting>
  <conditionalFormatting sqref="F136:G1048576 G86:G135">
    <cfRule type="cellIs" dxfId="3357" priority="7835" operator="lessThan">
      <formula>0</formula>
    </cfRule>
  </conditionalFormatting>
  <conditionalFormatting sqref="F136:G1048576 G86:G135">
    <cfRule type="cellIs" dxfId="3356" priority="7834" operator="lessThan">
      <formula>0</formula>
    </cfRule>
  </conditionalFormatting>
  <conditionalFormatting sqref="F136:G1048576 G86:G135">
    <cfRule type="cellIs" dxfId="3355" priority="7833" operator="lessThan">
      <formula>0</formula>
    </cfRule>
  </conditionalFormatting>
  <conditionalFormatting sqref="F136:G1048576 G86:G135">
    <cfRule type="cellIs" dxfId="3354" priority="7832" operator="lessThan">
      <formula>0</formula>
    </cfRule>
  </conditionalFormatting>
  <conditionalFormatting sqref="F136:G1048576 G86:G135">
    <cfRule type="cellIs" dxfId="3353" priority="7831" operator="lessThan">
      <formula>0</formula>
    </cfRule>
  </conditionalFormatting>
  <conditionalFormatting sqref="F136:G1048576 G86:G135">
    <cfRule type="cellIs" dxfId="3352" priority="7830" operator="lessThan">
      <formula>0</formula>
    </cfRule>
  </conditionalFormatting>
  <conditionalFormatting sqref="F136:G1048576 G86:G135">
    <cfRule type="cellIs" dxfId="3351" priority="7829" operator="lessThan">
      <formula>0</formula>
    </cfRule>
  </conditionalFormatting>
  <conditionalFormatting sqref="F136:G1048576 G86:G135">
    <cfRule type="cellIs" dxfId="3350" priority="7828" operator="lessThan">
      <formula>0</formula>
    </cfRule>
  </conditionalFormatting>
  <conditionalFormatting sqref="F136:G1048576 G86:G135">
    <cfRule type="cellIs" dxfId="3349" priority="7827" operator="lessThan">
      <formula>0</formula>
    </cfRule>
  </conditionalFormatting>
  <conditionalFormatting sqref="F136:G1048576 G86:G135">
    <cfRule type="cellIs" dxfId="3348" priority="7826" operator="lessThan">
      <formula>0</formula>
    </cfRule>
  </conditionalFormatting>
  <conditionalFormatting sqref="F136:G1048576 G86:G135">
    <cfRule type="cellIs" dxfId="3347" priority="7825" operator="lessThan">
      <formula>0</formula>
    </cfRule>
  </conditionalFormatting>
  <conditionalFormatting sqref="F136:G1048576 G86:G135">
    <cfRule type="cellIs" dxfId="3346" priority="7824" operator="lessThan">
      <formula>0</formula>
    </cfRule>
  </conditionalFormatting>
  <conditionalFormatting sqref="F136:G1048576 G86:G135">
    <cfRule type="cellIs" dxfId="3345" priority="7823" operator="lessThan">
      <formula>0</formula>
    </cfRule>
  </conditionalFormatting>
  <conditionalFormatting sqref="F136:G1048576 G86:G135">
    <cfRule type="cellIs" dxfId="3344" priority="7822" operator="lessThan">
      <formula>0</formula>
    </cfRule>
  </conditionalFormatting>
  <conditionalFormatting sqref="F136:G1048576 G86:G135">
    <cfRule type="cellIs" dxfId="3343" priority="7821" operator="lessThan">
      <formula>0</formula>
    </cfRule>
  </conditionalFormatting>
  <conditionalFormatting sqref="F136:G1048576 G86:G135">
    <cfRule type="cellIs" dxfId="3342" priority="7820" operator="lessThan">
      <formula>0</formula>
    </cfRule>
  </conditionalFormatting>
  <conditionalFormatting sqref="F136:G1048576 G86:G135">
    <cfRule type="cellIs" dxfId="3341" priority="7819" operator="lessThan">
      <formula>0</formula>
    </cfRule>
  </conditionalFormatting>
  <conditionalFormatting sqref="F136:G1048576 G86:G135">
    <cfRule type="cellIs" dxfId="3340" priority="7818" operator="lessThan">
      <formula>0</formula>
    </cfRule>
  </conditionalFormatting>
  <conditionalFormatting sqref="F136:G1048576 G86:G135">
    <cfRule type="cellIs" dxfId="3339" priority="7817" operator="lessThan">
      <formula>0</formula>
    </cfRule>
  </conditionalFormatting>
  <conditionalFormatting sqref="F136:G1048576 G86:G135">
    <cfRule type="cellIs" dxfId="3338" priority="7816" operator="lessThan">
      <formula>0</formula>
    </cfRule>
  </conditionalFormatting>
  <conditionalFormatting sqref="F136:G1048576 G86:G135">
    <cfRule type="cellIs" dxfId="3337" priority="7815" operator="lessThan">
      <formula>0</formula>
    </cfRule>
  </conditionalFormatting>
  <conditionalFormatting sqref="F136:G1048576 G86:G135">
    <cfRule type="cellIs" dxfId="3336" priority="7814" operator="lessThan">
      <formula>0</formula>
    </cfRule>
  </conditionalFormatting>
  <conditionalFormatting sqref="F136:G1048576 G86:G135">
    <cfRule type="cellIs" dxfId="3335" priority="7813" operator="lessThan">
      <formula>0</formula>
    </cfRule>
  </conditionalFormatting>
  <conditionalFormatting sqref="F136:G1048576 G86:G135">
    <cfRule type="cellIs" dxfId="3334" priority="7812" operator="lessThan">
      <formula>0</formula>
    </cfRule>
  </conditionalFormatting>
  <conditionalFormatting sqref="F136:G1048576 G86:G135">
    <cfRule type="cellIs" dxfId="3333" priority="7811" operator="lessThan">
      <formula>0</formula>
    </cfRule>
  </conditionalFormatting>
  <conditionalFormatting sqref="F136:G1048576 G86:G135">
    <cfRule type="cellIs" dxfId="3332" priority="7810" operator="lessThan">
      <formula>0</formula>
    </cfRule>
  </conditionalFormatting>
  <conditionalFormatting sqref="F136:G1048576 G86:G135">
    <cfRule type="cellIs" dxfId="3331" priority="7809" operator="lessThan">
      <formula>0</formula>
    </cfRule>
  </conditionalFormatting>
  <conditionalFormatting sqref="F136:G1048576 G86:G135">
    <cfRule type="cellIs" dxfId="3330" priority="7808" operator="lessThan">
      <formula>0</formula>
    </cfRule>
  </conditionalFormatting>
  <conditionalFormatting sqref="F136:G1048576 G86:G135">
    <cfRule type="cellIs" dxfId="3329" priority="7807" operator="lessThan">
      <formula>0</formula>
    </cfRule>
  </conditionalFormatting>
  <conditionalFormatting sqref="F136:G1048576 G86:G135">
    <cfRule type="cellIs" dxfId="3328" priority="7806" operator="lessThan">
      <formula>0</formula>
    </cfRule>
  </conditionalFormatting>
  <conditionalFormatting sqref="F136:G1048576 G86:G135">
    <cfRule type="cellIs" dxfId="3327" priority="7805" operator="lessThan">
      <formula>0</formula>
    </cfRule>
  </conditionalFormatting>
  <conditionalFormatting sqref="F136:G1048576 G86:G135">
    <cfRule type="cellIs" dxfId="3326" priority="7804" operator="lessThan">
      <formula>0</formula>
    </cfRule>
  </conditionalFormatting>
  <conditionalFormatting sqref="F136:G1048576 G86:G135">
    <cfRule type="cellIs" dxfId="3325" priority="7803" operator="lessThan">
      <formula>0</formula>
    </cfRule>
  </conditionalFormatting>
  <conditionalFormatting sqref="F136:G1048576 G86:G135">
    <cfRule type="cellIs" dxfId="3324" priority="7802" operator="lessThan">
      <formula>0</formula>
    </cfRule>
  </conditionalFormatting>
  <conditionalFormatting sqref="F136:G1048576 G86:G135">
    <cfRule type="cellIs" dxfId="3323" priority="7801" operator="lessThan">
      <formula>0</formula>
    </cfRule>
  </conditionalFormatting>
  <conditionalFormatting sqref="F136:G1048576 G86:G135">
    <cfRule type="cellIs" dxfId="3322" priority="7800" operator="lessThan">
      <formula>0</formula>
    </cfRule>
  </conditionalFormatting>
  <conditionalFormatting sqref="F136:G1048576 G86:G135">
    <cfRule type="cellIs" dxfId="3321" priority="7799" operator="lessThan">
      <formula>0</formula>
    </cfRule>
  </conditionalFormatting>
  <conditionalFormatting sqref="F136:G1048576 G86:G135">
    <cfRule type="cellIs" dxfId="3320" priority="7798" operator="lessThan">
      <formula>0</formula>
    </cfRule>
  </conditionalFormatting>
  <conditionalFormatting sqref="F136:G1048576 G86:G135">
    <cfRule type="cellIs" dxfId="3319" priority="7797" operator="lessThan">
      <formula>0</formula>
    </cfRule>
  </conditionalFormatting>
  <conditionalFormatting sqref="F136:G1048576 G86:G135">
    <cfRule type="cellIs" dxfId="3318" priority="7796" operator="lessThan">
      <formula>0</formula>
    </cfRule>
  </conditionalFormatting>
  <conditionalFormatting sqref="F136:G1048576 G86:G135">
    <cfRule type="cellIs" dxfId="3317" priority="7795" operator="lessThan">
      <formula>0</formula>
    </cfRule>
  </conditionalFormatting>
  <conditionalFormatting sqref="F136:G1048576 G86:G135">
    <cfRule type="cellIs" dxfId="3316" priority="7794" operator="lessThan">
      <formula>0</formula>
    </cfRule>
  </conditionalFormatting>
  <conditionalFormatting sqref="F136:G1048576 G86:G135">
    <cfRule type="cellIs" dxfId="3315" priority="7793" operator="lessThan">
      <formula>0</formula>
    </cfRule>
  </conditionalFormatting>
  <conditionalFormatting sqref="F136:G1048576 G86:G135">
    <cfRule type="cellIs" dxfId="3314" priority="7792" operator="lessThan">
      <formula>0</formula>
    </cfRule>
  </conditionalFormatting>
  <conditionalFormatting sqref="F136:G1048576 G86:G135">
    <cfRule type="cellIs" dxfId="3313" priority="7791" operator="lessThan">
      <formula>0</formula>
    </cfRule>
  </conditionalFormatting>
  <conditionalFormatting sqref="F136:G1048576 G86:G135">
    <cfRule type="cellIs" dxfId="3312" priority="7790" operator="lessThan">
      <formula>0</formula>
    </cfRule>
  </conditionalFormatting>
  <conditionalFormatting sqref="F136:G1048576 G86:G135">
    <cfRule type="cellIs" dxfId="3311" priority="7789" operator="lessThan">
      <formula>0</formula>
    </cfRule>
  </conditionalFormatting>
  <conditionalFormatting sqref="F136:G1048576 G86:G135">
    <cfRule type="cellIs" dxfId="3310" priority="7788" operator="lessThan">
      <formula>0</formula>
    </cfRule>
  </conditionalFormatting>
  <conditionalFormatting sqref="F136:G1048576 G86:G135">
    <cfRule type="cellIs" dxfId="3309" priority="7787" operator="lessThan">
      <formula>0</formula>
    </cfRule>
  </conditionalFormatting>
  <conditionalFormatting sqref="F136:G1048576 G86:G135">
    <cfRule type="cellIs" dxfId="3308" priority="7786" operator="lessThan">
      <formula>0</formula>
    </cfRule>
  </conditionalFormatting>
  <conditionalFormatting sqref="F136:G1048576 G86:G135">
    <cfRule type="cellIs" dxfId="3307" priority="7785" operator="lessThan">
      <formula>0</formula>
    </cfRule>
  </conditionalFormatting>
  <conditionalFormatting sqref="F136:G1048576 G86:G135">
    <cfRule type="cellIs" dxfId="3306" priority="7784" operator="lessThan">
      <formula>0</formula>
    </cfRule>
  </conditionalFormatting>
  <conditionalFormatting sqref="F136:G1048576 G86:G135">
    <cfRule type="cellIs" dxfId="3305" priority="7783" operator="lessThan">
      <formula>0</formula>
    </cfRule>
  </conditionalFormatting>
  <conditionalFormatting sqref="F136:G1048576 G86:G135">
    <cfRule type="cellIs" dxfId="3304" priority="7782" operator="lessThan">
      <formula>0</formula>
    </cfRule>
  </conditionalFormatting>
  <conditionalFormatting sqref="F136:G1048576 G86:G135">
    <cfRule type="cellIs" dxfId="3303" priority="7781" operator="lessThan">
      <formula>0</formula>
    </cfRule>
  </conditionalFormatting>
  <conditionalFormatting sqref="F136:G1048576 G86:G135">
    <cfRule type="cellIs" dxfId="3302" priority="7780" operator="lessThan">
      <formula>0</formula>
    </cfRule>
  </conditionalFormatting>
  <conditionalFormatting sqref="F136:G1048576 G86:G135">
    <cfRule type="cellIs" dxfId="3301" priority="7779" operator="lessThan">
      <formula>0</formula>
    </cfRule>
  </conditionalFormatting>
  <conditionalFormatting sqref="F136:G1048576 G86:G135">
    <cfRule type="cellIs" dxfId="3300" priority="7778" operator="lessThan">
      <formula>0</formula>
    </cfRule>
  </conditionalFormatting>
  <conditionalFormatting sqref="F136:G1048576 G86:G135">
    <cfRule type="cellIs" dxfId="3299" priority="7777" operator="lessThan">
      <formula>0</formula>
    </cfRule>
  </conditionalFormatting>
  <conditionalFormatting sqref="F136:G1048576 G86:G135">
    <cfRule type="cellIs" dxfId="3298" priority="7776" operator="lessThan">
      <formula>0</formula>
    </cfRule>
  </conditionalFormatting>
  <conditionalFormatting sqref="F136:G1048576 G86:G135">
    <cfRule type="cellIs" dxfId="3297" priority="7775" operator="lessThan">
      <formula>0</formula>
    </cfRule>
  </conditionalFormatting>
  <conditionalFormatting sqref="F136:G1048576 G86:G135">
    <cfRule type="cellIs" dxfId="3296" priority="7774" operator="lessThan">
      <formula>0</formula>
    </cfRule>
  </conditionalFormatting>
  <conditionalFormatting sqref="F136:G1048576 G86:G135">
    <cfRule type="cellIs" dxfId="3295" priority="7773" operator="lessThan">
      <formula>0</formula>
    </cfRule>
  </conditionalFormatting>
  <conditionalFormatting sqref="F136:G1048576 G86:G135">
    <cfRule type="cellIs" dxfId="3294" priority="7772" operator="lessThan">
      <formula>0</formula>
    </cfRule>
  </conditionalFormatting>
  <conditionalFormatting sqref="F136:G1048576 G86:G135">
    <cfRule type="cellIs" dxfId="3293" priority="7771" operator="lessThan">
      <formula>0</formula>
    </cfRule>
  </conditionalFormatting>
  <conditionalFormatting sqref="F136:G1048576 G86:G135">
    <cfRule type="cellIs" dxfId="3292" priority="7770" operator="lessThan">
      <formula>0</formula>
    </cfRule>
  </conditionalFormatting>
  <conditionalFormatting sqref="F136:G1048576 G86:G135">
    <cfRule type="cellIs" dxfId="3291" priority="7769" operator="lessThan">
      <formula>0</formula>
    </cfRule>
  </conditionalFormatting>
  <conditionalFormatting sqref="F136:G1048576 G86:G135">
    <cfRule type="cellIs" dxfId="3290" priority="7768" operator="lessThan">
      <formula>0</formula>
    </cfRule>
  </conditionalFormatting>
  <conditionalFormatting sqref="F136:G1048576 G86:G135">
    <cfRule type="cellIs" dxfId="3289" priority="7767" operator="lessThan">
      <formula>0</formula>
    </cfRule>
  </conditionalFormatting>
  <conditionalFormatting sqref="F136:G1048576 G86:G135">
    <cfRule type="cellIs" dxfId="3288" priority="7766" operator="lessThan">
      <formula>0</formula>
    </cfRule>
  </conditionalFormatting>
  <conditionalFormatting sqref="F136:G1048576 G86:G135">
    <cfRule type="cellIs" dxfId="3287" priority="7765" operator="lessThan">
      <formula>0</formula>
    </cfRule>
  </conditionalFormatting>
  <conditionalFormatting sqref="F136:G1048576 G86:G135">
    <cfRule type="cellIs" dxfId="3286" priority="7764" operator="lessThan">
      <formula>0</formula>
    </cfRule>
  </conditionalFormatting>
  <conditionalFormatting sqref="F136:G1048576 G86:G135">
    <cfRule type="cellIs" dxfId="3285" priority="7763" operator="lessThan">
      <formula>0</formula>
    </cfRule>
  </conditionalFormatting>
  <conditionalFormatting sqref="F136:G1048576 G86:G135">
    <cfRule type="cellIs" dxfId="3284" priority="7762" operator="lessThan">
      <formula>0</formula>
    </cfRule>
  </conditionalFormatting>
  <conditionalFormatting sqref="F136:G1048576 G86:G135">
    <cfRule type="cellIs" dxfId="3283" priority="7761" operator="lessThan">
      <formula>0</formula>
    </cfRule>
  </conditionalFormatting>
  <conditionalFormatting sqref="F136:G1048576 G86:G135">
    <cfRule type="cellIs" dxfId="3282" priority="7760" operator="lessThan">
      <formula>0</formula>
    </cfRule>
  </conditionalFormatting>
  <conditionalFormatting sqref="F136:G1048576 G86:G135">
    <cfRule type="cellIs" dxfId="3281" priority="7759" operator="lessThan">
      <formula>0</formula>
    </cfRule>
  </conditionalFormatting>
  <conditionalFormatting sqref="F136:G1048576 G86:G135">
    <cfRule type="cellIs" dxfId="3280" priority="7758" operator="lessThan">
      <formula>0</formula>
    </cfRule>
  </conditionalFormatting>
  <conditionalFormatting sqref="F136:G1048576 G86:G135">
    <cfRule type="cellIs" dxfId="3279" priority="7757" operator="lessThan">
      <formula>0</formula>
    </cfRule>
  </conditionalFormatting>
  <conditionalFormatting sqref="F136:G1048576 G86:G135">
    <cfRule type="cellIs" dxfId="3278" priority="7756" operator="lessThan">
      <formula>0</formula>
    </cfRule>
  </conditionalFormatting>
  <conditionalFormatting sqref="F136:G1048576 G86:G135">
    <cfRule type="cellIs" dxfId="3277" priority="7755" operator="lessThan">
      <formula>0</formula>
    </cfRule>
  </conditionalFormatting>
  <conditionalFormatting sqref="F136:G1048576 G86:G135">
    <cfRule type="cellIs" dxfId="3276" priority="7754" operator="lessThan">
      <formula>0</formula>
    </cfRule>
  </conditionalFormatting>
  <conditionalFormatting sqref="F136:G1048576 G86:G135">
    <cfRule type="cellIs" dxfId="3275" priority="7753" operator="lessThan">
      <formula>0</formula>
    </cfRule>
  </conditionalFormatting>
  <conditionalFormatting sqref="F136:G1048576 G86:G135">
    <cfRule type="cellIs" dxfId="3274" priority="7752" operator="lessThan">
      <formula>0</formula>
    </cfRule>
  </conditionalFormatting>
  <conditionalFormatting sqref="F136:G1048576 G86:G135">
    <cfRule type="cellIs" dxfId="3273" priority="7751" operator="lessThan">
      <formula>0</formula>
    </cfRule>
  </conditionalFormatting>
  <conditionalFormatting sqref="F136:G1048576 G86:G135">
    <cfRule type="cellIs" dxfId="3272" priority="7750" operator="lessThan">
      <formula>0</formula>
    </cfRule>
  </conditionalFormatting>
  <conditionalFormatting sqref="F136:G1048576 G86:G135">
    <cfRule type="cellIs" dxfId="3271" priority="7749" operator="lessThan">
      <formula>0</formula>
    </cfRule>
  </conditionalFormatting>
  <conditionalFormatting sqref="F136:G1048576 G86:G135">
    <cfRule type="cellIs" dxfId="3270" priority="7748" operator="lessThan">
      <formula>0</formula>
    </cfRule>
  </conditionalFormatting>
  <conditionalFormatting sqref="F136:G1048576 G86:G135">
    <cfRule type="cellIs" dxfId="3269" priority="7747" operator="lessThan">
      <formula>0</formula>
    </cfRule>
  </conditionalFormatting>
  <conditionalFormatting sqref="F136:G1048576 G86:G135">
    <cfRule type="cellIs" dxfId="3268" priority="7746" operator="lessThan">
      <formula>0</formula>
    </cfRule>
  </conditionalFormatting>
  <conditionalFormatting sqref="F136:G1048576 G86:G135">
    <cfRule type="cellIs" dxfId="3267" priority="7745" operator="lessThan">
      <formula>0</formula>
    </cfRule>
  </conditionalFormatting>
  <conditionalFormatting sqref="F136:G1048576 G86:G135">
    <cfRule type="cellIs" dxfId="3266" priority="7744" operator="lessThan">
      <formula>0</formula>
    </cfRule>
  </conditionalFormatting>
  <conditionalFormatting sqref="F136:G1048576 G86:G135">
    <cfRule type="cellIs" dxfId="3265" priority="7743" operator="lessThan">
      <formula>0</formula>
    </cfRule>
  </conditionalFormatting>
  <conditionalFormatting sqref="F136:G1048576 G86:G135">
    <cfRule type="cellIs" dxfId="3264" priority="7742" operator="lessThan">
      <formula>0</formula>
    </cfRule>
  </conditionalFormatting>
  <conditionalFormatting sqref="F136:G1048576 G86:G135">
    <cfRule type="cellIs" dxfId="3263" priority="7741" operator="lessThan">
      <formula>0</formula>
    </cfRule>
  </conditionalFormatting>
  <conditionalFormatting sqref="F136:G1048576 G86:G135">
    <cfRule type="cellIs" dxfId="3262" priority="7740" operator="lessThan">
      <formula>0</formula>
    </cfRule>
  </conditionalFormatting>
  <conditionalFormatting sqref="F136:G1048576 G86:G135">
    <cfRule type="cellIs" dxfId="3261" priority="7739" operator="lessThan">
      <formula>0</formula>
    </cfRule>
  </conditionalFormatting>
  <conditionalFormatting sqref="F136:G1048576 G86:G135">
    <cfRule type="cellIs" dxfId="3260" priority="7738" operator="lessThan">
      <formula>0</formula>
    </cfRule>
  </conditionalFormatting>
  <conditionalFormatting sqref="F136:G1048576 G86:G135">
    <cfRule type="cellIs" dxfId="3259" priority="7737" operator="lessThan">
      <formula>0</formula>
    </cfRule>
  </conditionalFormatting>
  <conditionalFormatting sqref="F136:G1048576 G86:G135">
    <cfRule type="cellIs" dxfId="3258" priority="7736" operator="lessThan">
      <formula>0</formula>
    </cfRule>
  </conditionalFormatting>
  <conditionalFormatting sqref="F136:G1048576 G86:G135">
    <cfRule type="cellIs" dxfId="3257" priority="7735" operator="lessThan">
      <formula>0</formula>
    </cfRule>
  </conditionalFormatting>
  <conditionalFormatting sqref="F136:G1048576 G86:G135">
    <cfRule type="cellIs" dxfId="3256" priority="7734" operator="lessThan">
      <formula>0</formula>
    </cfRule>
  </conditionalFormatting>
  <conditionalFormatting sqref="F136:G1048576 G86:G135">
    <cfRule type="cellIs" dxfId="3255" priority="7733" operator="lessThan">
      <formula>0</formula>
    </cfRule>
  </conditionalFormatting>
  <conditionalFormatting sqref="F136:G1048576 G86:G135">
    <cfRule type="cellIs" dxfId="3254" priority="7732" operator="lessThan">
      <formula>0</formula>
    </cfRule>
  </conditionalFormatting>
  <conditionalFormatting sqref="F136:G1048576 G86:G135">
    <cfRule type="cellIs" dxfId="3253" priority="7731" operator="lessThan">
      <formula>0</formula>
    </cfRule>
  </conditionalFormatting>
  <conditionalFormatting sqref="F136:G1048576 G86:G135">
    <cfRule type="cellIs" dxfId="3252" priority="7730" operator="lessThan">
      <formula>0</formula>
    </cfRule>
  </conditionalFormatting>
  <conditionalFormatting sqref="F136:G1048576 G86:G135">
    <cfRule type="cellIs" dxfId="3251" priority="7729" operator="lessThan">
      <formula>0</formula>
    </cfRule>
  </conditionalFormatting>
  <conditionalFormatting sqref="F136:G1048576 G86:G135">
    <cfRule type="cellIs" dxfId="3250" priority="7728" operator="lessThan">
      <formula>0</formula>
    </cfRule>
  </conditionalFormatting>
  <conditionalFormatting sqref="F136:G1048576 G86:G135">
    <cfRule type="cellIs" dxfId="3249" priority="7727" operator="lessThan">
      <formula>0</formula>
    </cfRule>
  </conditionalFormatting>
  <conditionalFormatting sqref="F136:G1048576 G86:G135">
    <cfRule type="cellIs" dxfId="3248" priority="7726" operator="lessThan">
      <formula>0</formula>
    </cfRule>
  </conditionalFormatting>
  <conditionalFormatting sqref="F136:G1048576 G86:G135">
    <cfRule type="cellIs" dxfId="3247" priority="7725" operator="lessThan">
      <formula>0</formula>
    </cfRule>
  </conditionalFormatting>
  <conditionalFormatting sqref="F136:G1048576 G86:G135">
    <cfRule type="cellIs" dxfId="3246" priority="7724" operator="lessThan">
      <formula>0</formula>
    </cfRule>
  </conditionalFormatting>
  <conditionalFormatting sqref="F136:G1048576 G86:G135">
    <cfRule type="cellIs" dxfId="3245" priority="7723" operator="lessThan">
      <formula>0</formula>
    </cfRule>
  </conditionalFormatting>
  <conditionalFormatting sqref="F136:G1048576 G86:G135">
    <cfRule type="cellIs" dxfId="3244" priority="7722" operator="lessThan">
      <formula>0</formula>
    </cfRule>
  </conditionalFormatting>
  <conditionalFormatting sqref="F136:G1048576 G86:G135">
    <cfRule type="cellIs" dxfId="3243" priority="7721" operator="lessThan">
      <formula>0</formula>
    </cfRule>
  </conditionalFormatting>
  <conditionalFormatting sqref="F136:G1048576 G86:G135">
    <cfRule type="cellIs" dxfId="3242" priority="7720" operator="lessThan">
      <formula>0</formula>
    </cfRule>
  </conditionalFormatting>
  <conditionalFormatting sqref="F136:G1048576 G86:G135">
    <cfRule type="cellIs" dxfId="3241" priority="7719" operator="lessThan">
      <formula>0</formula>
    </cfRule>
  </conditionalFormatting>
  <conditionalFormatting sqref="F136:G1048576 G86:G135">
    <cfRule type="cellIs" dxfId="3240" priority="7718" operator="lessThan">
      <formula>0</formula>
    </cfRule>
  </conditionalFormatting>
  <conditionalFormatting sqref="F136:G1048576 G86:G135">
    <cfRule type="cellIs" dxfId="3239" priority="7717" operator="lessThan">
      <formula>0</formula>
    </cfRule>
  </conditionalFormatting>
  <conditionalFormatting sqref="F136:G1048576 G86:G135">
    <cfRule type="cellIs" dxfId="3238" priority="7716" operator="lessThan">
      <formula>0</formula>
    </cfRule>
  </conditionalFormatting>
  <conditionalFormatting sqref="F136:G1048576 G86:G135">
    <cfRule type="cellIs" dxfId="3237" priority="7715" operator="lessThan">
      <formula>0</formula>
    </cfRule>
  </conditionalFormatting>
  <conditionalFormatting sqref="F136:G1048576 G86:G135">
    <cfRule type="cellIs" dxfId="3236" priority="7714" operator="lessThan">
      <formula>0</formula>
    </cfRule>
  </conditionalFormatting>
  <conditionalFormatting sqref="F136:G1048576 G86:G135">
    <cfRule type="cellIs" dxfId="3235" priority="7713" operator="lessThan">
      <formula>0</formula>
    </cfRule>
  </conditionalFormatting>
  <conditionalFormatting sqref="F136:G1048576 G86:G135">
    <cfRule type="cellIs" dxfId="3234" priority="7712" operator="lessThan">
      <formula>0</formula>
    </cfRule>
  </conditionalFormatting>
  <conditionalFormatting sqref="F136:G1048576 G86:G135">
    <cfRule type="cellIs" dxfId="3233" priority="7711" operator="lessThan">
      <formula>0</formula>
    </cfRule>
  </conditionalFormatting>
  <conditionalFormatting sqref="F136:G1048576 G86:G135">
    <cfRule type="cellIs" dxfId="3232" priority="7710" operator="lessThan">
      <formula>0</formula>
    </cfRule>
  </conditionalFormatting>
  <conditionalFormatting sqref="F136:G1048576 G86:G135">
    <cfRule type="cellIs" dxfId="3231" priority="7709" operator="lessThan">
      <formula>0</formula>
    </cfRule>
  </conditionalFormatting>
  <conditionalFormatting sqref="F136:G1048576 G86:G135">
    <cfRule type="cellIs" dxfId="3230" priority="7708" operator="lessThan">
      <formula>0</formula>
    </cfRule>
  </conditionalFormatting>
  <conditionalFormatting sqref="F136:G1048576 G86:G135">
    <cfRule type="cellIs" dxfId="3229" priority="7707" operator="lessThan">
      <formula>0</formula>
    </cfRule>
  </conditionalFormatting>
  <conditionalFormatting sqref="F136:G1048576 G86:G135">
    <cfRule type="cellIs" dxfId="3228" priority="7706" operator="lessThan">
      <formula>0</formula>
    </cfRule>
  </conditionalFormatting>
  <conditionalFormatting sqref="F136:G1048576 G86:G135">
    <cfRule type="cellIs" dxfId="3227" priority="7705" operator="lessThan">
      <formula>0</formula>
    </cfRule>
  </conditionalFormatting>
  <conditionalFormatting sqref="F136:G1048576 G86:G135">
    <cfRule type="cellIs" dxfId="3226" priority="7704" operator="lessThan">
      <formula>0</formula>
    </cfRule>
  </conditionalFormatting>
  <conditionalFormatting sqref="F136:G1048576 G86:G135">
    <cfRule type="cellIs" dxfId="3225" priority="7703" operator="lessThan">
      <formula>0</formula>
    </cfRule>
  </conditionalFormatting>
  <conditionalFormatting sqref="F136:G1048576 G86:G135">
    <cfRule type="cellIs" dxfId="3224" priority="7702" operator="lessThan">
      <formula>0</formula>
    </cfRule>
  </conditionalFormatting>
  <conditionalFormatting sqref="F136:G1048576 G86:G135">
    <cfRule type="cellIs" dxfId="3223" priority="7701" operator="lessThan">
      <formula>0</formula>
    </cfRule>
  </conditionalFormatting>
  <conditionalFormatting sqref="F136:G1048576 G86:G135">
    <cfRule type="cellIs" dxfId="3222" priority="7700" operator="lessThan">
      <formula>0</formula>
    </cfRule>
  </conditionalFormatting>
  <conditionalFormatting sqref="F136:G1048576 G86:G135">
    <cfRule type="cellIs" dxfId="3221" priority="7699" operator="lessThan">
      <formula>0</formula>
    </cfRule>
  </conditionalFormatting>
  <conditionalFormatting sqref="F136:G1048576 G86:G135">
    <cfRule type="cellIs" dxfId="3220" priority="7698" operator="lessThan">
      <formula>0</formula>
    </cfRule>
  </conditionalFormatting>
  <conditionalFormatting sqref="F136:G1048576 G86:G135">
    <cfRule type="cellIs" dxfId="3219" priority="7697" operator="lessThan">
      <formula>0</formula>
    </cfRule>
  </conditionalFormatting>
  <conditionalFormatting sqref="F136:G1048576 G86:G135">
    <cfRule type="cellIs" dxfId="3218" priority="7696" operator="lessThan">
      <formula>0</formula>
    </cfRule>
  </conditionalFormatting>
  <conditionalFormatting sqref="F136:G1048576 G86:G135">
    <cfRule type="cellIs" dxfId="3217" priority="7695" operator="lessThan">
      <formula>0</formula>
    </cfRule>
  </conditionalFormatting>
  <conditionalFormatting sqref="F136:G1048576 G86:G135">
    <cfRule type="cellIs" dxfId="3216" priority="7694" operator="lessThan">
      <formula>0</formula>
    </cfRule>
  </conditionalFormatting>
  <conditionalFormatting sqref="F136:G1048576 G86:G135">
    <cfRule type="cellIs" dxfId="3215" priority="7693" operator="lessThan">
      <formula>0</formula>
    </cfRule>
  </conditionalFormatting>
  <conditionalFormatting sqref="F136:G1048576 G86:G135">
    <cfRule type="cellIs" dxfId="3214" priority="7692" operator="lessThan">
      <formula>0</formula>
    </cfRule>
  </conditionalFormatting>
  <conditionalFormatting sqref="F136:G1048576 G86:G135">
    <cfRule type="cellIs" dxfId="3213" priority="7691" operator="lessThan">
      <formula>0</formula>
    </cfRule>
  </conditionalFormatting>
  <conditionalFormatting sqref="F136:G1048576 G86:G135">
    <cfRule type="cellIs" dxfId="3212" priority="7690" operator="lessThan">
      <formula>0</formula>
    </cfRule>
  </conditionalFormatting>
  <conditionalFormatting sqref="F136:G1048576 G86:G135">
    <cfRule type="cellIs" dxfId="3211" priority="7689" operator="lessThan">
      <formula>0</formula>
    </cfRule>
  </conditionalFormatting>
  <conditionalFormatting sqref="F136:G1048576 G86:G135">
    <cfRule type="cellIs" dxfId="3210" priority="7688" operator="lessThan">
      <formula>0</formula>
    </cfRule>
  </conditionalFormatting>
  <conditionalFormatting sqref="F136:G1048576 G86:G135">
    <cfRule type="cellIs" dxfId="3209" priority="7687" operator="lessThan">
      <formula>0</formula>
    </cfRule>
  </conditionalFormatting>
  <conditionalFormatting sqref="F136:G1048576 G86:G135">
    <cfRule type="cellIs" dxfId="3208" priority="7686" operator="lessThan">
      <formula>0</formula>
    </cfRule>
  </conditionalFormatting>
  <conditionalFormatting sqref="F136:G1048576 G86:G135">
    <cfRule type="cellIs" dxfId="3207" priority="7685" operator="lessThan">
      <formula>0</formula>
    </cfRule>
  </conditionalFormatting>
  <conditionalFormatting sqref="F136:G1048576 G86:G135">
    <cfRule type="cellIs" dxfId="3206" priority="7684" operator="lessThan">
      <formula>0</formula>
    </cfRule>
  </conditionalFormatting>
  <conditionalFormatting sqref="F136:G1048576 G86:G135">
    <cfRule type="cellIs" dxfId="3205" priority="7683" operator="lessThan">
      <formula>0</formula>
    </cfRule>
  </conditionalFormatting>
  <conditionalFormatting sqref="F136:G1048576 G86:G135">
    <cfRule type="cellIs" dxfId="3204" priority="7682" operator="lessThan">
      <formula>0</formula>
    </cfRule>
  </conditionalFormatting>
  <conditionalFormatting sqref="F136:G1048576 G86:G135">
    <cfRule type="cellIs" dxfId="3203" priority="7681" operator="lessThan">
      <formula>0</formula>
    </cfRule>
  </conditionalFormatting>
  <conditionalFormatting sqref="F136:G1048576 G86:G135">
    <cfRule type="cellIs" dxfId="3202" priority="7680" operator="lessThan">
      <formula>0</formula>
    </cfRule>
  </conditionalFormatting>
  <conditionalFormatting sqref="F136:G1048576 G86:G135">
    <cfRule type="cellIs" dxfId="3201" priority="7679" operator="lessThan">
      <formula>0</formula>
    </cfRule>
  </conditionalFormatting>
  <conditionalFormatting sqref="F136:G1048576 G86:G135">
    <cfRule type="cellIs" dxfId="3200" priority="7678" operator="lessThan">
      <formula>0</formula>
    </cfRule>
  </conditionalFormatting>
  <conditionalFormatting sqref="F136:G1048576 G86:G135">
    <cfRule type="cellIs" dxfId="3199" priority="7677" operator="lessThan">
      <formula>0</formula>
    </cfRule>
  </conditionalFormatting>
  <conditionalFormatting sqref="F136:G1048576 G86:G135">
    <cfRule type="cellIs" dxfId="3198" priority="7676" operator="lessThan">
      <formula>0</formula>
    </cfRule>
  </conditionalFormatting>
  <conditionalFormatting sqref="F136:G1048576 G86:G135">
    <cfRule type="cellIs" dxfId="3197" priority="7675" operator="lessThan">
      <formula>0</formula>
    </cfRule>
  </conditionalFormatting>
  <conditionalFormatting sqref="F136:G1048576 G86:G135">
    <cfRule type="cellIs" dxfId="3196" priority="7674" operator="lessThan">
      <formula>0</formula>
    </cfRule>
  </conditionalFormatting>
  <conditionalFormatting sqref="F136:G1048576 G86:G135">
    <cfRule type="cellIs" dxfId="3195" priority="7673" operator="lessThan">
      <formula>0</formula>
    </cfRule>
  </conditionalFormatting>
  <conditionalFormatting sqref="F136:G1048576 G61:G135">
    <cfRule type="cellIs" dxfId="3194" priority="7672" operator="lessThan">
      <formula>0</formula>
    </cfRule>
  </conditionalFormatting>
  <conditionalFormatting sqref="F136:G1048576 G61:G135">
    <cfRule type="cellIs" dxfId="3193" priority="7671" operator="lessThan">
      <formula>0</formula>
    </cfRule>
  </conditionalFormatting>
  <conditionalFormatting sqref="F136:G1048576 G61:G135">
    <cfRule type="cellIs" dxfId="3192" priority="7670" operator="lessThan">
      <formula>0</formula>
    </cfRule>
  </conditionalFormatting>
  <conditionalFormatting sqref="F136:G1048576 G61:G135">
    <cfRule type="cellIs" dxfId="3191" priority="7669" operator="lessThan">
      <formula>0</formula>
    </cfRule>
  </conditionalFormatting>
  <conditionalFormatting sqref="F136:G1048576 G61:G135">
    <cfRule type="cellIs" dxfId="3190" priority="7668" operator="lessThan">
      <formula>0</formula>
    </cfRule>
  </conditionalFormatting>
  <conditionalFormatting sqref="F136:G1048576 G61:G135">
    <cfRule type="cellIs" dxfId="3189" priority="7667" operator="lessThan">
      <formula>0</formula>
    </cfRule>
  </conditionalFormatting>
  <conditionalFormatting sqref="F136:G1048576 G61:G135">
    <cfRule type="cellIs" dxfId="3188" priority="7666" operator="lessThan">
      <formula>0</formula>
    </cfRule>
  </conditionalFormatting>
  <conditionalFormatting sqref="F136:G1048576 G61:G135">
    <cfRule type="cellIs" dxfId="3187" priority="7665" operator="lessThan">
      <formula>0</formula>
    </cfRule>
  </conditionalFormatting>
  <conditionalFormatting sqref="F136:G1048576 G61:G135">
    <cfRule type="cellIs" dxfId="3186" priority="7664" operator="lessThan">
      <formula>0</formula>
    </cfRule>
  </conditionalFormatting>
  <conditionalFormatting sqref="F136:G1048576 G61:G135">
    <cfRule type="cellIs" dxfId="3185" priority="7663" operator="lessThan">
      <formula>0</formula>
    </cfRule>
  </conditionalFormatting>
  <conditionalFormatting sqref="F136:G1048576 G61:G135">
    <cfRule type="cellIs" dxfId="3184" priority="7662" operator="lessThan">
      <formula>0</formula>
    </cfRule>
  </conditionalFormatting>
  <conditionalFormatting sqref="F136:G1048576 G61:G135">
    <cfRule type="cellIs" dxfId="3183" priority="7661" operator="lessThan">
      <formula>0</formula>
    </cfRule>
  </conditionalFormatting>
  <conditionalFormatting sqref="F136:G1048576 G61:G135">
    <cfRule type="cellIs" dxfId="3182" priority="7660" operator="lessThan">
      <formula>0</formula>
    </cfRule>
  </conditionalFormatting>
  <conditionalFormatting sqref="F136:G1048576 G61:G135">
    <cfRule type="cellIs" dxfId="3181" priority="7659" operator="lessThan">
      <formula>0</formula>
    </cfRule>
  </conditionalFormatting>
  <conditionalFormatting sqref="F136:G1048576 G61:G135">
    <cfRule type="cellIs" dxfId="3180" priority="7658" operator="lessThan">
      <formula>0</formula>
    </cfRule>
  </conditionalFormatting>
  <conditionalFormatting sqref="F136:G1048576 G61:G135">
    <cfRule type="cellIs" dxfId="3179" priority="7657" operator="lessThan">
      <formula>0</formula>
    </cfRule>
  </conditionalFormatting>
  <conditionalFormatting sqref="F136:G1048576 G61:G135">
    <cfRule type="cellIs" dxfId="3178" priority="7656" operator="lessThan">
      <formula>0</formula>
    </cfRule>
  </conditionalFormatting>
  <conditionalFormatting sqref="F136:G1048576 G61:G135">
    <cfRule type="cellIs" dxfId="3177" priority="7655" operator="lessThan">
      <formula>0</formula>
    </cfRule>
  </conditionalFormatting>
  <conditionalFormatting sqref="F136:G1048576 G61:G135">
    <cfRule type="cellIs" dxfId="3176" priority="7654" operator="lessThan">
      <formula>0</formula>
    </cfRule>
  </conditionalFormatting>
  <conditionalFormatting sqref="F136:G1048576 G61:G135">
    <cfRule type="cellIs" dxfId="3175" priority="7653" operator="lessThan">
      <formula>0</formula>
    </cfRule>
  </conditionalFormatting>
  <conditionalFormatting sqref="F136:G1048576 G61:G135">
    <cfRule type="cellIs" dxfId="3174" priority="7652" operator="lessThan">
      <formula>0</formula>
    </cfRule>
  </conditionalFormatting>
  <conditionalFormatting sqref="F136:G1048576 G61:G135">
    <cfRule type="cellIs" dxfId="3173" priority="7651" operator="lessThan">
      <formula>0</formula>
    </cfRule>
  </conditionalFormatting>
  <conditionalFormatting sqref="F136:G1048576 G61:G135">
    <cfRule type="cellIs" dxfId="3172" priority="7650" operator="lessThan">
      <formula>0</formula>
    </cfRule>
  </conditionalFormatting>
  <conditionalFormatting sqref="F136:G1048576 G61:G135">
    <cfRule type="cellIs" dxfId="3171" priority="7649" operator="lessThan">
      <formula>0</formula>
    </cfRule>
  </conditionalFormatting>
  <conditionalFormatting sqref="F136:G1048576 G61:G135">
    <cfRule type="cellIs" dxfId="3170" priority="7648" operator="lessThan">
      <formula>0</formula>
    </cfRule>
  </conditionalFormatting>
  <conditionalFormatting sqref="F136:G1048576 G61:G135">
    <cfRule type="cellIs" dxfId="3169" priority="7647" operator="lessThan">
      <formula>0</formula>
    </cfRule>
  </conditionalFormatting>
  <conditionalFormatting sqref="F136:G1048576 G61:G135">
    <cfRule type="cellIs" dxfId="3168" priority="7646" operator="lessThan">
      <formula>0</formula>
    </cfRule>
  </conditionalFormatting>
  <conditionalFormatting sqref="F136:G1048576 G61:G135">
    <cfRule type="cellIs" dxfId="3167" priority="7645" operator="lessThan">
      <formula>0</formula>
    </cfRule>
  </conditionalFormatting>
  <conditionalFormatting sqref="F136:G1048576 G61:G135">
    <cfRule type="cellIs" dxfId="3166" priority="7644" operator="lessThan">
      <formula>0</formula>
    </cfRule>
  </conditionalFormatting>
  <conditionalFormatting sqref="F136:G1048576 G61:G135">
    <cfRule type="cellIs" dxfId="3165" priority="7643" operator="lessThan">
      <formula>0</formula>
    </cfRule>
  </conditionalFormatting>
  <conditionalFormatting sqref="F136:G1048576 G61:G135">
    <cfRule type="cellIs" dxfId="3164" priority="7642" operator="lessThan">
      <formula>0</formula>
    </cfRule>
  </conditionalFormatting>
  <conditionalFormatting sqref="F136:G1048576 G61:G135">
    <cfRule type="cellIs" dxfId="3163" priority="7641" operator="lessThan">
      <formula>0</formula>
    </cfRule>
  </conditionalFormatting>
  <conditionalFormatting sqref="F136:G1048576 G61:G135">
    <cfRule type="cellIs" dxfId="3162" priority="7640" operator="lessThan">
      <formula>0</formula>
    </cfRule>
  </conditionalFormatting>
  <conditionalFormatting sqref="F136:G1048576 G61:G135">
    <cfRule type="cellIs" dxfId="3161" priority="7639" operator="lessThan">
      <formula>0</formula>
    </cfRule>
  </conditionalFormatting>
  <conditionalFormatting sqref="F136:G1048576 G61:G135">
    <cfRule type="cellIs" dxfId="3160" priority="7638" operator="lessThan">
      <formula>0</formula>
    </cfRule>
  </conditionalFormatting>
  <conditionalFormatting sqref="F136:G1048576 G61:G135">
    <cfRule type="cellIs" dxfId="3159" priority="7637" operator="lessThan">
      <formula>0</formula>
    </cfRule>
  </conditionalFormatting>
  <conditionalFormatting sqref="F136:G1048576 G61:G135">
    <cfRule type="cellIs" dxfId="3158" priority="7636" operator="lessThan">
      <formula>0</formula>
    </cfRule>
  </conditionalFormatting>
  <conditionalFormatting sqref="F136:G1048576 G61:G135">
    <cfRule type="cellIs" dxfId="3157" priority="7635" operator="lessThan">
      <formula>0</formula>
    </cfRule>
  </conditionalFormatting>
  <conditionalFormatting sqref="F136:G1048576 G61:G135">
    <cfRule type="cellIs" dxfId="3156" priority="7634" operator="lessThan">
      <formula>0</formula>
    </cfRule>
  </conditionalFormatting>
  <conditionalFormatting sqref="F136:G1048576 G61:G135">
    <cfRule type="cellIs" dxfId="3155" priority="7633" operator="lessThan">
      <formula>0</formula>
    </cfRule>
  </conditionalFormatting>
  <conditionalFormatting sqref="F136:G1048576 G61:G135">
    <cfRule type="cellIs" dxfId="3154" priority="7632" operator="lessThan">
      <formula>0</formula>
    </cfRule>
  </conditionalFormatting>
  <conditionalFormatting sqref="F136:G1048576 G61:G135">
    <cfRule type="cellIs" dxfId="3153" priority="7631" operator="lessThan">
      <formula>0</formula>
    </cfRule>
  </conditionalFormatting>
  <conditionalFormatting sqref="F136:G1048576 G61:G135">
    <cfRule type="cellIs" dxfId="3152" priority="7630" operator="lessThan">
      <formula>0</formula>
    </cfRule>
  </conditionalFormatting>
  <conditionalFormatting sqref="F136:G1048576 G61:G135">
    <cfRule type="cellIs" dxfId="3151" priority="7629" operator="lessThan">
      <formula>0</formula>
    </cfRule>
  </conditionalFormatting>
  <conditionalFormatting sqref="F136:G1048576 G61:G135">
    <cfRule type="cellIs" dxfId="3150" priority="7628" operator="lessThan">
      <formula>0</formula>
    </cfRule>
  </conditionalFormatting>
  <conditionalFormatting sqref="F136:G1048576 G61:G135">
    <cfRule type="cellIs" dxfId="3149" priority="7627" operator="lessThan">
      <formula>0</formula>
    </cfRule>
  </conditionalFormatting>
  <conditionalFormatting sqref="F136:G1048576 G61:G135">
    <cfRule type="cellIs" dxfId="3148" priority="7626" operator="lessThan">
      <formula>0</formula>
    </cfRule>
  </conditionalFormatting>
  <conditionalFormatting sqref="F136:G1048576 G61:G135">
    <cfRule type="cellIs" dxfId="3147" priority="7625" operator="lessThan">
      <formula>0</formula>
    </cfRule>
  </conditionalFormatting>
  <conditionalFormatting sqref="F136:G1048576 G61:G135">
    <cfRule type="cellIs" dxfId="3146" priority="7624" operator="lessThan">
      <formula>0</formula>
    </cfRule>
  </conditionalFormatting>
  <conditionalFormatting sqref="F136:G1048576 G61:G135">
    <cfRule type="cellIs" dxfId="3145" priority="7623" operator="lessThan">
      <formula>0</formula>
    </cfRule>
  </conditionalFormatting>
  <conditionalFormatting sqref="F136:G1048576 G61:G135">
    <cfRule type="cellIs" dxfId="3144" priority="7622" operator="lessThan">
      <formula>0</formula>
    </cfRule>
  </conditionalFormatting>
  <conditionalFormatting sqref="F136:G1048576 G61:G135">
    <cfRule type="cellIs" dxfId="3143" priority="7621" operator="lessThan">
      <formula>0</formula>
    </cfRule>
  </conditionalFormatting>
  <conditionalFormatting sqref="F136:G1048576 G61:G135">
    <cfRule type="cellIs" dxfId="3142" priority="7620" operator="lessThan">
      <formula>0</formula>
    </cfRule>
  </conditionalFormatting>
  <conditionalFormatting sqref="F136:G1048576 G61:G135">
    <cfRule type="cellIs" dxfId="3141" priority="7619" operator="lessThan">
      <formula>0</formula>
    </cfRule>
  </conditionalFormatting>
  <conditionalFormatting sqref="F136:G1048576 G61:G135">
    <cfRule type="cellIs" dxfId="3140" priority="7618" operator="lessThan">
      <formula>0</formula>
    </cfRule>
  </conditionalFormatting>
  <conditionalFormatting sqref="F136:G1048576 G61:G135">
    <cfRule type="cellIs" dxfId="3139" priority="7617" operator="lessThan">
      <formula>0</formula>
    </cfRule>
  </conditionalFormatting>
  <conditionalFormatting sqref="F136:G1048576 G61:G135">
    <cfRule type="cellIs" dxfId="3138" priority="7616" operator="lessThan">
      <formula>0</formula>
    </cfRule>
  </conditionalFormatting>
  <conditionalFormatting sqref="F136:G1048576 G61:G135">
    <cfRule type="cellIs" dxfId="3137" priority="7615" operator="lessThan">
      <formula>0</formula>
    </cfRule>
  </conditionalFormatting>
  <conditionalFormatting sqref="F136:G1048576 G61:G135">
    <cfRule type="cellIs" dxfId="3136" priority="7614" operator="lessThan">
      <formula>0</formula>
    </cfRule>
  </conditionalFormatting>
  <conditionalFormatting sqref="F136:G1048576 G61:G135">
    <cfRule type="cellIs" dxfId="3135" priority="7613" operator="lessThan">
      <formula>0</formula>
    </cfRule>
  </conditionalFormatting>
  <conditionalFormatting sqref="F136:G1048576 G61:G135">
    <cfRule type="cellIs" dxfId="3134" priority="7612" operator="lessThan">
      <formula>0</formula>
    </cfRule>
  </conditionalFormatting>
  <conditionalFormatting sqref="F136:G1048576 G61:G135">
    <cfRule type="cellIs" dxfId="3133" priority="7611" operator="lessThan">
      <formula>0</formula>
    </cfRule>
  </conditionalFormatting>
  <conditionalFormatting sqref="F136:G1048576 G61:G135">
    <cfRule type="cellIs" dxfId="3132" priority="7610" operator="lessThan">
      <formula>0</formula>
    </cfRule>
  </conditionalFormatting>
  <conditionalFormatting sqref="F136:G1048576 G61:G135">
    <cfRule type="cellIs" dxfId="3131" priority="7609" operator="lessThan">
      <formula>0</formula>
    </cfRule>
  </conditionalFormatting>
  <conditionalFormatting sqref="F136:G1048576 G61:G135">
    <cfRule type="cellIs" dxfId="3130" priority="7608" operator="lessThan">
      <formula>0</formula>
    </cfRule>
  </conditionalFormatting>
  <conditionalFormatting sqref="F136:G1048576 G61:G135">
    <cfRule type="cellIs" dxfId="3129" priority="7607" operator="lessThan">
      <formula>0</formula>
    </cfRule>
  </conditionalFormatting>
  <conditionalFormatting sqref="F136:G1048576 G61:G135">
    <cfRule type="cellIs" dxfId="3128" priority="7606" operator="lessThan">
      <formula>0</formula>
    </cfRule>
  </conditionalFormatting>
  <conditionalFormatting sqref="F136:G1048576 G61:G135">
    <cfRule type="cellIs" dxfId="3127" priority="7605" operator="lessThan">
      <formula>0</formula>
    </cfRule>
  </conditionalFormatting>
  <conditionalFormatting sqref="F136:G1048576 G61:G135">
    <cfRule type="cellIs" dxfId="3126" priority="7604" operator="lessThan">
      <formula>0</formula>
    </cfRule>
  </conditionalFormatting>
  <conditionalFormatting sqref="F136:G1048576 G61:G135">
    <cfRule type="cellIs" dxfId="3125" priority="7603" operator="lessThan">
      <formula>0</formula>
    </cfRule>
  </conditionalFormatting>
  <conditionalFormatting sqref="F136:G1048576 G61:G135">
    <cfRule type="cellIs" dxfId="3124" priority="7602" operator="lessThan">
      <formula>0</formula>
    </cfRule>
  </conditionalFormatting>
  <conditionalFormatting sqref="F136:G1048576 G61:G135">
    <cfRule type="cellIs" dxfId="3123" priority="7601" operator="lessThan">
      <formula>0</formula>
    </cfRule>
  </conditionalFormatting>
  <conditionalFormatting sqref="F136:G1048576 G61:G135">
    <cfRule type="cellIs" dxfId="3122" priority="7600" operator="lessThan">
      <formula>0</formula>
    </cfRule>
  </conditionalFormatting>
  <conditionalFormatting sqref="F136:G1048576 G61:G135">
    <cfRule type="cellIs" dxfId="3121" priority="7599" operator="lessThan">
      <formula>0</formula>
    </cfRule>
  </conditionalFormatting>
  <conditionalFormatting sqref="F136:G1048576 G61:G135">
    <cfRule type="cellIs" dxfId="3120" priority="7598" operator="lessThan">
      <formula>0</formula>
    </cfRule>
  </conditionalFormatting>
  <conditionalFormatting sqref="F136:G1048576 G61:G135">
    <cfRule type="cellIs" dxfId="3119" priority="7597" operator="lessThan">
      <formula>0</formula>
    </cfRule>
  </conditionalFormatting>
  <conditionalFormatting sqref="F136:G1048576 G61:G135">
    <cfRule type="cellIs" dxfId="3118" priority="7596" operator="lessThan">
      <formula>0</formula>
    </cfRule>
  </conditionalFormatting>
  <conditionalFormatting sqref="F136:G1048576 G61:G135">
    <cfRule type="cellIs" dxfId="3117" priority="7595" operator="lessThan">
      <formula>0</formula>
    </cfRule>
  </conditionalFormatting>
  <conditionalFormatting sqref="F136:G1048576 G61:G135">
    <cfRule type="cellIs" dxfId="3116" priority="7594" operator="lessThan">
      <formula>0</formula>
    </cfRule>
  </conditionalFormatting>
  <conditionalFormatting sqref="F136:G1048576 G61:G135">
    <cfRule type="cellIs" dxfId="3115" priority="7593" operator="lessThan">
      <formula>0</formula>
    </cfRule>
  </conditionalFormatting>
  <conditionalFormatting sqref="F136:G1048576 G61:G135">
    <cfRule type="cellIs" dxfId="3114" priority="7592" operator="lessThan">
      <formula>0</formula>
    </cfRule>
  </conditionalFormatting>
  <conditionalFormatting sqref="F136:G1048576 G61:G135">
    <cfRule type="cellIs" dxfId="3113" priority="7591" operator="lessThan">
      <formula>0</formula>
    </cfRule>
  </conditionalFormatting>
  <conditionalFormatting sqref="F136:G1048576 G61:G135">
    <cfRule type="cellIs" dxfId="3112" priority="7590" operator="lessThan">
      <formula>0</formula>
    </cfRule>
  </conditionalFormatting>
  <conditionalFormatting sqref="F136:G1048576 G61:G135">
    <cfRule type="cellIs" dxfId="3111" priority="7589" operator="lessThan">
      <formula>0</formula>
    </cfRule>
  </conditionalFormatting>
  <conditionalFormatting sqref="F136:G1048576 G61:G135">
    <cfRule type="cellIs" dxfId="3110" priority="7588" operator="lessThan">
      <formula>0</formula>
    </cfRule>
  </conditionalFormatting>
  <conditionalFormatting sqref="F136:G1048576 G61:G135">
    <cfRule type="cellIs" dxfId="3109" priority="7587" operator="lessThan">
      <formula>0</formula>
    </cfRule>
  </conditionalFormatting>
  <conditionalFormatting sqref="F136:G1048576 G61:G135">
    <cfRule type="cellIs" dxfId="3108" priority="7586" operator="lessThan">
      <formula>0</formula>
    </cfRule>
  </conditionalFormatting>
  <conditionalFormatting sqref="F136:G1048576 G61:G135">
    <cfRule type="cellIs" dxfId="3107" priority="7585" operator="lessThan">
      <formula>0</formula>
    </cfRule>
  </conditionalFormatting>
  <conditionalFormatting sqref="F136:G1048576 G61:G135">
    <cfRule type="cellIs" dxfId="3106" priority="7584" operator="lessThan">
      <formula>0</formula>
    </cfRule>
  </conditionalFormatting>
  <conditionalFormatting sqref="F136:G1048576 G61:G135">
    <cfRule type="cellIs" dxfId="3105" priority="7583" operator="lessThan">
      <formula>0</formula>
    </cfRule>
  </conditionalFormatting>
  <conditionalFormatting sqref="F136:G1048576 G61:G135">
    <cfRule type="cellIs" dxfId="3104" priority="7582" operator="lessThan">
      <formula>0</formula>
    </cfRule>
  </conditionalFormatting>
  <conditionalFormatting sqref="F136:G1048576 G61:G135">
    <cfRule type="cellIs" dxfId="3103" priority="7581" operator="lessThan">
      <formula>0</formula>
    </cfRule>
  </conditionalFormatting>
  <conditionalFormatting sqref="F136:G1048576 G61:G135">
    <cfRule type="cellIs" dxfId="3102" priority="7580" operator="lessThan">
      <formula>0</formula>
    </cfRule>
  </conditionalFormatting>
  <conditionalFormatting sqref="F136:G1048576 G61:G135">
    <cfRule type="cellIs" dxfId="3101" priority="7579" operator="lessThan">
      <formula>0</formula>
    </cfRule>
  </conditionalFormatting>
  <conditionalFormatting sqref="F136:G1048576 G61:G135">
    <cfRule type="cellIs" dxfId="3100" priority="7578" operator="lessThan">
      <formula>0</formula>
    </cfRule>
  </conditionalFormatting>
  <conditionalFormatting sqref="F136:G1048576 G61:G135">
    <cfRule type="cellIs" dxfId="3099" priority="7577" operator="lessThan">
      <formula>0</formula>
    </cfRule>
  </conditionalFormatting>
  <conditionalFormatting sqref="F136:G1048576 G61:G135">
    <cfRule type="cellIs" dxfId="3098" priority="7576" operator="lessThan">
      <formula>0</formula>
    </cfRule>
  </conditionalFormatting>
  <conditionalFormatting sqref="F136:G1048576 G61:G135">
    <cfRule type="cellIs" dxfId="3097" priority="7575" operator="lessThan">
      <formula>0</formula>
    </cfRule>
  </conditionalFormatting>
  <conditionalFormatting sqref="F136:G1048576 G61:G135">
    <cfRule type="cellIs" dxfId="3096" priority="7574" operator="lessThan">
      <formula>0</formula>
    </cfRule>
  </conditionalFormatting>
  <conditionalFormatting sqref="F136:G1048576 G61:G135">
    <cfRule type="cellIs" dxfId="3095" priority="7573" operator="lessThan">
      <formula>0</formula>
    </cfRule>
  </conditionalFormatting>
  <conditionalFormatting sqref="F136:G1048576 G61:G135">
    <cfRule type="cellIs" dxfId="3094" priority="7572" operator="lessThan">
      <formula>0</formula>
    </cfRule>
  </conditionalFormatting>
  <conditionalFormatting sqref="F136:G1048576 G61:G135">
    <cfRule type="cellIs" dxfId="3093" priority="7571" operator="lessThan">
      <formula>0</formula>
    </cfRule>
  </conditionalFormatting>
  <conditionalFormatting sqref="F136:G1048576 G61:G135">
    <cfRule type="cellIs" dxfId="3092" priority="7570" operator="lessThan">
      <formula>0</formula>
    </cfRule>
  </conditionalFormatting>
  <conditionalFormatting sqref="F136:G1048576 G61:G135">
    <cfRule type="cellIs" dxfId="3091" priority="7569" operator="lessThan">
      <formula>0</formula>
    </cfRule>
  </conditionalFormatting>
  <conditionalFormatting sqref="F136:G1048576 G61:G135">
    <cfRule type="cellIs" dxfId="3090" priority="7568" operator="lessThan">
      <formula>0</formula>
    </cfRule>
  </conditionalFormatting>
  <conditionalFormatting sqref="F136:G1048576 G61:G135">
    <cfRule type="cellIs" dxfId="3089" priority="7567" operator="lessThan">
      <formula>0</formula>
    </cfRule>
  </conditionalFormatting>
  <conditionalFormatting sqref="F136:G1048576 G61:G135">
    <cfRule type="cellIs" dxfId="3088" priority="7566" operator="lessThan">
      <formula>0</formula>
    </cfRule>
  </conditionalFormatting>
  <conditionalFormatting sqref="F136:G1048576 G61:G135">
    <cfRule type="cellIs" dxfId="3087" priority="7565" operator="lessThan">
      <formula>0</formula>
    </cfRule>
  </conditionalFormatting>
  <conditionalFormatting sqref="F136:G1048576 G61:G135">
    <cfRule type="cellIs" dxfId="3086" priority="7564" operator="lessThan">
      <formula>0</formula>
    </cfRule>
  </conditionalFormatting>
  <conditionalFormatting sqref="F136:G1048576 G61:G135">
    <cfRule type="cellIs" dxfId="3085" priority="7563" operator="lessThan">
      <formula>0</formula>
    </cfRule>
  </conditionalFormatting>
  <conditionalFormatting sqref="F136:G1048576 G61:G135">
    <cfRule type="cellIs" dxfId="3084" priority="7562" operator="lessThan">
      <formula>0</formula>
    </cfRule>
  </conditionalFormatting>
  <conditionalFormatting sqref="F136:G1048576 G61:G135">
    <cfRule type="cellIs" dxfId="3083" priority="7561" operator="lessThan">
      <formula>0</formula>
    </cfRule>
  </conditionalFormatting>
  <conditionalFormatting sqref="F136:G1048576 G61:G135">
    <cfRule type="cellIs" dxfId="3082" priority="7560" operator="lessThan">
      <formula>0</formula>
    </cfRule>
  </conditionalFormatting>
  <conditionalFormatting sqref="F136:G1048576 G61:G135">
    <cfRule type="cellIs" dxfId="3081" priority="7559" operator="lessThan">
      <formula>0</formula>
    </cfRule>
  </conditionalFormatting>
  <conditionalFormatting sqref="F136:G1048576 G61:G135">
    <cfRule type="cellIs" dxfId="3080" priority="7558" operator="lessThan">
      <formula>0</formula>
    </cfRule>
  </conditionalFormatting>
  <conditionalFormatting sqref="F136:G1048576 G61:G135">
    <cfRule type="cellIs" dxfId="3079" priority="7557" operator="lessThan">
      <formula>0</formula>
    </cfRule>
  </conditionalFormatting>
  <conditionalFormatting sqref="F136:G1048576 G61:G135">
    <cfRule type="cellIs" dxfId="3078" priority="7556" operator="lessThan">
      <formula>0</formula>
    </cfRule>
  </conditionalFormatting>
  <conditionalFormatting sqref="F136:G1048576 G61:G135">
    <cfRule type="cellIs" dxfId="3077" priority="7555" operator="lessThan">
      <formula>0</formula>
    </cfRule>
  </conditionalFormatting>
  <conditionalFormatting sqref="F136:G1048576 G61:G135">
    <cfRule type="cellIs" dxfId="3076" priority="7554" operator="lessThan">
      <formula>0</formula>
    </cfRule>
  </conditionalFormatting>
  <conditionalFormatting sqref="F136:G1048576 G61:G135">
    <cfRule type="cellIs" dxfId="3075" priority="7553" operator="lessThan">
      <formula>0</formula>
    </cfRule>
  </conditionalFormatting>
  <conditionalFormatting sqref="F136:G1048576 G61:G135">
    <cfRule type="cellIs" dxfId="3074" priority="7552" operator="lessThan">
      <formula>0</formula>
    </cfRule>
  </conditionalFormatting>
  <conditionalFormatting sqref="F136:G1048576 G61:G135">
    <cfRule type="cellIs" dxfId="3073" priority="7551" operator="lessThan">
      <formula>0</formula>
    </cfRule>
  </conditionalFormatting>
  <conditionalFormatting sqref="F136:G1048576 G61:G135">
    <cfRule type="cellIs" dxfId="3072" priority="7550" operator="lessThan">
      <formula>0</formula>
    </cfRule>
  </conditionalFormatting>
  <conditionalFormatting sqref="F136:G1048576 G61:G135">
    <cfRule type="cellIs" dxfId="3071" priority="7549" operator="lessThan">
      <formula>0</formula>
    </cfRule>
  </conditionalFormatting>
  <conditionalFormatting sqref="F136:G1048576 G61:G135">
    <cfRule type="cellIs" dxfId="3070" priority="7548" operator="lessThan">
      <formula>0</formula>
    </cfRule>
  </conditionalFormatting>
  <conditionalFormatting sqref="F136:G1048576 G61:G135">
    <cfRule type="cellIs" dxfId="3069" priority="7547" operator="lessThan">
      <formula>0</formula>
    </cfRule>
  </conditionalFormatting>
  <conditionalFormatting sqref="F136:G1048576 G61:G135">
    <cfRule type="cellIs" dxfId="3068" priority="7546" operator="lessThan">
      <formula>0</formula>
    </cfRule>
  </conditionalFormatting>
  <conditionalFormatting sqref="F136:G1048576 G61:G135">
    <cfRule type="cellIs" dxfId="3067" priority="7545" operator="lessThan">
      <formula>0</formula>
    </cfRule>
  </conditionalFormatting>
  <conditionalFormatting sqref="F136:G1048576 G61:G135">
    <cfRule type="cellIs" dxfId="3066" priority="7544" operator="lessThan">
      <formula>0</formula>
    </cfRule>
  </conditionalFormatting>
  <conditionalFormatting sqref="F136:G1048576 G61:G135">
    <cfRule type="cellIs" dxfId="3065" priority="7543" operator="lessThan">
      <formula>0</formula>
    </cfRule>
  </conditionalFormatting>
  <conditionalFormatting sqref="F136:G1048576 G61:G135">
    <cfRule type="cellIs" dxfId="3064" priority="7542" operator="lessThan">
      <formula>0</formula>
    </cfRule>
  </conditionalFormatting>
  <conditionalFormatting sqref="F136:G1048576 G61:G135">
    <cfRule type="cellIs" dxfId="3063" priority="7541" operator="lessThan">
      <formula>0</formula>
    </cfRule>
  </conditionalFormatting>
  <conditionalFormatting sqref="F136:G1048576 G61:G135">
    <cfRule type="cellIs" dxfId="3062" priority="7540" operator="lessThan">
      <formula>0</formula>
    </cfRule>
  </conditionalFormatting>
  <conditionalFormatting sqref="F136:G1048576 G61:G135">
    <cfRule type="cellIs" dxfId="3061" priority="7539" operator="lessThan">
      <formula>0</formula>
    </cfRule>
  </conditionalFormatting>
  <conditionalFormatting sqref="F136:G1048576 G61:G135">
    <cfRule type="cellIs" dxfId="3060" priority="7538" operator="lessThan">
      <formula>0</formula>
    </cfRule>
  </conditionalFormatting>
  <conditionalFormatting sqref="F136:G1048576 G61:G135">
    <cfRule type="cellIs" dxfId="3059" priority="7537" operator="lessThan">
      <formula>0</formula>
    </cfRule>
  </conditionalFormatting>
  <conditionalFormatting sqref="F136:G1048576 G61:G135">
    <cfRule type="cellIs" dxfId="3058" priority="7536" operator="lessThan">
      <formula>0</formula>
    </cfRule>
  </conditionalFormatting>
  <conditionalFormatting sqref="F136:G1048576 G61:G135">
    <cfRule type="cellIs" dxfId="3057" priority="7535" operator="lessThan">
      <formula>0</formula>
    </cfRule>
  </conditionalFormatting>
  <conditionalFormatting sqref="F136:G1048576 G61:G135">
    <cfRule type="cellIs" dxfId="3056" priority="7534" operator="lessThan">
      <formula>0</formula>
    </cfRule>
  </conditionalFormatting>
  <conditionalFormatting sqref="F136:G1048576 G61:G135">
    <cfRule type="cellIs" dxfId="3055" priority="7533" operator="lessThan">
      <formula>0</formula>
    </cfRule>
  </conditionalFormatting>
  <conditionalFormatting sqref="F136:G1048576 G61:G135">
    <cfRule type="cellIs" dxfId="3054" priority="7532" operator="lessThan">
      <formula>0</formula>
    </cfRule>
  </conditionalFormatting>
  <conditionalFormatting sqref="F136:G1048576 G61:G135">
    <cfRule type="cellIs" dxfId="3053" priority="7531" operator="lessThan">
      <formula>0</formula>
    </cfRule>
  </conditionalFormatting>
  <conditionalFormatting sqref="F136:G1048576 G61:G135">
    <cfRule type="cellIs" dxfId="3052" priority="7530" operator="lessThan">
      <formula>0</formula>
    </cfRule>
  </conditionalFormatting>
  <conditionalFormatting sqref="F136:G1048576 G61:G135">
    <cfRule type="cellIs" dxfId="3051" priority="7529" operator="lessThan">
      <formula>0</formula>
    </cfRule>
  </conditionalFormatting>
  <conditionalFormatting sqref="F136:G1048576 G61:G135">
    <cfRule type="cellIs" dxfId="3050" priority="7528" operator="lessThan">
      <formula>0</formula>
    </cfRule>
  </conditionalFormatting>
  <conditionalFormatting sqref="F136:G1048576 G61:G135">
    <cfRule type="cellIs" dxfId="3049" priority="7527" operator="lessThan">
      <formula>0</formula>
    </cfRule>
  </conditionalFormatting>
  <conditionalFormatting sqref="F136:G1048576 G61:G135">
    <cfRule type="cellIs" dxfId="3048" priority="7526" operator="lessThan">
      <formula>0</formula>
    </cfRule>
  </conditionalFormatting>
  <conditionalFormatting sqref="F136:G1048576 G61:G135">
    <cfRule type="cellIs" dxfId="3047" priority="7525" operator="lessThan">
      <formula>0</formula>
    </cfRule>
  </conditionalFormatting>
  <conditionalFormatting sqref="F136:G1048576 G61:G135">
    <cfRule type="cellIs" dxfId="3046" priority="7524" operator="lessThan">
      <formula>0</formula>
    </cfRule>
  </conditionalFormatting>
  <conditionalFormatting sqref="F136:G1048576 G61:G135">
    <cfRule type="cellIs" dxfId="3045" priority="7523" operator="lessThan">
      <formula>0</formula>
    </cfRule>
  </conditionalFormatting>
  <conditionalFormatting sqref="F136:G1048576 G61:G135">
    <cfRule type="cellIs" dxfId="3044" priority="7522" operator="lessThan">
      <formula>0</formula>
    </cfRule>
  </conditionalFormatting>
  <conditionalFormatting sqref="F136:G1048576 G61:G135">
    <cfRule type="cellIs" dxfId="3043" priority="7521" operator="lessThan">
      <formula>0</formula>
    </cfRule>
  </conditionalFormatting>
  <conditionalFormatting sqref="F136:G1048576 G61:G135">
    <cfRule type="cellIs" dxfId="3042" priority="7520" operator="lessThan">
      <formula>0</formula>
    </cfRule>
  </conditionalFormatting>
  <conditionalFormatting sqref="F136:G1048576 G61:G135">
    <cfRule type="cellIs" dxfId="3041" priority="7519" operator="lessThan">
      <formula>0</formula>
    </cfRule>
  </conditionalFormatting>
  <conditionalFormatting sqref="F136:G1048576 G61:G135">
    <cfRule type="cellIs" dxfId="3040" priority="7518" operator="lessThan">
      <formula>0</formula>
    </cfRule>
  </conditionalFormatting>
  <conditionalFormatting sqref="F136:G1048576 G61:G135">
    <cfRule type="cellIs" dxfId="3039" priority="7517" operator="lessThan">
      <formula>0</formula>
    </cfRule>
  </conditionalFormatting>
  <conditionalFormatting sqref="F136:G1048576 G61:G135">
    <cfRule type="cellIs" dxfId="3038" priority="7516" operator="lessThan">
      <formula>0</formula>
    </cfRule>
  </conditionalFormatting>
  <conditionalFormatting sqref="F136:G1048576 G61:G135">
    <cfRule type="cellIs" dxfId="3037" priority="7515" operator="lessThan">
      <formula>0</formula>
    </cfRule>
  </conditionalFormatting>
  <conditionalFormatting sqref="F136:G1048576 G61:G135">
    <cfRule type="cellIs" dxfId="3036" priority="7514" operator="lessThan">
      <formula>0</formula>
    </cfRule>
  </conditionalFormatting>
  <conditionalFormatting sqref="F136:G1048576 G61:G135">
    <cfRule type="cellIs" dxfId="3035" priority="7513" operator="lessThan">
      <formula>0</formula>
    </cfRule>
  </conditionalFormatting>
  <conditionalFormatting sqref="F136:G1048576 G61:G135">
    <cfRule type="cellIs" dxfId="3034" priority="7512" operator="lessThan">
      <formula>0</formula>
    </cfRule>
  </conditionalFormatting>
  <conditionalFormatting sqref="G42">
    <cfRule type="cellIs" dxfId="3033" priority="6809" operator="lessThan">
      <formula>0</formula>
    </cfRule>
  </conditionalFormatting>
  <conditionalFormatting sqref="G42">
    <cfRule type="cellIs" dxfId="3032" priority="6808" operator="lessThan">
      <formula>0</formula>
    </cfRule>
  </conditionalFormatting>
  <conditionalFormatting sqref="G42">
    <cfRule type="cellIs" dxfId="3031" priority="6807" operator="lessThan">
      <formula>0</formula>
    </cfRule>
  </conditionalFormatting>
  <conditionalFormatting sqref="G42">
    <cfRule type="cellIs" dxfId="3030" priority="6806" operator="lessThan">
      <formula>0</formula>
    </cfRule>
  </conditionalFormatting>
  <conditionalFormatting sqref="G42">
    <cfRule type="cellIs" dxfId="3029" priority="6805" operator="lessThan">
      <formula>0</formula>
    </cfRule>
  </conditionalFormatting>
  <conditionalFormatting sqref="G42">
    <cfRule type="cellIs" dxfId="3028" priority="6804" operator="lessThan">
      <formula>0</formula>
    </cfRule>
  </conditionalFormatting>
  <conditionalFormatting sqref="G42">
    <cfRule type="cellIs" dxfId="3027" priority="6803" operator="lessThan">
      <formula>0</formula>
    </cfRule>
  </conditionalFormatting>
  <conditionalFormatting sqref="G42">
    <cfRule type="cellIs" dxfId="3026" priority="6802" operator="lessThan">
      <formula>0</formula>
    </cfRule>
  </conditionalFormatting>
  <conditionalFormatting sqref="G42">
    <cfRule type="cellIs" dxfId="3025" priority="6801" operator="lessThan">
      <formula>0</formula>
    </cfRule>
  </conditionalFormatting>
  <conditionalFormatting sqref="G42">
    <cfRule type="cellIs" dxfId="3024" priority="6800" operator="lessThan">
      <formula>0</formula>
    </cfRule>
  </conditionalFormatting>
  <conditionalFormatting sqref="G42">
    <cfRule type="cellIs" dxfId="3023" priority="6799" operator="lessThan">
      <formula>0</formula>
    </cfRule>
  </conditionalFormatting>
  <conditionalFormatting sqref="G42">
    <cfRule type="cellIs" dxfId="3022" priority="6798" operator="lessThan">
      <formula>0</formula>
    </cfRule>
  </conditionalFormatting>
  <conditionalFormatting sqref="G42">
    <cfRule type="cellIs" dxfId="3021" priority="6797" operator="lessThan">
      <formula>0</formula>
    </cfRule>
  </conditionalFormatting>
  <conditionalFormatting sqref="G42">
    <cfRule type="cellIs" dxfId="3020" priority="6796" operator="lessThan">
      <formula>0</formula>
    </cfRule>
  </conditionalFormatting>
  <conditionalFormatting sqref="G42">
    <cfRule type="cellIs" dxfId="3019" priority="6795" operator="lessThan">
      <formula>0</formula>
    </cfRule>
  </conditionalFormatting>
  <conditionalFormatting sqref="G42">
    <cfRule type="cellIs" dxfId="3018" priority="6794" operator="lessThan">
      <formula>0</formula>
    </cfRule>
  </conditionalFormatting>
  <conditionalFormatting sqref="G42">
    <cfRule type="cellIs" dxfId="3017" priority="6793" operator="lessThan">
      <formula>0</formula>
    </cfRule>
  </conditionalFormatting>
  <conditionalFormatting sqref="G42">
    <cfRule type="cellIs" dxfId="3016" priority="6792" operator="lessThan">
      <formula>0</formula>
    </cfRule>
  </conditionalFormatting>
  <conditionalFormatting sqref="G42">
    <cfRule type="cellIs" dxfId="3015" priority="6791" operator="lessThan">
      <formula>0</formula>
    </cfRule>
  </conditionalFormatting>
  <conditionalFormatting pivot="1" sqref="F13:F50">
    <cfRule type="cellIs" dxfId="3014" priority="5736" operator="lessThan">
      <formula>0</formula>
    </cfRule>
  </conditionalFormatting>
  <conditionalFormatting sqref="H86:H1048576">
    <cfRule type="cellIs" dxfId="3013" priority="5532" operator="lessThan">
      <formula>0</formula>
    </cfRule>
  </conditionalFormatting>
  <conditionalFormatting sqref="H86:H1048576">
    <cfRule type="cellIs" dxfId="3012" priority="5531" operator="lessThan">
      <formula>0</formula>
    </cfRule>
  </conditionalFormatting>
  <conditionalFormatting sqref="H86:H1048576">
    <cfRule type="cellIs" dxfId="3011" priority="5530" operator="lessThan">
      <formula>0</formula>
    </cfRule>
  </conditionalFormatting>
  <conditionalFormatting sqref="H86:H1048576">
    <cfRule type="cellIs" dxfId="3010" priority="5529" operator="lessThan">
      <formula>0</formula>
    </cfRule>
  </conditionalFormatting>
  <conditionalFormatting sqref="H86:H1048576">
    <cfRule type="cellIs" dxfId="3009" priority="5528" operator="lessThan">
      <formula>0</formula>
    </cfRule>
  </conditionalFormatting>
  <conditionalFormatting sqref="H86:H1048576">
    <cfRule type="cellIs" dxfId="3008" priority="5527" operator="lessThan">
      <formula>0</formula>
    </cfRule>
  </conditionalFormatting>
  <conditionalFormatting sqref="H86:H1048576">
    <cfRule type="cellIs" dxfId="3007" priority="5526" operator="lessThan">
      <formula>0</formula>
    </cfRule>
  </conditionalFormatting>
  <conditionalFormatting sqref="H86:H1048576">
    <cfRule type="cellIs" dxfId="3006" priority="5525" operator="lessThan">
      <formula>0</formula>
    </cfRule>
  </conditionalFormatting>
  <conditionalFormatting sqref="H86:H1048576">
    <cfRule type="cellIs" dxfId="3005" priority="5524" operator="lessThan">
      <formula>0</formula>
    </cfRule>
  </conditionalFormatting>
  <conditionalFormatting sqref="H86:H1048576">
    <cfRule type="cellIs" dxfId="3004" priority="5523" operator="lessThan">
      <formula>0</formula>
    </cfRule>
  </conditionalFormatting>
  <conditionalFormatting sqref="H86:H1048576">
    <cfRule type="cellIs" dxfId="3003" priority="5522" operator="lessThan">
      <formula>0</formula>
    </cfRule>
  </conditionalFormatting>
  <conditionalFormatting sqref="H86:H1048576">
    <cfRule type="cellIs" dxfId="3002" priority="5521" operator="lessThan">
      <formula>0</formula>
    </cfRule>
  </conditionalFormatting>
  <conditionalFormatting sqref="H86:H1048576">
    <cfRule type="cellIs" dxfId="3001" priority="5520" operator="lessThan">
      <formula>0</formula>
    </cfRule>
  </conditionalFormatting>
  <conditionalFormatting sqref="H86:H1048576">
    <cfRule type="cellIs" dxfId="3000" priority="5519" operator="lessThan">
      <formula>0</formula>
    </cfRule>
  </conditionalFormatting>
  <conditionalFormatting sqref="H86:H1048576">
    <cfRule type="cellIs" dxfId="2999" priority="5518" operator="lessThan">
      <formula>0</formula>
    </cfRule>
  </conditionalFormatting>
  <conditionalFormatting sqref="H86:H1048576">
    <cfRule type="cellIs" dxfId="2998" priority="5517" operator="lessThan">
      <formula>0</formula>
    </cfRule>
  </conditionalFormatting>
  <conditionalFormatting sqref="H86:H1048576">
    <cfRule type="cellIs" dxfId="2997" priority="5516" operator="lessThan">
      <formula>0</formula>
    </cfRule>
  </conditionalFormatting>
  <conditionalFormatting sqref="H86:H1048576">
    <cfRule type="cellIs" dxfId="2996" priority="5515" operator="lessThan">
      <formula>0</formula>
    </cfRule>
  </conditionalFormatting>
  <conditionalFormatting sqref="H86:H1048576">
    <cfRule type="cellIs" dxfId="2995" priority="5514" operator="lessThan">
      <formula>0</formula>
    </cfRule>
  </conditionalFormatting>
  <conditionalFormatting sqref="H86:H1048576">
    <cfRule type="cellIs" dxfId="2994" priority="5513" operator="lessThan">
      <formula>0</formula>
    </cfRule>
  </conditionalFormatting>
  <conditionalFormatting sqref="H86:H1048576">
    <cfRule type="cellIs" dxfId="2993" priority="5512" operator="lessThan">
      <formula>0</formula>
    </cfRule>
  </conditionalFormatting>
  <conditionalFormatting sqref="H86:H1048576">
    <cfRule type="cellIs" dxfId="2992" priority="5511" operator="lessThan">
      <formula>0</formula>
    </cfRule>
  </conditionalFormatting>
  <conditionalFormatting sqref="H86:H1048576">
    <cfRule type="cellIs" dxfId="2991" priority="5510" operator="lessThan">
      <formula>0</formula>
    </cfRule>
  </conditionalFormatting>
  <conditionalFormatting sqref="H86:H1048576">
    <cfRule type="cellIs" dxfId="2990" priority="5509" operator="lessThan">
      <formula>0</formula>
    </cfRule>
  </conditionalFormatting>
  <conditionalFormatting sqref="H86:H1048576">
    <cfRule type="cellIs" dxfId="2989" priority="5508" operator="lessThan">
      <formula>0</formula>
    </cfRule>
  </conditionalFormatting>
  <conditionalFormatting sqref="H86:H1048576">
    <cfRule type="cellIs" dxfId="2988" priority="5507" operator="lessThan">
      <formula>0</formula>
    </cfRule>
  </conditionalFormatting>
  <conditionalFormatting sqref="H86:H1048576">
    <cfRule type="cellIs" dxfId="2987" priority="5506" operator="lessThan">
      <formula>0</formula>
    </cfRule>
  </conditionalFormatting>
  <conditionalFormatting sqref="H86:H1048576">
    <cfRule type="cellIs" dxfId="2986" priority="5505" operator="lessThan">
      <formula>0</formula>
    </cfRule>
  </conditionalFormatting>
  <conditionalFormatting sqref="H86:H1048576">
    <cfRule type="cellIs" dxfId="2985" priority="5504" operator="lessThan">
      <formula>0</formula>
    </cfRule>
  </conditionalFormatting>
  <conditionalFormatting sqref="H86:H1048576">
    <cfRule type="cellIs" dxfId="2984" priority="5503" operator="lessThan">
      <formula>0</formula>
    </cfRule>
  </conditionalFormatting>
  <conditionalFormatting sqref="H86:H1048576">
    <cfRule type="cellIs" dxfId="2983" priority="5502" operator="lessThan">
      <formula>0</formula>
    </cfRule>
  </conditionalFormatting>
  <conditionalFormatting sqref="H86:H1048576">
    <cfRule type="cellIs" dxfId="2982" priority="5501" operator="lessThan">
      <formula>0</formula>
    </cfRule>
  </conditionalFormatting>
  <conditionalFormatting sqref="H86:H1048576">
    <cfRule type="cellIs" dxfId="2981" priority="5500" operator="lessThan">
      <formula>0</formula>
    </cfRule>
  </conditionalFormatting>
  <conditionalFormatting sqref="H86:H1048576">
    <cfRule type="cellIs" dxfId="2980" priority="5499" operator="lessThan">
      <formula>0</formula>
    </cfRule>
  </conditionalFormatting>
  <conditionalFormatting sqref="H86:H1048576">
    <cfRule type="cellIs" dxfId="2979" priority="5498" operator="lessThan">
      <formula>0</formula>
    </cfRule>
  </conditionalFormatting>
  <conditionalFormatting sqref="H86:H1048576">
    <cfRule type="cellIs" dxfId="2978" priority="5497" operator="lessThan">
      <formula>0</formula>
    </cfRule>
  </conditionalFormatting>
  <conditionalFormatting sqref="H86:H1048576">
    <cfRule type="cellIs" dxfId="2977" priority="5496" operator="lessThan">
      <formula>0</formula>
    </cfRule>
  </conditionalFormatting>
  <conditionalFormatting sqref="H86:H1048576">
    <cfRule type="cellIs" dxfId="2976" priority="5495" operator="lessThan">
      <formula>0</formula>
    </cfRule>
  </conditionalFormatting>
  <conditionalFormatting sqref="H86:H1048576">
    <cfRule type="cellIs" dxfId="2975" priority="5494" operator="lessThan">
      <formula>0</formula>
    </cfRule>
  </conditionalFormatting>
  <conditionalFormatting sqref="H86:H1048576">
    <cfRule type="cellIs" dxfId="2974" priority="5493" operator="lessThan">
      <formula>0</formula>
    </cfRule>
  </conditionalFormatting>
  <conditionalFormatting sqref="H86:H1048576">
    <cfRule type="cellIs" dxfId="2973" priority="5492" operator="lessThan">
      <formula>0</formula>
    </cfRule>
  </conditionalFormatting>
  <conditionalFormatting sqref="H86:H1048576">
    <cfRule type="cellIs" dxfId="2972" priority="5491" operator="lessThan">
      <formula>0</formula>
    </cfRule>
  </conditionalFormatting>
  <conditionalFormatting sqref="H86:H1048576">
    <cfRule type="cellIs" dxfId="2971" priority="5490" operator="lessThan">
      <formula>0</formula>
    </cfRule>
  </conditionalFormatting>
  <conditionalFormatting sqref="H86:H1048576">
    <cfRule type="cellIs" dxfId="2970" priority="5489" operator="lessThan">
      <formula>0</formula>
    </cfRule>
  </conditionalFormatting>
  <conditionalFormatting sqref="H86:H1048576">
    <cfRule type="cellIs" dxfId="2969" priority="5488" operator="lessThan">
      <formula>0</formula>
    </cfRule>
  </conditionalFormatting>
  <conditionalFormatting sqref="H86:H1048576">
    <cfRule type="cellIs" dxfId="2968" priority="5487" operator="lessThan">
      <formula>0</formula>
    </cfRule>
  </conditionalFormatting>
  <conditionalFormatting sqref="H86:H1048576">
    <cfRule type="cellIs" dxfId="2967" priority="5486" operator="lessThan">
      <formula>0</formula>
    </cfRule>
  </conditionalFormatting>
  <conditionalFormatting sqref="H86:H1048576">
    <cfRule type="cellIs" dxfId="2966" priority="5485" operator="lessThan">
      <formula>0</formula>
    </cfRule>
  </conditionalFormatting>
  <conditionalFormatting sqref="H86:H1048576">
    <cfRule type="cellIs" dxfId="2965" priority="5484" operator="lessThan">
      <formula>0</formula>
    </cfRule>
  </conditionalFormatting>
  <conditionalFormatting sqref="H86:H1048576">
    <cfRule type="cellIs" dxfId="2964" priority="5483" operator="lessThan">
      <formula>0</formula>
    </cfRule>
  </conditionalFormatting>
  <conditionalFormatting sqref="H86:H1048576">
    <cfRule type="cellIs" dxfId="2963" priority="5482" operator="lessThan">
      <formula>0</formula>
    </cfRule>
  </conditionalFormatting>
  <conditionalFormatting sqref="H86:H1048576">
    <cfRule type="cellIs" dxfId="2962" priority="5481" operator="lessThan">
      <formula>0</formula>
    </cfRule>
  </conditionalFormatting>
  <conditionalFormatting sqref="H86:H1048576">
    <cfRule type="cellIs" dxfId="2961" priority="5480" operator="lessThan">
      <formula>0</formula>
    </cfRule>
  </conditionalFormatting>
  <conditionalFormatting sqref="H86:H1048576">
    <cfRule type="cellIs" dxfId="2960" priority="5479" operator="lessThan">
      <formula>0</formula>
    </cfRule>
  </conditionalFormatting>
  <conditionalFormatting sqref="H86:H1048576">
    <cfRule type="cellIs" dxfId="2959" priority="5478" operator="lessThan">
      <formula>0</formula>
    </cfRule>
  </conditionalFormatting>
  <conditionalFormatting sqref="H86:H1048576">
    <cfRule type="cellIs" dxfId="2958" priority="5477" operator="lessThan">
      <formula>0</formula>
    </cfRule>
  </conditionalFormatting>
  <conditionalFormatting sqref="H86:H1048576">
    <cfRule type="cellIs" dxfId="2957" priority="5476" operator="lessThan">
      <formula>0</formula>
    </cfRule>
  </conditionalFormatting>
  <conditionalFormatting sqref="H86:H1048576">
    <cfRule type="cellIs" dxfId="2956" priority="5475" operator="lessThan">
      <formula>0</formula>
    </cfRule>
  </conditionalFormatting>
  <conditionalFormatting sqref="H86:H1048576">
    <cfRule type="cellIs" dxfId="2955" priority="5474" operator="lessThan">
      <formula>0</formula>
    </cfRule>
  </conditionalFormatting>
  <conditionalFormatting sqref="H86:H1048576">
    <cfRule type="cellIs" dxfId="2954" priority="5473" operator="lessThan">
      <formula>0</formula>
    </cfRule>
  </conditionalFormatting>
  <conditionalFormatting sqref="H86:H1048576">
    <cfRule type="cellIs" dxfId="2953" priority="5472" operator="lessThan">
      <formula>0</formula>
    </cfRule>
  </conditionalFormatting>
  <conditionalFormatting sqref="H86:H1048576">
    <cfRule type="cellIs" dxfId="2952" priority="5471" operator="lessThan">
      <formula>0</formula>
    </cfRule>
  </conditionalFormatting>
  <conditionalFormatting sqref="H86:H1048576">
    <cfRule type="cellIs" dxfId="2951" priority="5470" operator="lessThan">
      <formula>0</formula>
    </cfRule>
  </conditionalFormatting>
  <conditionalFormatting sqref="H86:H1048576">
    <cfRule type="cellIs" dxfId="2950" priority="5469" operator="lessThan">
      <formula>0</formula>
    </cfRule>
  </conditionalFormatting>
  <conditionalFormatting sqref="H86:H1048576">
    <cfRule type="cellIs" dxfId="2949" priority="5468" operator="lessThan">
      <formula>0</formula>
    </cfRule>
  </conditionalFormatting>
  <conditionalFormatting sqref="H86:H1048576">
    <cfRule type="cellIs" dxfId="2948" priority="5467" operator="lessThan">
      <formula>0</formula>
    </cfRule>
  </conditionalFormatting>
  <conditionalFormatting sqref="H86:H1048576">
    <cfRule type="cellIs" dxfId="2947" priority="5466" operator="lessThan">
      <formula>0</formula>
    </cfRule>
  </conditionalFormatting>
  <conditionalFormatting sqref="H86:H1048576">
    <cfRule type="cellIs" dxfId="2946" priority="5465" operator="lessThan">
      <formula>0</formula>
    </cfRule>
  </conditionalFormatting>
  <conditionalFormatting sqref="H86:H1048576">
    <cfRule type="cellIs" dxfId="2945" priority="5464" operator="lessThan">
      <formula>0</formula>
    </cfRule>
  </conditionalFormatting>
  <conditionalFormatting sqref="H86:H1048576">
    <cfRule type="cellIs" dxfId="2944" priority="5463" operator="lessThan">
      <formula>0</formula>
    </cfRule>
  </conditionalFormatting>
  <conditionalFormatting sqref="H86:H1048576">
    <cfRule type="cellIs" dxfId="2943" priority="5462" operator="lessThan">
      <formula>0</formula>
    </cfRule>
  </conditionalFormatting>
  <conditionalFormatting sqref="H86:H1048576">
    <cfRule type="cellIs" dxfId="2942" priority="5461" operator="lessThan">
      <formula>0</formula>
    </cfRule>
  </conditionalFormatting>
  <conditionalFormatting sqref="H86:H1048576">
    <cfRule type="cellIs" dxfId="2941" priority="5460" operator="lessThan">
      <formula>0</formula>
    </cfRule>
  </conditionalFormatting>
  <conditionalFormatting sqref="H86:H1048576">
    <cfRule type="cellIs" dxfId="2940" priority="5459" operator="lessThan">
      <formula>0</formula>
    </cfRule>
  </conditionalFormatting>
  <conditionalFormatting sqref="H86:H1048576">
    <cfRule type="cellIs" dxfId="2939" priority="5458" operator="lessThan">
      <formula>0</formula>
    </cfRule>
  </conditionalFormatting>
  <conditionalFormatting sqref="H86:H1048576">
    <cfRule type="cellIs" dxfId="2938" priority="5457" operator="lessThan">
      <formula>0</formula>
    </cfRule>
  </conditionalFormatting>
  <conditionalFormatting sqref="H86:H1048576">
    <cfRule type="cellIs" dxfId="2937" priority="5456" operator="lessThan">
      <formula>0</formula>
    </cfRule>
  </conditionalFormatting>
  <conditionalFormatting sqref="H86:H1048576">
    <cfRule type="cellIs" dxfId="2936" priority="5455" operator="lessThan">
      <formula>0</formula>
    </cfRule>
  </conditionalFormatting>
  <conditionalFormatting sqref="H86:H1048576">
    <cfRule type="cellIs" dxfId="2935" priority="5454" operator="lessThan">
      <formula>0</formula>
    </cfRule>
  </conditionalFormatting>
  <conditionalFormatting sqref="H86:H1048576">
    <cfRule type="cellIs" dxfId="2934" priority="5453" operator="lessThan">
      <formula>0</formula>
    </cfRule>
  </conditionalFormatting>
  <conditionalFormatting sqref="H86:H1048576">
    <cfRule type="cellIs" dxfId="2933" priority="5452" operator="lessThan">
      <formula>0</formula>
    </cfRule>
  </conditionalFormatting>
  <conditionalFormatting sqref="H86:H1048576">
    <cfRule type="cellIs" dxfId="2932" priority="5451" operator="lessThan">
      <formula>0</formula>
    </cfRule>
  </conditionalFormatting>
  <conditionalFormatting sqref="H86:H1048576">
    <cfRule type="cellIs" dxfId="2931" priority="5450" operator="lessThan">
      <formula>0</formula>
    </cfRule>
  </conditionalFormatting>
  <conditionalFormatting sqref="H86:H1048576">
    <cfRule type="cellIs" dxfId="2930" priority="5449" operator="lessThan">
      <formula>0</formula>
    </cfRule>
  </conditionalFormatting>
  <conditionalFormatting sqref="H86:H1048576">
    <cfRule type="cellIs" dxfId="2929" priority="5448" operator="lessThan">
      <formula>0</formula>
    </cfRule>
  </conditionalFormatting>
  <conditionalFormatting sqref="H86:H1048576">
    <cfRule type="cellIs" dxfId="2928" priority="5447" operator="lessThan">
      <formula>0</formula>
    </cfRule>
  </conditionalFormatting>
  <conditionalFormatting sqref="H86:H1048576">
    <cfRule type="cellIs" dxfId="2927" priority="5446" operator="lessThan">
      <formula>0</formula>
    </cfRule>
  </conditionalFormatting>
  <conditionalFormatting sqref="H86:H1048576">
    <cfRule type="cellIs" dxfId="2926" priority="5445" operator="lessThan">
      <formula>0</formula>
    </cfRule>
  </conditionalFormatting>
  <conditionalFormatting sqref="H86:H1048576">
    <cfRule type="cellIs" dxfId="2925" priority="5444" operator="lessThan">
      <formula>0</formula>
    </cfRule>
  </conditionalFormatting>
  <conditionalFormatting sqref="H86:H1048576">
    <cfRule type="cellIs" dxfId="2924" priority="5443" operator="lessThan">
      <formula>0</formula>
    </cfRule>
  </conditionalFormatting>
  <conditionalFormatting sqref="H86:H1048576">
    <cfRule type="cellIs" dxfId="2923" priority="5442" operator="lessThan">
      <formula>0</formula>
    </cfRule>
  </conditionalFormatting>
  <conditionalFormatting sqref="H86:H1048576">
    <cfRule type="cellIs" dxfId="2922" priority="5441" operator="lessThan">
      <formula>0</formula>
    </cfRule>
  </conditionalFormatting>
  <conditionalFormatting sqref="H86:H1048576">
    <cfRule type="cellIs" dxfId="2921" priority="5440" operator="lessThan">
      <formula>0</formula>
    </cfRule>
  </conditionalFormatting>
  <conditionalFormatting sqref="H86:H1048576">
    <cfRule type="cellIs" dxfId="2920" priority="5439" operator="lessThan">
      <formula>0</formula>
    </cfRule>
  </conditionalFormatting>
  <conditionalFormatting sqref="H86:H1048576">
    <cfRule type="cellIs" dxfId="2919" priority="5438" operator="lessThan">
      <formula>0</formula>
    </cfRule>
  </conditionalFormatting>
  <conditionalFormatting sqref="H86:H1048576">
    <cfRule type="cellIs" dxfId="2918" priority="5437" operator="lessThan">
      <formula>0</formula>
    </cfRule>
  </conditionalFormatting>
  <conditionalFormatting sqref="H86:H1048576">
    <cfRule type="cellIs" dxfId="2917" priority="5436" operator="lessThan">
      <formula>0</formula>
    </cfRule>
  </conditionalFormatting>
  <conditionalFormatting sqref="H86:H1048576">
    <cfRule type="cellIs" dxfId="2916" priority="5435" operator="lessThan">
      <formula>0</formula>
    </cfRule>
  </conditionalFormatting>
  <conditionalFormatting sqref="H86:H1048576">
    <cfRule type="cellIs" dxfId="2915" priority="5434" operator="lessThan">
      <formula>0</formula>
    </cfRule>
  </conditionalFormatting>
  <conditionalFormatting sqref="H86:H1048576">
    <cfRule type="cellIs" dxfId="2914" priority="5433" operator="lessThan">
      <formula>0</formula>
    </cfRule>
  </conditionalFormatting>
  <conditionalFormatting sqref="H86:H1048576">
    <cfRule type="cellIs" dxfId="2913" priority="5432" operator="lessThan">
      <formula>0</formula>
    </cfRule>
  </conditionalFormatting>
  <conditionalFormatting sqref="H86:H1048576">
    <cfRule type="cellIs" dxfId="2912" priority="5431" operator="lessThan">
      <formula>0</formula>
    </cfRule>
  </conditionalFormatting>
  <conditionalFormatting sqref="H86:H1048576">
    <cfRule type="cellIs" dxfId="2911" priority="5430" operator="lessThan">
      <formula>0</formula>
    </cfRule>
  </conditionalFormatting>
  <conditionalFormatting sqref="H86:H1048576">
    <cfRule type="cellIs" dxfId="2910" priority="5429" operator="lessThan">
      <formula>0</formula>
    </cfRule>
  </conditionalFormatting>
  <conditionalFormatting sqref="H86:H1048576">
    <cfRule type="cellIs" dxfId="2909" priority="5428" operator="lessThan">
      <formula>0</formula>
    </cfRule>
  </conditionalFormatting>
  <conditionalFormatting sqref="H86:H1048576">
    <cfRule type="cellIs" dxfId="2908" priority="5427" operator="lessThan">
      <formula>0</formula>
    </cfRule>
  </conditionalFormatting>
  <conditionalFormatting sqref="H86:H1048576">
    <cfRule type="cellIs" dxfId="2907" priority="5426" operator="lessThan">
      <formula>0</formula>
    </cfRule>
  </conditionalFormatting>
  <conditionalFormatting sqref="H86:H1048576">
    <cfRule type="cellIs" dxfId="2906" priority="5425" operator="lessThan">
      <formula>0</formula>
    </cfRule>
  </conditionalFormatting>
  <conditionalFormatting sqref="H86:H1048576">
    <cfRule type="cellIs" dxfId="2905" priority="5424" operator="lessThan">
      <formula>0</formula>
    </cfRule>
  </conditionalFormatting>
  <conditionalFormatting sqref="H86:H1048576">
    <cfRule type="cellIs" dxfId="2904" priority="5423" operator="lessThan">
      <formula>0</formula>
    </cfRule>
  </conditionalFormatting>
  <conditionalFormatting sqref="H86:H1048576">
    <cfRule type="cellIs" dxfId="2903" priority="5422" operator="lessThan">
      <formula>0</formula>
    </cfRule>
  </conditionalFormatting>
  <conditionalFormatting sqref="H86:H1048576">
    <cfRule type="cellIs" dxfId="2902" priority="5421" operator="lessThan">
      <formula>0</formula>
    </cfRule>
  </conditionalFormatting>
  <conditionalFormatting sqref="H86:H1048576">
    <cfRule type="cellIs" dxfId="2901" priority="5420" operator="lessThan">
      <formula>0</formula>
    </cfRule>
  </conditionalFormatting>
  <conditionalFormatting sqref="H86:H1048576">
    <cfRule type="cellIs" dxfId="2900" priority="5419" operator="lessThan">
      <formula>0</formula>
    </cfRule>
  </conditionalFormatting>
  <conditionalFormatting sqref="H86:H1048576">
    <cfRule type="cellIs" dxfId="2899" priority="5418" operator="lessThan">
      <formula>0</formula>
    </cfRule>
  </conditionalFormatting>
  <conditionalFormatting sqref="H86:H1048576">
    <cfRule type="cellIs" dxfId="2898" priority="5417" operator="lessThan">
      <formula>0</formula>
    </cfRule>
  </conditionalFormatting>
  <conditionalFormatting sqref="H86:H1048576">
    <cfRule type="cellIs" dxfId="2897" priority="5416" operator="lessThan">
      <formula>0</formula>
    </cfRule>
  </conditionalFormatting>
  <conditionalFormatting sqref="H86:H1048576">
    <cfRule type="cellIs" dxfId="2896" priority="5415" operator="lessThan">
      <formula>0</formula>
    </cfRule>
  </conditionalFormatting>
  <conditionalFormatting sqref="H86:H1048576">
    <cfRule type="cellIs" dxfId="2895" priority="5414" operator="lessThan">
      <formula>0</formula>
    </cfRule>
  </conditionalFormatting>
  <conditionalFormatting sqref="H86:H1048576">
    <cfRule type="cellIs" dxfId="2894" priority="5413" operator="lessThan">
      <formula>0</formula>
    </cfRule>
  </conditionalFormatting>
  <conditionalFormatting sqref="H86:H1048576">
    <cfRule type="cellIs" dxfId="2893" priority="5412" operator="lessThan">
      <formula>0</formula>
    </cfRule>
  </conditionalFormatting>
  <conditionalFormatting sqref="H86:H1048576">
    <cfRule type="cellIs" dxfId="2892" priority="5411" operator="lessThan">
      <formula>0</formula>
    </cfRule>
  </conditionalFormatting>
  <conditionalFormatting sqref="H86:H1048576">
    <cfRule type="cellIs" dxfId="2891" priority="5410" operator="lessThan">
      <formula>0</formula>
    </cfRule>
  </conditionalFormatting>
  <conditionalFormatting sqref="H86:H1048576">
    <cfRule type="cellIs" dxfId="2890" priority="5409" operator="lessThan">
      <formula>0</formula>
    </cfRule>
  </conditionalFormatting>
  <conditionalFormatting sqref="H86:H1048576">
    <cfRule type="cellIs" dxfId="2889" priority="5408" operator="lessThan">
      <formula>0</formula>
    </cfRule>
  </conditionalFormatting>
  <conditionalFormatting sqref="H86:H1048576">
    <cfRule type="cellIs" dxfId="2888" priority="5407" operator="lessThan">
      <formula>0</formula>
    </cfRule>
  </conditionalFormatting>
  <conditionalFormatting sqref="H86:H1048576">
    <cfRule type="cellIs" dxfId="2887" priority="5406" operator="lessThan">
      <formula>0</formula>
    </cfRule>
  </conditionalFormatting>
  <conditionalFormatting sqref="H86:H1048576">
    <cfRule type="cellIs" dxfId="2886" priority="5405" operator="lessThan">
      <formula>0</formula>
    </cfRule>
  </conditionalFormatting>
  <conditionalFormatting sqref="H86:H1048576">
    <cfRule type="cellIs" dxfId="2885" priority="5404" operator="lessThan">
      <formula>0</formula>
    </cfRule>
  </conditionalFormatting>
  <conditionalFormatting sqref="H86:H1048576">
    <cfRule type="cellIs" dxfId="2884" priority="5403" operator="lessThan">
      <formula>0</formula>
    </cfRule>
  </conditionalFormatting>
  <conditionalFormatting sqref="H86:H1048576">
    <cfRule type="cellIs" dxfId="2883" priority="5402" operator="lessThan">
      <formula>0</formula>
    </cfRule>
  </conditionalFormatting>
  <conditionalFormatting sqref="H86:H1048576">
    <cfRule type="cellIs" dxfId="2882" priority="5401" operator="lessThan">
      <formula>0</formula>
    </cfRule>
  </conditionalFormatting>
  <conditionalFormatting sqref="H86:H1048576">
    <cfRule type="cellIs" dxfId="2881" priority="5400" operator="lessThan">
      <formula>0</formula>
    </cfRule>
  </conditionalFormatting>
  <conditionalFormatting sqref="H86:H1048576">
    <cfRule type="cellIs" dxfId="2880" priority="5399" operator="lessThan">
      <formula>0</formula>
    </cfRule>
  </conditionalFormatting>
  <conditionalFormatting sqref="H86:H1048576">
    <cfRule type="cellIs" dxfId="2879" priority="5398" operator="lessThan">
      <formula>0</formula>
    </cfRule>
  </conditionalFormatting>
  <conditionalFormatting sqref="H86:H1048576">
    <cfRule type="cellIs" dxfId="2878" priority="5397" operator="lessThan">
      <formula>0</formula>
    </cfRule>
  </conditionalFormatting>
  <conditionalFormatting sqref="H86:H1048576">
    <cfRule type="cellIs" dxfId="2877" priority="5396" operator="lessThan">
      <formula>0</formula>
    </cfRule>
  </conditionalFormatting>
  <conditionalFormatting sqref="H86:H1048576">
    <cfRule type="cellIs" dxfId="2876" priority="5395" operator="lessThan">
      <formula>0</formula>
    </cfRule>
  </conditionalFormatting>
  <conditionalFormatting sqref="H86:H1048576">
    <cfRule type="cellIs" dxfId="2875" priority="5394" operator="lessThan">
      <formula>0</formula>
    </cfRule>
  </conditionalFormatting>
  <conditionalFormatting sqref="H86:H1048576">
    <cfRule type="cellIs" dxfId="2874" priority="5393" operator="lessThan">
      <formula>0</formula>
    </cfRule>
  </conditionalFormatting>
  <conditionalFormatting sqref="H86:H1048576">
    <cfRule type="cellIs" dxfId="2873" priority="5392" operator="lessThan">
      <formula>0</formula>
    </cfRule>
  </conditionalFormatting>
  <conditionalFormatting sqref="H86:H1048576">
    <cfRule type="cellIs" dxfId="2872" priority="5391" operator="lessThan">
      <formula>0</formula>
    </cfRule>
  </conditionalFormatting>
  <conditionalFormatting sqref="H86:H1048576">
    <cfRule type="cellIs" dxfId="2871" priority="5390" operator="lessThan">
      <formula>0</formula>
    </cfRule>
  </conditionalFormatting>
  <conditionalFormatting sqref="H86:H1048576">
    <cfRule type="cellIs" dxfId="2870" priority="5389" operator="lessThan">
      <formula>0</formula>
    </cfRule>
  </conditionalFormatting>
  <conditionalFormatting sqref="H86:H1048576">
    <cfRule type="cellIs" dxfId="2869" priority="5388" operator="lessThan">
      <formula>0</formula>
    </cfRule>
  </conditionalFormatting>
  <conditionalFormatting sqref="H86:H1048576">
    <cfRule type="cellIs" dxfId="2868" priority="5387" operator="lessThan">
      <formula>0</formula>
    </cfRule>
  </conditionalFormatting>
  <conditionalFormatting sqref="H86:H1048576">
    <cfRule type="cellIs" dxfId="2867" priority="5386" operator="lessThan">
      <formula>0</formula>
    </cfRule>
  </conditionalFormatting>
  <conditionalFormatting sqref="H86:H1048576">
    <cfRule type="cellIs" dxfId="2866" priority="5385" operator="lessThan">
      <formula>0</formula>
    </cfRule>
  </conditionalFormatting>
  <conditionalFormatting sqref="H86:H1048576">
    <cfRule type="cellIs" dxfId="2865" priority="5384" operator="lessThan">
      <formula>0</formula>
    </cfRule>
  </conditionalFormatting>
  <conditionalFormatting sqref="H86:H1048576">
    <cfRule type="cellIs" dxfId="2864" priority="5383" operator="lessThan">
      <formula>0</formula>
    </cfRule>
  </conditionalFormatting>
  <conditionalFormatting sqref="H86:H1048576">
    <cfRule type="cellIs" dxfId="2863" priority="5382" operator="lessThan">
      <formula>0</formula>
    </cfRule>
  </conditionalFormatting>
  <conditionalFormatting sqref="H86:H1048576">
    <cfRule type="cellIs" dxfId="2862" priority="5381" operator="lessThan">
      <formula>0</formula>
    </cfRule>
  </conditionalFormatting>
  <conditionalFormatting sqref="H86:H1048576">
    <cfRule type="cellIs" dxfId="2861" priority="5380" operator="lessThan">
      <formula>0</formula>
    </cfRule>
  </conditionalFormatting>
  <conditionalFormatting sqref="H86:H1048576">
    <cfRule type="cellIs" dxfId="2860" priority="5379" operator="lessThan">
      <formula>0</formula>
    </cfRule>
  </conditionalFormatting>
  <conditionalFormatting sqref="H86:H1048576">
    <cfRule type="cellIs" dxfId="2859" priority="5378" operator="lessThan">
      <formula>0</formula>
    </cfRule>
  </conditionalFormatting>
  <conditionalFormatting sqref="H86:H1048576">
    <cfRule type="cellIs" dxfId="2858" priority="5377" operator="lessThan">
      <formula>0</formula>
    </cfRule>
  </conditionalFormatting>
  <conditionalFormatting sqref="H86:H1048576">
    <cfRule type="cellIs" dxfId="2857" priority="5376" operator="lessThan">
      <formula>0</formula>
    </cfRule>
  </conditionalFormatting>
  <conditionalFormatting sqref="H86:H1048576">
    <cfRule type="cellIs" dxfId="2856" priority="5375" operator="lessThan">
      <formula>0</formula>
    </cfRule>
  </conditionalFormatting>
  <conditionalFormatting sqref="H86:H1048576">
    <cfRule type="cellIs" dxfId="2855" priority="5374" operator="lessThan">
      <formula>0</formula>
    </cfRule>
  </conditionalFormatting>
  <conditionalFormatting sqref="H86:H1048576">
    <cfRule type="cellIs" dxfId="2854" priority="5373" operator="lessThan">
      <formula>0</formula>
    </cfRule>
  </conditionalFormatting>
  <conditionalFormatting sqref="H86:H1048576">
    <cfRule type="cellIs" dxfId="2853" priority="5372" operator="lessThan">
      <formula>0</formula>
    </cfRule>
  </conditionalFormatting>
  <conditionalFormatting sqref="H86:H1048576">
    <cfRule type="cellIs" dxfId="2852" priority="5371" operator="lessThan">
      <formula>0</formula>
    </cfRule>
  </conditionalFormatting>
  <conditionalFormatting sqref="H86:H1048576">
    <cfRule type="cellIs" dxfId="2851" priority="5370" operator="lessThan">
      <formula>0</formula>
    </cfRule>
  </conditionalFormatting>
  <conditionalFormatting sqref="H86:H1048576">
    <cfRule type="cellIs" dxfId="2850" priority="5369" operator="lessThan">
      <formula>0</formula>
    </cfRule>
  </conditionalFormatting>
  <conditionalFormatting sqref="H86:H1048576">
    <cfRule type="cellIs" dxfId="2849" priority="5368" operator="lessThan">
      <formula>0</formula>
    </cfRule>
  </conditionalFormatting>
  <conditionalFormatting sqref="H86:H1048576">
    <cfRule type="cellIs" dxfId="2848" priority="5367" operator="lessThan">
      <formula>0</formula>
    </cfRule>
  </conditionalFormatting>
  <conditionalFormatting sqref="H86:H1048576">
    <cfRule type="cellIs" dxfId="2847" priority="5366" operator="lessThan">
      <formula>0</formula>
    </cfRule>
  </conditionalFormatting>
  <conditionalFormatting sqref="H86:H1048576">
    <cfRule type="cellIs" dxfId="2846" priority="5365" operator="lessThan">
      <formula>0</formula>
    </cfRule>
  </conditionalFormatting>
  <conditionalFormatting sqref="H86:H1048576">
    <cfRule type="cellIs" dxfId="2845" priority="5364" operator="lessThan">
      <formula>0</formula>
    </cfRule>
  </conditionalFormatting>
  <conditionalFormatting sqref="H86:H1048576">
    <cfRule type="cellIs" dxfId="2844" priority="5363" operator="lessThan">
      <formula>0</formula>
    </cfRule>
  </conditionalFormatting>
  <conditionalFormatting sqref="H86:H1048576">
    <cfRule type="cellIs" dxfId="2843" priority="5362" operator="lessThan">
      <formula>0</formula>
    </cfRule>
  </conditionalFormatting>
  <conditionalFormatting sqref="H86:H1048576">
    <cfRule type="cellIs" dxfId="2842" priority="5361" operator="lessThan">
      <formula>0</formula>
    </cfRule>
  </conditionalFormatting>
  <conditionalFormatting sqref="H86:H1048576">
    <cfRule type="cellIs" dxfId="2841" priority="5360" operator="lessThan">
      <formula>0</formula>
    </cfRule>
  </conditionalFormatting>
  <conditionalFormatting sqref="H86:H1048576">
    <cfRule type="cellIs" dxfId="2840" priority="5359" operator="lessThan">
      <formula>0</formula>
    </cfRule>
  </conditionalFormatting>
  <conditionalFormatting sqref="H86:H1048576">
    <cfRule type="cellIs" dxfId="2839" priority="5358" operator="lessThan">
      <formula>0</formula>
    </cfRule>
  </conditionalFormatting>
  <conditionalFormatting sqref="H86:H1048576">
    <cfRule type="cellIs" dxfId="2838" priority="5357" operator="lessThan">
      <formula>0</formula>
    </cfRule>
  </conditionalFormatting>
  <conditionalFormatting sqref="H86:H1048576">
    <cfRule type="cellIs" dxfId="2837" priority="5356" operator="lessThan">
      <formula>0</formula>
    </cfRule>
  </conditionalFormatting>
  <conditionalFormatting sqref="H86:H1048576">
    <cfRule type="cellIs" dxfId="2836" priority="5355" operator="lessThan">
      <formula>0</formula>
    </cfRule>
  </conditionalFormatting>
  <conditionalFormatting sqref="H86:H1048576">
    <cfRule type="cellIs" dxfId="2835" priority="5354" operator="lessThan">
      <formula>0</formula>
    </cfRule>
  </conditionalFormatting>
  <conditionalFormatting sqref="H86:H1048576">
    <cfRule type="cellIs" dxfId="2834" priority="5353" operator="lessThan">
      <formula>0</formula>
    </cfRule>
  </conditionalFormatting>
  <conditionalFormatting sqref="H86:H1048576">
    <cfRule type="cellIs" dxfId="2833" priority="5352" operator="lessThan">
      <formula>0</formula>
    </cfRule>
  </conditionalFormatting>
  <conditionalFormatting sqref="H86:H1048576">
    <cfRule type="cellIs" dxfId="2832" priority="5351" operator="lessThan">
      <formula>0</formula>
    </cfRule>
  </conditionalFormatting>
  <conditionalFormatting sqref="H86:H1048576">
    <cfRule type="cellIs" dxfId="2831" priority="5350" operator="lessThan">
      <formula>0</formula>
    </cfRule>
  </conditionalFormatting>
  <conditionalFormatting sqref="H86:H1048576">
    <cfRule type="cellIs" dxfId="2830" priority="5349" operator="lessThan">
      <formula>0</formula>
    </cfRule>
  </conditionalFormatting>
  <conditionalFormatting sqref="H86:H1048576">
    <cfRule type="cellIs" dxfId="2829" priority="5348" operator="lessThan">
      <formula>0</formula>
    </cfRule>
  </conditionalFormatting>
  <conditionalFormatting sqref="H86:H1048576">
    <cfRule type="cellIs" dxfId="2828" priority="5347" operator="lessThan">
      <formula>0</formula>
    </cfRule>
  </conditionalFormatting>
  <conditionalFormatting sqref="H86:H1048576">
    <cfRule type="cellIs" dxfId="2827" priority="5346" operator="lessThan">
      <formula>0</formula>
    </cfRule>
  </conditionalFormatting>
  <conditionalFormatting sqref="H86:H1048576">
    <cfRule type="cellIs" dxfId="2826" priority="5345" operator="lessThan">
      <formula>0</formula>
    </cfRule>
  </conditionalFormatting>
  <conditionalFormatting sqref="H86:H1048576">
    <cfRule type="cellIs" dxfId="2825" priority="5344" operator="lessThan">
      <formula>0</formula>
    </cfRule>
  </conditionalFormatting>
  <conditionalFormatting sqref="H86:H1048576">
    <cfRule type="cellIs" dxfId="2824" priority="5343" operator="lessThan">
      <formula>0</formula>
    </cfRule>
  </conditionalFormatting>
  <conditionalFormatting sqref="H86:H1048576">
    <cfRule type="cellIs" dxfId="2823" priority="5342" operator="lessThan">
      <formula>0</formula>
    </cfRule>
  </conditionalFormatting>
  <conditionalFormatting sqref="H86:H1048576">
    <cfRule type="cellIs" dxfId="2822" priority="5341" operator="lessThan">
      <formula>0</formula>
    </cfRule>
  </conditionalFormatting>
  <conditionalFormatting sqref="H86:H1048576">
    <cfRule type="cellIs" dxfId="2821" priority="5340" operator="lessThan">
      <formula>0</formula>
    </cfRule>
  </conditionalFormatting>
  <conditionalFormatting sqref="H86:H1048576">
    <cfRule type="cellIs" dxfId="2820" priority="5339" operator="lessThan">
      <formula>0</formula>
    </cfRule>
  </conditionalFormatting>
  <conditionalFormatting sqref="H86:H1048576">
    <cfRule type="cellIs" dxfId="2819" priority="5338" operator="lessThan">
      <formula>0</formula>
    </cfRule>
  </conditionalFormatting>
  <conditionalFormatting sqref="H86:H1048576">
    <cfRule type="cellIs" dxfId="2818" priority="5337" operator="lessThan">
      <formula>0</formula>
    </cfRule>
  </conditionalFormatting>
  <conditionalFormatting sqref="H86:H1048576">
    <cfRule type="cellIs" dxfId="2817" priority="5336" operator="lessThan">
      <formula>0</formula>
    </cfRule>
  </conditionalFormatting>
  <conditionalFormatting sqref="H86:H1048576">
    <cfRule type="cellIs" dxfId="2816" priority="5335" operator="lessThan">
      <formula>0</formula>
    </cfRule>
  </conditionalFormatting>
  <conditionalFormatting sqref="H86:H1048576">
    <cfRule type="cellIs" dxfId="2815" priority="5334" operator="lessThan">
      <formula>0</formula>
    </cfRule>
  </conditionalFormatting>
  <conditionalFormatting sqref="H86:H1048576">
    <cfRule type="cellIs" dxfId="2814" priority="5333" operator="lessThan">
      <formula>0</formula>
    </cfRule>
  </conditionalFormatting>
  <conditionalFormatting sqref="H86:H1048576">
    <cfRule type="cellIs" dxfId="2813" priority="5332" operator="lessThan">
      <formula>0</formula>
    </cfRule>
  </conditionalFormatting>
  <conditionalFormatting sqref="H86:H1048576">
    <cfRule type="cellIs" dxfId="2812" priority="5331" operator="lessThan">
      <formula>0</formula>
    </cfRule>
  </conditionalFormatting>
  <conditionalFormatting sqref="H86:H1048576">
    <cfRule type="cellIs" dxfId="2811" priority="5330" operator="lessThan">
      <formula>0</formula>
    </cfRule>
  </conditionalFormatting>
  <conditionalFormatting sqref="H86:H1048576">
    <cfRule type="cellIs" dxfId="2810" priority="5329" operator="lessThan">
      <formula>0</formula>
    </cfRule>
  </conditionalFormatting>
  <conditionalFormatting sqref="H86:H1048576">
    <cfRule type="cellIs" dxfId="2809" priority="5328" operator="lessThan">
      <formula>0</formula>
    </cfRule>
  </conditionalFormatting>
  <conditionalFormatting sqref="H86:H1048576">
    <cfRule type="cellIs" dxfId="2808" priority="5327" operator="lessThan">
      <formula>0</formula>
    </cfRule>
  </conditionalFormatting>
  <conditionalFormatting sqref="H86:H1048576">
    <cfRule type="cellIs" dxfId="2807" priority="5326" operator="lessThan">
      <formula>0</formula>
    </cfRule>
  </conditionalFormatting>
  <conditionalFormatting sqref="H86:H1048576">
    <cfRule type="cellIs" dxfId="2806" priority="5325" operator="lessThan">
      <formula>0</formula>
    </cfRule>
  </conditionalFormatting>
  <conditionalFormatting sqref="H86:H1048576">
    <cfRule type="cellIs" dxfId="2805" priority="5324" operator="lessThan">
      <formula>0</formula>
    </cfRule>
  </conditionalFormatting>
  <conditionalFormatting sqref="H86:H1048576">
    <cfRule type="cellIs" dxfId="2804" priority="5323" operator="lessThan">
      <formula>0</formula>
    </cfRule>
  </conditionalFormatting>
  <conditionalFormatting sqref="H86:H1048576">
    <cfRule type="cellIs" dxfId="2803" priority="5322" operator="lessThan">
      <formula>0</formula>
    </cfRule>
  </conditionalFormatting>
  <conditionalFormatting sqref="H86:H1048576">
    <cfRule type="cellIs" dxfId="2802" priority="5321" operator="lessThan">
      <formula>0</formula>
    </cfRule>
  </conditionalFormatting>
  <conditionalFormatting sqref="H86:H1048576">
    <cfRule type="cellIs" dxfId="2801" priority="5320" operator="lessThan">
      <formula>0</formula>
    </cfRule>
  </conditionalFormatting>
  <conditionalFormatting sqref="H86:H1048576">
    <cfRule type="cellIs" dxfId="2800" priority="5319" operator="lessThan">
      <formula>0</formula>
    </cfRule>
  </conditionalFormatting>
  <conditionalFormatting sqref="H86:H1048576">
    <cfRule type="cellIs" dxfId="2799" priority="5318" operator="lessThan">
      <formula>0</formula>
    </cfRule>
  </conditionalFormatting>
  <conditionalFormatting sqref="H86:H1048576">
    <cfRule type="cellIs" dxfId="2798" priority="5317" operator="lessThan">
      <formula>0</formula>
    </cfRule>
  </conditionalFormatting>
  <conditionalFormatting sqref="H86:H1048576">
    <cfRule type="cellIs" dxfId="2797" priority="5316" operator="lessThan">
      <formula>0</formula>
    </cfRule>
  </conditionalFormatting>
  <conditionalFormatting sqref="H86:H1048576">
    <cfRule type="cellIs" dxfId="2796" priority="5315" operator="lessThan">
      <formula>0</formula>
    </cfRule>
  </conditionalFormatting>
  <conditionalFormatting sqref="H86:H1048576">
    <cfRule type="cellIs" dxfId="2795" priority="5314" operator="lessThan">
      <formula>0</formula>
    </cfRule>
  </conditionalFormatting>
  <conditionalFormatting sqref="H86:H1048576">
    <cfRule type="cellIs" dxfId="2794" priority="5313" operator="lessThan">
      <formula>0</formula>
    </cfRule>
  </conditionalFormatting>
  <conditionalFormatting sqref="H86:H1048576">
    <cfRule type="cellIs" dxfId="2793" priority="5312" operator="lessThan">
      <formula>0</formula>
    </cfRule>
  </conditionalFormatting>
  <conditionalFormatting sqref="H86:H1048576">
    <cfRule type="cellIs" dxfId="2792" priority="5311" operator="lessThan">
      <formula>0</formula>
    </cfRule>
  </conditionalFormatting>
  <conditionalFormatting sqref="H86:H1048576">
    <cfRule type="cellIs" dxfId="2791" priority="5310" operator="lessThan">
      <formula>0</formula>
    </cfRule>
  </conditionalFormatting>
  <conditionalFormatting sqref="H86:H1048576">
    <cfRule type="cellIs" dxfId="2790" priority="5309" operator="lessThan">
      <formula>0</formula>
    </cfRule>
  </conditionalFormatting>
  <conditionalFormatting sqref="H86:H1048576">
    <cfRule type="cellIs" dxfId="2789" priority="5308" operator="lessThan">
      <formula>0</formula>
    </cfRule>
  </conditionalFormatting>
  <conditionalFormatting sqref="H86:H1048576">
    <cfRule type="cellIs" dxfId="2788" priority="5307" operator="lessThan">
      <formula>0</formula>
    </cfRule>
  </conditionalFormatting>
  <conditionalFormatting sqref="H86:H1048576">
    <cfRule type="cellIs" dxfId="2787" priority="5306" operator="lessThan">
      <formula>0</formula>
    </cfRule>
  </conditionalFormatting>
  <conditionalFormatting sqref="H86:H1048576">
    <cfRule type="cellIs" dxfId="2786" priority="5305" operator="lessThan">
      <formula>0</formula>
    </cfRule>
  </conditionalFormatting>
  <conditionalFormatting sqref="H86:H1048576">
    <cfRule type="cellIs" dxfId="2785" priority="5304" operator="lessThan">
      <formula>0</formula>
    </cfRule>
  </conditionalFormatting>
  <conditionalFormatting sqref="H86:H1048576">
    <cfRule type="cellIs" dxfId="2784" priority="5303" operator="lessThan">
      <formula>0</formula>
    </cfRule>
  </conditionalFormatting>
  <conditionalFormatting sqref="H86:H1048576">
    <cfRule type="cellIs" dxfId="2783" priority="5302" operator="lessThan">
      <formula>0</formula>
    </cfRule>
  </conditionalFormatting>
  <conditionalFormatting sqref="H86:H1048576">
    <cfRule type="cellIs" dxfId="2782" priority="5301" operator="lessThan">
      <formula>0</formula>
    </cfRule>
  </conditionalFormatting>
  <conditionalFormatting sqref="H86:H1048576">
    <cfRule type="cellIs" dxfId="2781" priority="5300" operator="lessThan">
      <formula>0</formula>
    </cfRule>
  </conditionalFormatting>
  <conditionalFormatting sqref="H86:H1048576">
    <cfRule type="cellIs" dxfId="2780" priority="5299" operator="lessThan">
      <formula>0</formula>
    </cfRule>
  </conditionalFormatting>
  <conditionalFormatting sqref="H86:H1048576">
    <cfRule type="cellIs" dxfId="2779" priority="5298" operator="lessThan">
      <formula>0</formula>
    </cfRule>
  </conditionalFormatting>
  <conditionalFormatting sqref="H86:H1048576">
    <cfRule type="cellIs" dxfId="2778" priority="5297" operator="lessThan">
      <formula>0</formula>
    </cfRule>
  </conditionalFormatting>
  <conditionalFormatting sqref="H86:H1048576">
    <cfRule type="cellIs" dxfId="2777" priority="5296" operator="lessThan">
      <formula>0</formula>
    </cfRule>
  </conditionalFormatting>
  <conditionalFormatting sqref="H86:H1048576">
    <cfRule type="cellIs" dxfId="2776" priority="5295" operator="lessThan">
      <formula>0</formula>
    </cfRule>
  </conditionalFormatting>
  <conditionalFormatting sqref="H86:H1048576">
    <cfRule type="cellIs" dxfId="2775" priority="5294" operator="lessThan">
      <formula>0</formula>
    </cfRule>
  </conditionalFormatting>
  <conditionalFormatting sqref="H86:H1048576">
    <cfRule type="cellIs" dxfId="2774" priority="5293" operator="lessThan">
      <formula>0</formula>
    </cfRule>
  </conditionalFormatting>
  <conditionalFormatting sqref="H86:H1048576">
    <cfRule type="cellIs" dxfId="2773" priority="5292" operator="lessThan">
      <formula>0</formula>
    </cfRule>
  </conditionalFormatting>
  <conditionalFormatting sqref="H86:H1048576">
    <cfRule type="cellIs" dxfId="2772" priority="5291" operator="lessThan">
      <formula>0</formula>
    </cfRule>
  </conditionalFormatting>
  <conditionalFormatting sqref="H86:H1048576">
    <cfRule type="cellIs" dxfId="2771" priority="5290" operator="lessThan">
      <formula>0</formula>
    </cfRule>
  </conditionalFormatting>
  <conditionalFormatting sqref="H86:H1048576">
    <cfRule type="cellIs" dxfId="2770" priority="5289" operator="lessThan">
      <formula>0</formula>
    </cfRule>
  </conditionalFormatting>
  <conditionalFormatting sqref="H86:H1048576">
    <cfRule type="cellIs" dxfId="2769" priority="5288" operator="lessThan">
      <formula>0</formula>
    </cfRule>
  </conditionalFormatting>
  <conditionalFormatting sqref="H86:H1048576">
    <cfRule type="cellIs" dxfId="2768" priority="5287" operator="lessThan">
      <formula>0</formula>
    </cfRule>
  </conditionalFormatting>
  <conditionalFormatting sqref="H86:H1048576">
    <cfRule type="cellIs" dxfId="2767" priority="5286" operator="lessThan">
      <formula>0</formula>
    </cfRule>
  </conditionalFormatting>
  <conditionalFormatting sqref="H86:H1048576">
    <cfRule type="cellIs" dxfId="2766" priority="5285" operator="lessThan">
      <formula>0</formula>
    </cfRule>
  </conditionalFormatting>
  <conditionalFormatting sqref="H86:H1048576">
    <cfRule type="cellIs" dxfId="2765" priority="5284" operator="lessThan">
      <formula>0</formula>
    </cfRule>
  </conditionalFormatting>
  <conditionalFormatting sqref="H86:H1048576">
    <cfRule type="cellIs" dxfId="2764" priority="5283" operator="lessThan">
      <formula>0</formula>
    </cfRule>
  </conditionalFormatting>
  <conditionalFormatting sqref="H86:H1048576">
    <cfRule type="cellIs" dxfId="2763" priority="5282" operator="lessThan">
      <formula>0</formula>
    </cfRule>
  </conditionalFormatting>
  <conditionalFormatting sqref="H86:H1048576">
    <cfRule type="cellIs" dxfId="2762" priority="5281" operator="lessThan">
      <formula>0</formula>
    </cfRule>
  </conditionalFormatting>
  <conditionalFormatting sqref="H86:H1048576">
    <cfRule type="cellIs" dxfId="2761" priority="5280" operator="lessThan">
      <formula>0</formula>
    </cfRule>
  </conditionalFormatting>
  <conditionalFormatting sqref="H10:H1048576">
    <cfRule type="cellIs" dxfId="2760" priority="5279" operator="lessThan">
      <formula>0</formula>
    </cfRule>
  </conditionalFormatting>
  <conditionalFormatting sqref="H10:H1048576">
    <cfRule type="cellIs" dxfId="2759" priority="5278" operator="lessThan">
      <formula>0</formula>
    </cfRule>
  </conditionalFormatting>
  <conditionalFormatting sqref="H10:H1048576">
    <cfRule type="cellIs" dxfId="2758" priority="5277" operator="lessThan">
      <formula>0</formula>
    </cfRule>
  </conditionalFormatting>
  <conditionalFormatting sqref="H10:H1048576">
    <cfRule type="cellIs" dxfId="2757" priority="5276" operator="lessThan">
      <formula>0</formula>
    </cfRule>
  </conditionalFormatting>
  <conditionalFormatting sqref="H10:H1048576">
    <cfRule type="cellIs" dxfId="2756" priority="5275" operator="lessThan">
      <formula>0</formula>
    </cfRule>
  </conditionalFormatting>
  <conditionalFormatting sqref="H10:H1048576">
    <cfRule type="cellIs" dxfId="2755" priority="5274" operator="lessThan">
      <formula>0</formula>
    </cfRule>
  </conditionalFormatting>
  <conditionalFormatting sqref="H10:H1048576">
    <cfRule type="cellIs" dxfId="2754" priority="5273" operator="lessThan">
      <formula>0</formula>
    </cfRule>
  </conditionalFormatting>
  <conditionalFormatting sqref="H10:H1048576">
    <cfRule type="cellIs" dxfId="2753" priority="5272" operator="lessThan">
      <formula>0</formula>
    </cfRule>
  </conditionalFormatting>
  <conditionalFormatting sqref="H10:H1048576">
    <cfRule type="cellIs" dxfId="2752" priority="5271" operator="lessThan">
      <formula>0</formula>
    </cfRule>
  </conditionalFormatting>
  <conditionalFormatting sqref="H10:H1048576">
    <cfRule type="cellIs" dxfId="2751" priority="5270" operator="lessThan">
      <formula>0</formula>
    </cfRule>
  </conditionalFormatting>
  <conditionalFormatting sqref="H10:H1048576">
    <cfRule type="cellIs" dxfId="2750" priority="5269" operator="lessThan">
      <formula>0</formula>
    </cfRule>
  </conditionalFormatting>
  <conditionalFormatting sqref="H10:H1048576">
    <cfRule type="cellIs" dxfId="2749" priority="5268" operator="lessThan">
      <formula>0</formula>
    </cfRule>
  </conditionalFormatting>
  <conditionalFormatting sqref="H10:H1048576">
    <cfRule type="cellIs" dxfId="2748" priority="5267" operator="lessThan">
      <formula>0</formula>
    </cfRule>
  </conditionalFormatting>
  <conditionalFormatting sqref="H10:H1048576">
    <cfRule type="cellIs" dxfId="2747" priority="5266" operator="lessThan">
      <formula>0</formula>
    </cfRule>
  </conditionalFormatting>
  <conditionalFormatting sqref="H10:H1048576">
    <cfRule type="cellIs" dxfId="2746" priority="5265" operator="lessThan">
      <formula>0</formula>
    </cfRule>
  </conditionalFormatting>
  <conditionalFormatting sqref="H10:H1048576">
    <cfRule type="cellIs" dxfId="2745" priority="5264" operator="lessThan">
      <formula>0</formula>
    </cfRule>
  </conditionalFormatting>
  <conditionalFormatting sqref="H10:H1048576">
    <cfRule type="cellIs" dxfId="2744" priority="5263" operator="lessThan">
      <formula>0</formula>
    </cfRule>
  </conditionalFormatting>
  <conditionalFormatting sqref="H10:H1048576">
    <cfRule type="cellIs" dxfId="2743" priority="5262" operator="lessThan">
      <formula>0</formula>
    </cfRule>
  </conditionalFormatting>
  <conditionalFormatting sqref="H10:H1048576">
    <cfRule type="cellIs" dxfId="2742" priority="5261" operator="lessThan">
      <formula>0</formula>
    </cfRule>
  </conditionalFormatting>
  <conditionalFormatting sqref="H10:H1048576">
    <cfRule type="cellIs" dxfId="2741" priority="5260" operator="lessThan">
      <formula>0</formula>
    </cfRule>
  </conditionalFormatting>
  <conditionalFormatting sqref="H10:H1048576">
    <cfRule type="cellIs" dxfId="2740" priority="5259" operator="lessThan">
      <formula>0</formula>
    </cfRule>
  </conditionalFormatting>
  <conditionalFormatting sqref="H10:H1048576">
    <cfRule type="cellIs" dxfId="2739" priority="5258" operator="lessThan">
      <formula>0</formula>
    </cfRule>
  </conditionalFormatting>
  <conditionalFormatting sqref="H10:H1048576">
    <cfRule type="cellIs" dxfId="2738" priority="5257" operator="lessThan">
      <formula>0</formula>
    </cfRule>
  </conditionalFormatting>
  <conditionalFormatting sqref="H10:H1048576">
    <cfRule type="cellIs" dxfId="2737" priority="5256" operator="lessThan">
      <formula>0</formula>
    </cfRule>
  </conditionalFormatting>
  <conditionalFormatting sqref="H10:H1048576">
    <cfRule type="cellIs" dxfId="2736" priority="5255" operator="lessThan">
      <formula>0</formula>
    </cfRule>
  </conditionalFormatting>
  <conditionalFormatting sqref="H10:H1048576">
    <cfRule type="cellIs" dxfId="2735" priority="5254" operator="lessThan">
      <formula>0</formula>
    </cfRule>
  </conditionalFormatting>
  <conditionalFormatting sqref="H10:H1048576">
    <cfRule type="cellIs" dxfId="2734" priority="5253" operator="lessThan">
      <formula>0</formula>
    </cfRule>
  </conditionalFormatting>
  <conditionalFormatting sqref="H10:H1048576">
    <cfRule type="cellIs" dxfId="2733" priority="5252" operator="lessThan">
      <formula>0</formula>
    </cfRule>
  </conditionalFormatting>
  <conditionalFormatting sqref="H10:H1048576">
    <cfRule type="cellIs" dxfId="2732" priority="5251" operator="lessThan">
      <formula>0</formula>
    </cfRule>
  </conditionalFormatting>
  <conditionalFormatting sqref="H10:H1048576">
    <cfRule type="cellIs" dxfId="2731" priority="5250" operator="lessThan">
      <formula>0</formula>
    </cfRule>
  </conditionalFormatting>
  <conditionalFormatting sqref="H10:H1048576">
    <cfRule type="cellIs" dxfId="2730" priority="5249" operator="lessThan">
      <formula>0</formula>
    </cfRule>
  </conditionalFormatting>
  <conditionalFormatting sqref="H10:H1048576">
    <cfRule type="cellIs" dxfId="2729" priority="5248" operator="lessThan">
      <formula>0</formula>
    </cfRule>
  </conditionalFormatting>
  <conditionalFormatting sqref="H10:H1048576">
    <cfRule type="cellIs" dxfId="2728" priority="5247" operator="lessThan">
      <formula>0</formula>
    </cfRule>
  </conditionalFormatting>
  <conditionalFormatting sqref="H10:H1048576">
    <cfRule type="cellIs" dxfId="2727" priority="5246" operator="lessThan">
      <formula>0</formula>
    </cfRule>
  </conditionalFormatting>
  <conditionalFormatting sqref="H10:H1048576">
    <cfRule type="cellIs" dxfId="2726" priority="5245" operator="lessThan">
      <formula>0</formula>
    </cfRule>
  </conditionalFormatting>
  <conditionalFormatting sqref="H10:H1048576">
    <cfRule type="cellIs" dxfId="2725" priority="5244" operator="lessThan">
      <formula>0</formula>
    </cfRule>
  </conditionalFormatting>
  <conditionalFormatting sqref="H10:H1048576">
    <cfRule type="cellIs" dxfId="2724" priority="5243" operator="lessThan">
      <formula>0</formula>
    </cfRule>
  </conditionalFormatting>
  <conditionalFormatting sqref="H10:H1048576">
    <cfRule type="cellIs" dxfId="2723" priority="5242" operator="lessThan">
      <formula>0</formula>
    </cfRule>
  </conditionalFormatting>
  <conditionalFormatting sqref="H10:H1048576">
    <cfRule type="cellIs" dxfId="2722" priority="5241" operator="lessThan">
      <formula>0</formula>
    </cfRule>
  </conditionalFormatting>
  <conditionalFormatting sqref="H10:H1048576">
    <cfRule type="cellIs" dxfId="2721" priority="5240" operator="lessThan">
      <formula>0</formula>
    </cfRule>
  </conditionalFormatting>
  <conditionalFormatting sqref="H10:H1048576">
    <cfRule type="cellIs" dxfId="2720" priority="5239" operator="lessThan">
      <formula>0</formula>
    </cfRule>
  </conditionalFormatting>
  <conditionalFormatting sqref="H10:H1048576">
    <cfRule type="cellIs" dxfId="2719" priority="5238" operator="lessThan">
      <formula>0</formula>
    </cfRule>
  </conditionalFormatting>
  <conditionalFormatting sqref="H10:H1048576">
    <cfRule type="cellIs" dxfId="2718" priority="5237" operator="lessThan">
      <formula>0</formula>
    </cfRule>
  </conditionalFormatting>
  <conditionalFormatting sqref="H10:H1048576">
    <cfRule type="cellIs" dxfId="2717" priority="5236" operator="lessThan">
      <formula>0</formula>
    </cfRule>
  </conditionalFormatting>
  <conditionalFormatting sqref="H10:H1048576">
    <cfRule type="cellIs" dxfId="2716" priority="5235" operator="lessThan">
      <formula>0</formula>
    </cfRule>
  </conditionalFormatting>
  <conditionalFormatting sqref="H10:H1048576">
    <cfRule type="cellIs" dxfId="2715" priority="5234" operator="lessThan">
      <formula>0</formula>
    </cfRule>
  </conditionalFormatting>
  <conditionalFormatting sqref="H10:H1048576">
    <cfRule type="cellIs" dxfId="2714" priority="5233" operator="lessThan">
      <formula>0</formula>
    </cfRule>
  </conditionalFormatting>
  <conditionalFormatting sqref="H10:H1048576">
    <cfRule type="cellIs" dxfId="2713" priority="5232" operator="lessThan">
      <formula>0</formula>
    </cfRule>
  </conditionalFormatting>
  <conditionalFormatting sqref="H10:H1048576">
    <cfRule type="cellIs" dxfId="2712" priority="5231" operator="lessThan">
      <formula>0</formula>
    </cfRule>
  </conditionalFormatting>
  <conditionalFormatting sqref="H10:H1048576">
    <cfRule type="cellIs" dxfId="2711" priority="5230" operator="lessThan">
      <formula>0</formula>
    </cfRule>
  </conditionalFormatting>
  <conditionalFormatting sqref="H10:H1048576">
    <cfRule type="cellIs" dxfId="2710" priority="5229" operator="lessThan">
      <formula>0</formula>
    </cfRule>
  </conditionalFormatting>
  <conditionalFormatting sqref="H10:H1048576">
    <cfRule type="cellIs" dxfId="2709" priority="5228" operator="lessThan">
      <formula>0</formula>
    </cfRule>
  </conditionalFormatting>
  <conditionalFormatting sqref="H10:H1048576">
    <cfRule type="cellIs" dxfId="2708" priority="5227" operator="lessThan">
      <formula>0</formula>
    </cfRule>
  </conditionalFormatting>
  <conditionalFormatting sqref="H10:H1048576">
    <cfRule type="cellIs" dxfId="2707" priority="5226" operator="lessThan">
      <formula>0</formula>
    </cfRule>
  </conditionalFormatting>
  <conditionalFormatting sqref="H10:H1048576">
    <cfRule type="cellIs" dxfId="2706" priority="5225" operator="lessThan">
      <formula>0</formula>
    </cfRule>
  </conditionalFormatting>
  <conditionalFormatting sqref="H10:H1048576">
    <cfRule type="cellIs" dxfId="2705" priority="5224" operator="lessThan">
      <formula>0</formula>
    </cfRule>
  </conditionalFormatting>
  <conditionalFormatting sqref="H10:H1048576">
    <cfRule type="cellIs" dxfId="2704" priority="5223" operator="lessThan">
      <formula>0</formula>
    </cfRule>
  </conditionalFormatting>
  <conditionalFormatting sqref="H10:H1048576">
    <cfRule type="cellIs" dxfId="2703" priority="5222" operator="lessThan">
      <formula>0</formula>
    </cfRule>
  </conditionalFormatting>
  <conditionalFormatting sqref="H10:H1048576">
    <cfRule type="cellIs" dxfId="2702" priority="5221" operator="lessThan">
      <formula>0</formula>
    </cfRule>
  </conditionalFormatting>
  <conditionalFormatting sqref="H10:H1048576">
    <cfRule type="cellIs" dxfId="2701" priority="5220" operator="lessThan">
      <formula>0</formula>
    </cfRule>
  </conditionalFormatting>
  <conditionalFormatting sqref="H10:H1048576">
    <cfRule type="cellIs" dxfId="2700" priority="5219" operator="lessThan">
      <formula>0</formula>
    </cfRule>
  </conditionalFormatting>
  <conditionalFormatting sqref="H10:H1048576">
    <cfRule type="cellIs" dxfId="2699" priority="5218" operator="lessThan">
      <formula>0</formula>
    </cfRule>
  </conditionalFormatting>
  <conditionalFormatting sqref="H10:H1048576">
    <cfRule type="cellIs" dxfId="2698" priority="5217" operator="lessThan">
      <formula>0</formula>
    </cfRule>
  </conditionalFormatting>
  <conditionalFormatting sqref="H10:H1048576">
    <cfRule type="cellIs" dxfId="2697" priority="5216" operator="lessThan">
      <formula>0</formula>
    </cfRule>
  </conditionalFormatting>
  <conditionalFormatting sqref="H10:H1048576">
    <cfRule type="cellIs" dxfId="2696" priority="5215" operator="lessThan">
      <formula>0</formula>
    </cfRule>
  </conditionalFormatting>
  <conditionalFormatting sqref="H10:H1048576">
    <cfRule type="cellIs" dxfId="2695" priority="5214" operator="lessThan">
      <formula>0</formula>
    </cfRule>
  </conditionalFormatting>
  <conditionalFormatting sqref="H10:H1048576">
    <cfRule type="cellIs" dxfId="2694" priority="5213" operator="lessThan">
      <formula>0</formula>
    </cfRule>
  </conditionalFormatting>
  <conditionalFormatting sqref="H10:H1048576">
    <cfRule type="cellIs" dxfId="2693" priority="5212" operator="lessThan">
      <formula>0</formula>
    </cfRule>
  </conditionalFormatting>
  <conditionalFormatting sqref="H10:H1048576">
    <cfRule type="cellIs" dxfId="2692" priority="5211" operator="lessThan">
      <formula>0</formula>
    </cfRule>
  </conditionalFormatting>
  <conditionalFormatting sqref="H10:H1048576">
    <cfRule type="cellIs" dxfId="2691" priority="5210" operator="lessThan">
      <formula>0</formula>
    </cfRule>
  </conditionalFormatting>
  <conditionalFormatting sqref="H10:H1048576">
    <cfRule type="cellIs" dxfId="2690" priority="5209" operator="lessThan">
      <formula>0</formula>
    </cfRule>
  </conditionalFormatting>
  <conditionalFormatting sqref="H10:H1048576">
    <cfRule type="cellIs" dxfId="2689" priority="5208" operator="lessThan">
      <formula>0</formula>
    </cfRule>
  </conditionalFormatting>
  <conditionalFormatting sqref="H10:H1048576">
    <cfRule type="cellIs" dxfId="2688" priority="5207" operator="lessThan">
      <formula>0</formula>
    </cfRule>
  </conditionalFormatting>
  <conditionalFormatting sqref="H10:H1048576">
    <cfRule type="cellIs" dxfId="2687" priority="5206" operator="lessThan">
      <formula>0</formula>
    </cfRule>
  </conditionalFormatting>
  <conditionalFormatting sqref="H10:H1048576">
    <cfRule type="cellIs" dxfId="2686" priority="5205" operator="lessThan">
      <formula>0</formula>
    </cfRule>
  </conditionalFormatting>
  <conditionalFormatting sqref="H10:H1048576">
    <cfRule type="cellIs" dxfId="2685" priority="5204" operator="lessThan">
      <formula>0</formula>
    </cfRule>
  </conditionalFormatting>
  <conditionalFormatting sqref="H10:H1048576">
    <cfRule type="cellIs" dxfId="2684" priority="5203" operator="lessThan">
      <formula>0</formula>
    </cfRule>
  </conditionalFormatting>
  <conditionalFormatting sqref="H10:H1048576">
    <cfRule type="cellIs" dxfId="2683" priority="5202" operator="lessThan">
      <formula>0</formula>
    </cfRule>
  </conditionalFormatting>
  <conditionalFormatting sqref="H10:H1048576">
    <cfRule type="cellIs" dxfId="2682" priority="5201" operator="lessThan">
      <formula>0</formula>
    </cfRule>
  </conditionalFormatting>
  <conditionalFormatting sqref="H10:H1048576">
    <cfRule type="cellIs" dxfId="2681" priority="5200" operator="lessThan">
      <formula>0</formula>
    </cfRule>
  </conditionalFormatting>
  <conditionalFormatting sqref="H10:H1048576">
    <cfRule type="cellIs" dxfId="2680" priority="5199" operator="lessThan">
      <formula>0</formula>
    </cfRule>
  </conditionalFormatting>
  <conditionalFormatting sqref="H10:H1048576">
    <cfRule type="cellIs" dxfId="2679" priority="5198" operator="lessThan">
      <formula>0</formula>
    </cfRule>
  </conditionalFormatting>
  <conditionalFormatting sqref="H10:H1048576">
    <cfRule type="cellIs" dxfId="2678" priority="5197" operator="lessThan">
      <formula>0</formula>
    </cfRule>
  </conditionalFormatting>
  <conditionalFormatting sqref="H10:H1048576">
    <cfRule type="cellIs" dxfId="2677" priority="5196" operator="lessThan">
      <formula>0</formula>
    </cfRule>
  </conditionalFormatting>
  <conditionalFormatting sqref="H10:H1048576">
    <cfRule type="cellIs" dxfId="2676" priority="5195" operator="lessThan">
      <formula>0</formula>
    </cfRule>
  </conditionalFormatting>
  <conditionalFormatting sqref="H10:H1048576">
    <cfRule type="cellIs" dxfId="2675" priority="5194" operator="lessThan">
      <formula>0</formula>
    </cfRule>
  </conditionalFormatting>
  <conditionalFormatting sqref="H10:H1048576">
    <cfRule type="cellIs" dxfId="2674" priority="5193" operator="lessThan">
      <formula>0</formula>
    </cfRule>
  </conditionalFormatting>
  <conditionalFormatting sqref="H10:H1048576">
    <cfRule type="cellIs" dxfId="2673" priority="5192" operator="lessThan">
      <formula>0</formula>
    </cfRule>
  </conditionalFormatting>
  <conditionalFormatting sqref="H10:H1048576">
    <cfRule type="cellIs" dxfId="2672" priority="5191" operator="lessThan">
      <formula>0</formula>
    </cfRule>
  </conditionalFormatting>
  <conditionalFormatting sqref="H10:H1048576">
    <cfRule type="cellIs" dxfId="2671" priority="5190" operator="lessThan">
      <formula>0</formula>
    </cfRule>
  </conditionalFormatting>
  <conditionalFormatting sqref="H10:H1048576">
    <cfRule type="cellIs" dxfId="2670" priority="5189" operator="lessThan">
      <formula>0</formula>
    </cfRule>
  </conditionalFormatting>
  <conditionalFormatting sqref="H10:H1048576">
    <cfRule type="cellIs" dxfId="2669" priority="5188" operator="lessThan">
      <formula>0</formula>
    </cfRule>
  </conditionalFormatting>
  <conditionalFormatting sqref="H10:H1048576">
    <cfRule type="cellIs" dxfId="2668" priority="5187" operator="lessThan">
      <formula>0</formula>
    </cfRule>
  </conditionalFormatting>
  <conditionalFormatting sqref="H10:H1048576">
    <cfRule type="cellIs" dxfId="2667" priority="5186" operator="lessThan">
      <formula>0</formula>
    </cfRule>
  </conditionalFormatting>
  <conditionalFormatting sqref="H10:H1048576">
    <cfRule type="cellIs" dxfId="2666" priority="5185" operator="lessThan">
      <formula>0</formula>
    </cfRule>
  </conditionalFormatting>
  <conditionalFormatting sqref="H10:H1048576">
    <cfRule type="cellIs" dxfId="2665" priority="5184" operator="lessThan">
      <formula>0</formula>
    </cfRule>
  </conditionalFormatting>
  <conditionalFormatting sqref="H10:H1048576">
    <cfRule type="cellIs" dxfId="2664" priority="5183" operator="lessThan">
      <formula>0</formula>
    </cfRule>
  </conditionalFormatting>
  <conditionalFormatting sqref="H10:H1048576">
    <cfRule type="cellIs" dxfId="2663" priority="5182" operator="lessThan">
      <formula>0</formula>
    </cfRule>
  </conditionalFormatting>
  <conditionalFormatting sqref="H10:H1048576">
    <cfRule type="cellIs" dxfId="2662" priority="5181" operator="lessThan">
      <formula>0</formula>
    </cfRule>
  </conditionalFormatting>
  <conditionalFormatting sqref="H10:H1048576">
    <cfRule type="cellIs" dxfId="2661" priority="5180" operator="lessThan">
      <formula>0</formula>
    </cfRule>
  </conditionalFormatting>
  <conditionalFormatting sqref="H10:H1048576">
    <cfRule type="cellIs" dxfId="2660" priority="5179" operator="lessThan">
      <formula>0</formula>
    </cfRule>
  </conditionalFormatting>
  <conditionalFormatting sqref="H10:H1048576">
    <cfRule type="cellIs" dxfId="2659" priority="5178" operator="lessThan">
      <formula>0</formula>
    </cfRule>
  </conditionalFormatting>
  <conditionalFormatting sqref="H10:H1048576">
    <cfRule type="cellIs" dxfId="2658" priority="5177" operator="lessThan">
      <formula>0</formula>
    </cfRule>
  </conditionalFormatting>
  <conditionalFormatting sqref="H10:H1048576">
    <cfRule type="cellIs" dxfId="2657" priority="5176" operator="lessThan">
      <formula>0</formula>
    </cfRule>
  </conditionalFormatting>
  <conditionalFormatting sqref="H10:H1048576">
    <cfRule type="cellIs" dxfId="2656" priority="5175" operator="lessThan">
      <formula>0</formula>
    </cfRule>
  </conditionalFormatting>
  <conditionalFormatting sqref="H10:H1048576">
    <cfRule type="cellIs" dxfId="2655" priority="5174" operator="lessThan">
      <formula>0</formula>
    </cfRule>
  </conditionalFormatting>
  <conditionalFormatting sqref="H10:H1048576">
    <cfRule type="cellIs" dxfId="2654" priority="5173" operator="lessThan">
      <formula>0</formula>
    </cfRule>
  </conditionalFormatting>
  <conditionalFormatting sqref="H10:H1048576">
    <cfRule type="cellIs" dxfId="2653" priority="5172" operator="lessThan">
      <formula>0</formula>
    </cfRule>
  </conditionalFormatting>
  <conditionalFormatting sqref="H10:H1048576">
    <cfRule type="cellIs" dxfId="2652" priority="5171" operator="lessThan">
      <formula>0</formula>
    </cfRule>
  </conditionalFormatting>
  <conditionalFormatting sqref="H10:H1048576">
    <cfRule type="cellIs" dxfId="2651" priority="5170" operator="lessThan">
      <formula>0</formula>
    </cfRule>
  </conditionalFormatting>
  <conditionalFormatting sqref="H10:H1048576">
    <cfRule type="cellIs" dxfId="2650" priority="5169" operator="lessThan">
      <formula>0</formula>
    </cfRule>
  </conditionalFormatting>
  <conditionalFormatting sqref="H10:H1048576">
    <cfRule type="cellIs" dxfId="2649" priority="5168" operator="lessThan">
      <formula>0</formula>
    </cfRule>
  </conditionalFormatting>
  <conditionalFormatting sqref="H10:H1048576">
    <cfRule type="cellIs" dxfId="2648" priority="5167" operator="lessThan">
      <formula>0</formula>
    </cfRule>
  </conditionalFormatting>
  <conditionalFormatting sqref="H10:H1048576">
    <cfRule type="cellIs" dxfId="2647" priority="5166" operator="lessThan">
      <formula>0</formula>
    </cfRule>
  </conditionalFormatting>
  <conditionalFormatting sqref="H10:H1048576">
    <cfRule type="cellIs" dxfId="2646" priority="5165" operator="lessThan">
      <formula>0</formula>
    </cfRule>
  </conditionalFormatting>
  <conditionalFormatting sqref="H10:H1048576">
    <cfRule type="cellIs" dxfId="2645" priority="5164" operator="lessThan">
      <formula>0</formula>
    </cfRule>
  </conditionalFormatting>
  <conditionalFormatting sqref="H10:H1048576">
    <cfRule type="cellIs" dxfId="2644" priority="5163" operator="lessThan">
      <formula>0</formula>
    </cfRule>
  </conditionalFormatting>
  <conditionalFormatting sqref="H10:H1048576">
    <cfRule type="cellIs" dxfId="2643" priority="5162" operator="lessThan">
      <formula>0</formula>
    </cfRule>
  </conditionalFormatting>
  <conditionalFormatting sqref="H10:H1048576">
    <cfRule type="cellIs" dxfId="2642" priority="5161" operator="lessThan">
      <formula>0</formula>
    </cfRule>
  </conditionalFormatting>
  <conditionalFormatting sqref="H10:H1048576">
    <cfRule type="cellIs" dxfId="2641" priority="5160" operator="lessThan">
      <formula>0</formula>
    </cfRule>
  </conditionalFormatting>
  <conditionalFormatting sqref="H10:H1048576">
    <cfRule type="cellIs" dxfId="2640" priority="5159" operator="lessThan">
      <formula>0</formula>
    </cfRule>
  </conditionalFormatting>
  <conditionalFormatting sqref="H10:H1048576">
    <cfRule type="cellIs" dxfId="2639" priority="5158" operator="lessThan">
      <formula>0</formula>
    </cfRule>
  </conditionalFormatting>
  <conditionalFormatting sqref="H10:H1048576">
    <cfRule type="cellIs" dxfId="2638" priority="5157" operator="lessThan">
      <formula>0</formula>
    </cfRule>
  </conditionalFormatting>
  <conditionalFormatting sqref="H10:H1048576">
    <cfRule type="cellIs" dxfId="2637" priority="5156" operator="lessThan">
      <formula>0</formula>
    </cfRule>
  </conditionalFormatting>
  <conditionalFormatting sqref="H10:H1048576">
    <cfRule type="cellIs" dxfId="2636" priority="5155" operator="lessThan">
      <formula>0</formula>
    </cfRule>
  </conditionalFormatting>
  <conditionalFormatting sqref="H10:H1048576">
    <cfRule type="cellIs" dxfId="2635" priority="5154" operator="lessThan">
      <formula>0</formula>
    </cfRule>
  </conditionalFormatting>
  <conditionalFormatting sqref="H10:H1048576">
    <cfRule type="cellIs" dxfId="2634" priority="5153" operator="lessThan">
      <formula>0</formula>
    </cfRule>
  </conditionalFormatting>
  <conditionalFormatting sqref="H10:H1048576">
    <cfRule type="cellIs" dxfId="2633" priority="5152" operator="lessThan">
      <formula>0</formula>
    </cfRule>
  </conditionalFormatting>
  <conditionalFormatting sqref="H10:H1048576">
    <cfRule type="cellIs" dxfId="2632" priority="5151" operator="lessThan">
      <formula>0</formula>
    </cfRule>
  </conditionalFormatting>
  <conditionalFormatting sqref="H10:H1048576">
    <cfRule type="cellIs" dxfId="2631" priority="5150" operator="lessThan">
      <formula>0</formula>
    </cfRule>
  </conditionalFormatting>
  <conditionalFormatting sqref="H10:H1048576">
    <cfRule type="cellIs" dxfId="2630" priority="5149" operator="lessThan">
      <formula>0</formula>
    </cfRule>
  </conditionalFormatting>
  <conditionalFormatting sqref="H10:H1048576">
    <cfRule type="cellIs" dxfId="2629" priority="5148" operator="lessThan">
      <formula>0</formula>
    </cfRule>
  </conditionalFormatting>
  <conditionalFormatting sqref="H10:H1048576">
    <cfRule type="cellIs" dxfId="2628" priority="5147" operator="lessThan">
      <formula>0</formula>
    </cfRule>
  </conditionalFormatting>
  <conditionalFormatting sqref="H10:H1048576">
    <cfRule type="cellIs" dxfId="2627" priority="5146" operator="lessThan">
      <formula>0</formula>
    </cfRule>
  </conditionalFormatting>
  <conditionalFormatting sqref="H10:H1048576">
    <cfRule type="cellIs" dxfId="2626" priority="5145" operator="lessThan">
      <formula>0</formula>
    </cfRule>
  </conditionalFormatting>
  <conditionalFormatting sqref="H10:H1048576">
    <cfRule type="cellIs" dxfId="2625" priority="5144" operator="lessThan">
      <formula>0</formula>
    </cfRule>
  </conditionalFormatting>
  <conditionalFormatting sqref="H10:H1048576">
    <cfRule type="cellIs" dxfId="2624" priority="5143" operator="lessThan">
      <formula>0</formula>
    </cfRule>
  </conditionalFormatting>
  <conditionalFormatting sqref="H10:H1048576">
    <cfRule type="cellIs" dxfId="2623" priority="5142" operator="lessThan">
      <formula>0</formula>
    </cfRule>
  </conditionalFormatting>
  <conditionalFormatting sqref="H10:H1048576">
    <cfRule type="cellIs" dxfId="2622" priority="5141" operator="lessThan">
      <formula>0</formula>
    </cfRule>
  </conditionalFormatting>
  <conditionalFormatting sqref="H10:H1048576">
    <cfRule type="cellIs" dxfId="2621" priority="5140" operator="lessThan">
      <formula>0</formula>
    </cfRule>
  </conditionalFormatting>
  <conditionalFormatting sqref="H10:H1048576">
    <cfRule type="cellIs" dxfId="2620" priority="5139" operator="lessThan">
      <formula>0</formula>
    </cfRule>
  </conditionalFormatting>
  <conditionalFormatting sqref="H10:H1048576">
    <cfRule type="cellIs" dxfId="2619" priority="5138" operator="lessThan">
      <formula>0</formula>
    </cfRule>
  </conditionalFormatting>
  <conditionalFormatting sqref="H10:H1048576">
    <cfRule type="cellIs" dxfId="2618" priority="5137" operator="lessThan">
      <formula>0</formula>
    </cfRule>
  </conditionalFormatting>
  <conditionalFormatting sqref="H10:H1048576">
    <cfRule type="cellIs" dxfId="2617" priority="5136" operator="lessThan">
      <formula>0</formula>
    </cfRule>
  </conditionalFormatting>
  <conditionalFormatting sqref="H10:H1048576">
    <cfRule type="cellIs" dxfId="2616" priority="5135" operator="lessThan">
      <formula>0</formula>
    </cfRule>
  </conditionalFormatting>
  <conditionalFormatting sqref="H10:H1048576">
    <cfRule type="cellIs" dxfId="2615" priority="5134" operator="lessThan">
      <formula>0</formula>
    </cfRule>
  </conditionalFormatting>
  <conditionalFormatting sqref="H10:H1048576">
    <cfRule type="cellIs" dxfId="2614" priority="5133" operator="lessThan">
      <formula>0</formula>
    </cfRule>
  </conditionalFormatting>
  <conditionalFormatting sqref="H10:H1048576">
    <cfRule type="cellIs" dxfId="2613" priority="5132" operator="lessThan">
      <formula>0</formula>
    </cfRule>
  </conditionalFormatting>
  <conditionalFormatting sqref="H10:H1048576">
    <cfRule type="cellIs" dxfId="2612" priority="5131" operator="lessThan">
      <formula>0</formula>
    </cfRule>
  </conditionalFormatting>
  <conditionalFormatting sqref="H10:H1048576">
    <cfRule type="cellIs" dxfId="2611" priority="5130" operator="lessThan">
      <formula>0</formula>
    </cfRule>
  </conditionalFormatting>
  <conditionalFormatting sqref="H10:H1048576">
    <cfRule type="cellIs" dxfId="2610" priority="5129" operator="lessThan">
      <formula>0</formula>
    </cfRule>
  </conditionalFormatting>
  <conditionalFormatting sqref="H10:H1048576">
    <cfRule type="cellIs" dxfId="2609" priority="5128" operator="lessThan">
      <formula>0</formula>
    </cfRule>
  </conditionalFormatting>
  <conditionalFormatting sqref="H10:H1048576">
    <cfRule type="cellIs" dxfId="2608" priority="5127" operator="lessThan">
      <formula>0</formula>
    </cfRule>
  </conditionalFormatting>
  <conditionalFormatting sqref="H10:H1048576">
    <cfRule type="cellIs" dxfId="2607" priority="5126" operator="lessThan">
      <formula>0</formula>
    </cfRule>
  </conditionalFormatting>
  <conditionalFormatting sqref="H10:H1048576">
    <cfRule type="cellIs" dxfId="2606" priority="5125" operator="lessThan">
      <formula>0</formula>
    </cfRule>
  </conditionalFormatting>
  <conditionalFormatting sqref="H10:H1048576">
    <cfRule type="cellIs" dxfId="2605" priority="5124" operator="lessThan">
      <formula>0</formula>
    </cfRule>
  </conditionalFormatting>
  <conditionalFormatting sqref="H10:H1048576">
    <cfRule type="cellIs" dxfId="2604" priority="5123" operator="lessThan">
      <formula>0</formula>
    </cfRule>
  </conditionalFormatting>
  <conditionalFormatting sqref="H10:H1048576">
    <cfRule type="cellIs" dxfId="2603" priority="5122" operator="lessThan">
      <formula>0</formula>
    </cfRule>
  </conditionalFormatting>
  <conditionalFormatting sqref="H10:H1048576">
    <cfRule type="cellIs" dxfId="2602" priority="5121" operator="lessThan">
      <formula>0</formula>
    </cfRule>
  </conditionalFormatting>
  <conditionalFormatting sqref="H10:H1048576">
    <cfRule type="cellIs" dxfId="2601" priority="5120" operator="lessThan">
      <formula>0</formula>
    </cfRule>
  </conditionalFormatting>
  <conditionalFormatting sqref="H10:H1048576">
    <cfRule type="cellIs" dxfId="2600" priority="5119" operator="lessThan">
      <formula>0</formula>
    </cfRule>
  </conditionalFormatting>
  <conditionalFormatting sqref="H10:H1048576">
    <cfRule type="cellIs" dxfId="2599" priority="5118" operator="lessThan">
      <formula>0</formula>
    </cfRule>
  </conditionalFormatting>
  <conditionalFormatting sqref="H10:H1048576">
    <cfRule type="cellIs" dxfId="2598" priority="5117" operator="lessThan">
      <formula>0</formula>
    </cfRule>
  </conditionalFormatting>
  <conditionalFormatting sqref="H10:H1048576">
    <cfRule type="cellIs" dxfId="2597" priority="5116" operator="lessThan">
      <formula>0</formula>
    </cfRule>
  </conditionalFormatting>
  <conditionalFormatting sqref="H10:H1048576">
    <cfRule type="cellIs" dxfId="2596" priority="5115" operator="lessThan">
      <formula>0</formula>
    </cfRule>
  </conditionalFormatting>
  <conditionalFormatting sqref="H10:H1048576">
    <cfRule type="cellIs" dxfId="2595" priority="5114" operator="lessThan">
      <formula>0</formula>
    </cfRule>
  </conditionalFormatting>
  <conditionalFormatting sqref="H10:H1048576">
    <cfRule type="cellIs" dxfId="2594" priority="5113" operator="lessThan">
      <formula>0</formula>
    </cfRule>
  </conditionalFormatting>
  <conditionalFormatting sqref="H10:H1048576">
    <cfRule type="cellIs" dxfId="2593" priority="5112" operator="lessThan">
      <formula>0</formula>
    </cfRule>
  </conditionalFormatting>
  <conditionalFormatting sqref="H10:H1048576">
    <cfRule type="cellIs" dxfId="2592" priority="5111" operator="lessThan">
      <formula>0</formula>
    </cfRule>
  </conditionalFormatting>
  <conditionalFormatting sqref="H10:H1048576">
    <cfRule type="cellIs" dxfId="2591" priority="5110" operator="lessThan">
      <formula>0</formula>
    </cfRule>
  </conditionalFormatting>
  <conditionalFormatting sqref="H10:H1048576">
    <cfRule type="cellIs" dxfId="2590" priority="5109" operator="lessThan">
      <formula>0</formula>
    </cfRule>
  </conditionalFormatting>
  <conditionalFormatting sqref="H10:H1048576">
    <cfRule type="cellIs" dxfId="2589" priority="5108" operator="lessThan">
      <formula>0</formula>
    </cfRule>
  </conditionalFormatting>
  <conditionalFormatting sqref="H10:H1048576">
    <cfRule type="cellIs" dxfId="2588" priority="5107" operator="lessThan">
      <formula>0</formula>
    </cfRule>
  </conditionalFormatting>
  <conditionalFormatting sqref="H10:H1048576">
    <cfRule type="cellIs" dxfId="2587" priority="5106" operator="lessThan">
      <formula>0</formula>
    </cfRule>
  </conditionalFormatting>
  <conditionalFormatting sqref="H10:H1048576">
    <cfRule type="cellIs" dxfId="2586" priority="5105" operator="lessThan">
      <formula>0</formula>
    </cfRule>
  </conditionalFormatting>
  <conditionalFormatting sqref="H10:H1048576">
    <cfRule type="cellIs" dxfId="2585" priority="5104" operator="lessThan">
      <formula>0</formula>
    </cfRule>
  </conditionalFormatting>
  <conditionalFormatting sqref="H10:H1048576">
    <cfRule type="cellIs" dxfId="2584" priority="5103" operator="lessThan">
      <formula>0</formula>
    </cfRule>
  </conditionalFormatting>
  <conditionalFormatting sqref="H10:H1048576">
    <cfRule type="cellIs" dxfId="2583" priority="5102" operator="lessThan">
      <formula>0</formula>
    </cfRule>
  </conditionalFormatting>
  <conditionalFormatting sqref="H10:H1048576">
    <cfRule type="cellIs" dxfId="2582" priority="5101" operator="lessThan">
      <formula>0</formula>
    </cfRule>
  </conditionalFormatting>
  <conditionalFormatting sqref="H10:H1048576">
    <cfRule type="cellIs" dxfId="2581" priority="5100" operator="lessThan">
      <formula>0</formula>
    </cfRule>
  </conditionalFormatting>
  <conditionalFormatting sqref="H10:H1048576">
    <cfRule type="cellIs" dxfId="2580" priority="5099" operator="lessThan">
      <formula>0</formula>
    </cfRule>
  </conditionalFormatting>
  <conditionalFormatting sqref="H10:H1048576">
    <cfRule type="cellIs" dxfId="2579" priority="5098" operator="lessThan">
      <formula>0</formula>
    </cfRule>
  </conditionalFormatting>
  <conditionalFormatting sqref="H10:H1048576">
    <cfRule type="cellIs" dxfId="2578" priority="5097" operator="lessThan">
      <formula>0</formula>
    </cfRule>
  </conditionalFormatting>
  <conditionalFormatting sqref="H10:H1048576">
    <cfRule type="cellIs" dxfId="2577" priority="5096" operator="lessThan">
      <formula>0</formula>
    </cfRule>
  </conditionalFormatting>
  <conditionalFormatting sqref="H10:H1048576">
    <cfRule type="cellIs" dxfId="2576" priority="5095" operator="lessThan">
      <formula>0</formula>
    </cfRule>
  </conditionalFormatting>
  <conditionalFormatting sqref="H10:H1048576">
    <cfRule type="cellIs" dxfId="2575" priority="5094" operator="lessThan">
      <formula>0</formula>
    </cfRule>
  </conditionalFormatting>
  <conditionalFormatting sqref="H10:H1048576">
    <cfRule type="cellIs" dxfId="2574" priority="5093" operator="lessThan">
      <formula>0</formula>
    </cfRule>
  </conditionalFormatting>
  <conditionalFormatting sqref="H10:H1048576">
    <cfRule type="cellIs" dxfId="2573" priority="5092" operator="lessThan">
      <formula>0</formula>
    </cfRule>
  </conditionalFormatting>
  <conditionalFormatting sqref="H10:H1048576">
    <cfRule type="cellIs" dxfId="2572" priority="5091" operator="lessThan">
      <formula>0</formula>
    </cfRule>
  </conditionalFormatting>
  <conditionalFormatting sqref="H10:H1048576">
    <cfRule type="cellIs" dxfId="2571" priority="5090" operator="lessThan">
      <formula>0</formula>
    </cfRule>
  </conditionalFormatting>
  <conditionalFormatting sqref="H10:H1048576">
    <cfRule type="cellIs" dxfId="2570" priority="5089" operator="lessThan">
      <formula>0</formula>
    </cfRule>
  </conditionalFormatting>
  <conditionalFormatting sqref="H10:H1048576">
    <cfRule type="cellIs" dxfId="2569" priority="5088" operator="lessThan">
      <formula>0</formula>
    </cfRule>
  </conditionalFormatting>
  <conditionalFormatting sqref="H10:H1048576">
    <cfRule type="cellIs" dxfId="2568" priority="5087" operator="lessThan">
      <formula>0</formula>
    </cfRule>
  </conditionalFormatting>
  <conditionalFormatting sqref="H10:H1048576">
    <cfRule type="cellIs" dxfId="2567" priority="5086" operator="lessThan">
      <formula>0</formula>
    </cfRule>
  </conditionalFormatting>
  <conditionalFormatting sqref="H10:H1048576">
    <cfRule type="cellIs" dxfId="2566" priority="5085" operator="lessThan">
      <formula>0</formula>
    </cfRule>
  </conditionalFormatting>
  <conditionalFormatting sqref="H10:H1048576">
    <cfRule type="cellIs" dxfId="2565" priority="5084" operator="lessThan">
      <formula>0</formula>
    </cfRule>
  </conditionalFormatting>
  <conditionalFormatting sqref="H10:H1048576">
    <cfRule type="cellIs" dxfId="2564" priority="5083" operator="lessThan">
      <formula>0</formula>
    </cfRule>
  </conditionalFormatting>
  <conditionalFormatting sqref="H10:H1048576">
    <cfRule type="cellIs" dxfId="2563" priority="5082" operator="lessThan">
      <formula>0</formula>
    </cfRule>
  </conditionalFormatting>
  <conditionalFormatting sqref="H10:H1048576">
    <cfRule type="cellIs" dxfId="2562" priority="5081" operator="lessThan">
      <formula>0</formula>
    </cfRule>
  </conditionalFormatting>
  <conditionalFormatting sqref="H10:H1048576">
    <cfRule type="cellIs" dxfId="2561" priority="5080" operator="lessThan">
      <formula>0</formula>
    </cfRule>
  </conditionalFormatting>
  <conditionalFormatting sqref="H10:H1048576">
    <cfRule type="cellIs" dxfId="2560" priority="5079" operator="lessThan">
      <formula>0</formula>
    </cfRule>
  </conditionalFormatting>
  <conditionalFormatting sqref="H10:H1048576">
    <cfRule type="cellIs" dxfId="2559" priority="5078" operator="lessThan">
      <formula>0</formula>
    </cfRule>
  </conditionalFormatting>
  <conditionalFormatting sqref="H10:H1048576">
    <cfRule type="cellIs" dxfId="2558" priority="5077" operator="lessThan">
      <formula>0</formula>
    </cfRule>
  </conditionalFormatting>
  <conditionalFormatting sqref="H10:H1048576">
    <cfRule type="cellIs" dxfId="2557" priority="5076" operator="lessThan">
      <formula>0</formula>
    </cfRule>
  </conditionalFormatting>
  <conditionalFormatting sqref="H10:H1048576">
    <cfRule type="cellIs" dxfId="2556" priority="5075" operator="lessThan">
      <formula>0</formula>
    </cfRule>
  </conditionalFormatting>
  <conditionalFormatting sqref="H10:H1048576">
    <cfRule type="cellIs" dxfId="2555" priority="5074" operator="lessThan">
      <formula>0</formula>
    </cfRule>
  </conditionalFormatting>
  <conditionalFormatting sqref="H10:H1048576">
    <cfRule type="cellIs" dxfId="2554" priority="5073" operator="lessThan">
      <formula>0</formula>
    </cfRule>
  </conditionalFormatting>
  <conditionalFormatting sqref="H10:H1048576">
    <cfRule type="cellIs" dxfId="2553" priority="5072" operator="lessThan">
      <formula>0</formula>
    </cfRule>
  </conditionalFormatting>
  <conditionalFormatting sqref="H10:H1048576">
    <cfRule type="cellIs" dxfId="2552" priority="5071" operator="lessThan">
      <formula>0</formula>
    </cfRule>
  </conditionalFormatting>
  <conditionalFormatting sqref="H10:H1048576">
    <cfRule type="cellIs" dxfId="2551" priority="5070" operator="lessThan">
      <formula>0</formula>
    </cfRule>
  </conditionalFormatting>
  <conditionalFormatting sqref="H10:H1048576">
    <cfRule type="cellIs" dxfId="2550" priority="5069" operator="lessThan">
      <formula>0</formula>
    </cfRule>
  </conditionalFormatting>
  <conditionalFormatting sqref="H10:H1048576">
    <cfRule type="cellIs" dxfId="2549" priority="5068" operator="lessThan">
      <formula>0</formula>
    </cfRule>
  </conditionalFormatting>
  <conditionalFormatting sqref="H10:H1048576">
    <cfRule type="cellIs" dxfId="2548" priority="5067" operator="lessThan">
      <formula>0</formula>
    </cfRule>
  </conditionalFormatting>
  <conditionalFormatting sqref="H10:H1048576">
    <cfRule type="cellIs" dxfId="2547" priority="5066" operator="lessThan">
      <formula>0</formula>
    </cfRule>
  </conditionalFormatting>
  <conditionalFormatting sqref="H10:H1048576">
    <cfRule type="cellIs" dxfId="2546" priority="5065" operator="lessThan">
      <formula>0</formula>
    </cfRule>
  </conditionalFormatting>
  <conditionalFormatting sqref="H10:H1048576">
    <cfRule type="cellIs" dxfId="2545" priority="5064" operator="lessThan">
      <formula>0</formula>
    </cfRule>
  </conditionalFormatting>
  <conditionalFormatting sqref="H10:H1048576">
    <cfRule type="cellIs" dxfId="2544" priority="5063" operator="lessThan">
      <formula>0</formula>
    </cfRule>
  </conditionalFormatting>
  <conditionalFormatting sqref="H10:H1048576">
    <cfRule type="cellIs" dxfId="2543" priority="5062" operator="lessThan">
      <formula>0</formula>
    </cfRule>
  </conditionalFormatting>
  <conditionalFormatting sqref="H10:H1048576">
    <cfRule type="cellIs" dxfId="2542" priority="5061" operator="lessThan">
      <formula>0</formula>
    </cfRule>
  </conditionalFormatting>
  <conditionalFormatting sqref="H10:H1048576">
    <cfRule type="cellIs" dxfId="2541" priority="5060" operator="lessThan">
      <formula>0</formula>
    </cfRule>
  </conditionalFormatting>
  <conditionalFormatting sqref="H10:H1048576">
    <cfRule type="cellIs" dxfId="2540" priority="5059" operator="lessThan">
      <formula>0</formula>
    </cfRule>
  </conditionalFormatting>
  <conditionalFormatting sqref="H10:H1048576">
    <cfRule type="cellIs" dxfId="2539" priority="5058" operator="lessThan">
      <formula>0</formula>
    </cfRule>
  </conditionalFormatting>
  <conditionalFormatting sqref="H10:H1048576">
    <cfRule type="cellIs" dxfId="2538" priority="5057" operator="lessThan">
      <formula>0</formula>
    </cfRule>
  </conditionalFormatting>
  <conditionalFormatting sqref="H10:H1048576">
    <cfRule type="cellIs" dxfId="2537" priority="5056" operator="lessThan">
      <formula>0</formula>
    </cfRule>
  </conditionalFormatting>
  <conditionalFormatting sqref="H10:H1048576">
    <cfRule type="cellIs" dxfId="2536" priority="5055" operator="lessThan">
      <formula>0</formula>
    </cfRule>
  </conditionalFormatting>
  <conditionalFormatting sqref="H10:H1048576">
    <cfRule type="cellIs" dxfId="2535" priority="5054" operator="lessThan">
      <formula>0</formula>
    </cfRule>
  </conditionalFormatting>
  <conditionalFormatting sqref="H10:H1048576">
    <cfRule type="cellIs" dxfId="2534" priority="5053" operator="lessThan">
      <formula>0</formula>
    </cfRule>
  </conditionalFormatting>
  <conditionalFormatting sqref="H10:H1048576">
    <cfRule type="cellIs" dxfId="2533" priority="5052" operator="lessThan">
      <formula>0</formula>
    </cfRule>
  </conditionalFormatting>
  <conditionalFormatting sqref="H10:H1048576">
    <cfRule type="cellIs" dxfId="2532" priority="5051" operator="lessThan">
      <formula>0</formula>
    </cfRule>
  </conditionalFormatting>
  <conditionalFormatting sqref="H10:H1048576">
    <cfRule type="cellIs" dxfId="2531" priority="5050" operator="lessThan">
      <formula>0</formula>
    </cfRule>
  </conditionalFormatting>
  <conditionalFormatting sqref="H10:H1048576">
    <cfRule type="cellIs" dxfId="2530" priority="5049" operator="lessThan">
      <formula>0</formula>
    </cfRule>
  </conditionalFormatting>
  <conditionalFormatting sqref="H10:H1048576">
    <cfRule type="cellIs" dxfId="2529" priority="5048" operator="lessThan">
      <formula>0</formula>
    </cfRule>
  </conditionalFormatting>
  <conditionalFormatting sqref="H10:H1048576">
    <cfRule type="cellIs" dxfId="2528" priority="5047" operator="lessThan">
      <formula>0</formula>
    </cfRule>
  </conditionalFormatting>
  <conditionalFormatting sqref="H10:H1048576">
    <cfRule type="cellIs" dxfId="2527" priority="5046" operator="lessThan">
      <formula>0</formula>
    </cfRule>
  </conditionalFormatting>
  <conditionalFormatting sqref="H10:H1048576">
    <cfRule type="cellIs" dxfId="2526" priority="5045" operator="lessThan">
      <formula>0</formula>
    </cfRule>
  </conditionalFormatting>
  <conditionalFormatting sqref="H10:H1048576">
    <cfRule type="cellIs" dxfId="2525" priority="5044" operator="lessThan">
      <formula>0</formula>
    </cfRule>
  </conditionalFormatting>
  <conditionalFormatting sqref="H10:H1048576">
    <cfRule type="cellIs" dxfId="2524" priority="5043" operator="lessThan">
      <formula>0</formula>
    </cfRule>
  </conditionalFormatting>
  <conditionalFormatting sqref="H10:H1048576">
    <cfRule type="cellIs" dxfId="2523" priority="5042" operator="lessThan">
      <formula>0</formula>
    </cfRule>
  </conditionalFormatting>
  <conditionalFormatting sqref="H10:H1048576">
    <cfRule type="cellIs" dxfId="2522" priority="5041" operator="lessThan">
      <formula>0</formula>
    </cfRule>
  </conditionalFormatting>
  <conditionalFormatting sqref="H10:H1048576">
    <cfRule type="cellIs" dxfId="2521" priority="5040" operator="lessThan">
      <formula>0</formula>
    </cfRule>
  </conditionalFormatting>
  <conditionalFormatting sqref="H10:H1048576">
    <cfRule type="cellIs" dxfId="2520" priority="5039" operator="lessThan">
      <formula>0</formula>
    </cfRule>
  </conditionalFormatting>
  <conditionalFormatting sqref="H10:H1048576">
    <cfRule type="cellIs" dxfId="2519" priority="5038" operator="lessThan">
      <formula>0</formula>
    </cfRule>
  </conditionalFormatting>
  <conditionalFormatting sqref="H10:H1048576">
    <cfRule type="cellIs" dxfId="2518" priority="5037" operator="lessThan">
      <formula>0</formula>
    </cfRule>
  </conditionalFormatting>
  <conditionalFormatting sqref="H10:H1048576">
    <cfRule type="cellIs" dxfId="2517" priority="5036" operator="lessThan">
      <formula>0</formula>
    </cfRule>
  </conditionalFormatting>
  <conditionalFormatting sqref="H10:H1048576">
    <cfRule type="cellIs" dxfId="2516" priority="5035" operator="lessThan">
      <formula>0</formula>
    </cfRule>
  </conditionalFormatting>
  <conditionalFormatting sqref="H10:H1048576">
    <cfRule type="cellIs" dxfId="2515" priority="5034" operator="lessThan">
      <formula>0</formula>
    </cfRule>
  </conditionalFormatting>
  <conditionalFormatting sqref="H10:H1048576">
    <cfRule type="cellIs" dxfId="2514" priority="5033" operator="lessThan">
      <formula>0</formula>
    </cfRule>
  </conditionalFormatting>
  <conditionalFormatting sqref="H10:H1048576">
    <cfRule type="cellIs" dxfId="2513" priority="5032" operator="lessThan">
      <formula>0</formula>
    </cfRule>
  </conditionalFormatting>
  <conditionalFormatting sqref="H10:H1048576">
    <cfRule type="cellIs" dxfId="2512" priority="5031" operator="lessThan">
      <formula>0</formula>
    </cfRule>
  </conditionalFormatting>
  <conditionalFormatting sqref="H10:H1048576">
    <cfRule type="cellIs" dxfId="2511" priority="5030" operator="lessThan">
      <formula>0</formula>
    </cfRule>
  </conditionalFormatting>
  <conditionalFormatting sqref="H10:H1048576">
    <cfRule type="cellIs" dxfId="2510" priority="5029" operator="lessThan">
      <formula>0</formula>
    </cfRule>
  </conditionalFormatting>
  <conditionalFormatting sqref="H10:H1048576">
    <cfRule type="cellIs" dxfId="2509" priority="5028" operator="lessThan">
      <formula>0</formula>
    </cfRule>
  </conditionalFormatting>
  <conditionalFormatting sqref="H10:H1048576">
    <cfRule type="cellIs" dxfId="2508" priority="5027" operator="lessThan">
      <formula>0</formula>
    </cfRule>
  </conditionalFormatting>
  <conditionalFormatting sqref="H10:H1048576">
    <cfRule type="cellIs" dxfId="2507" priority="5026" operator="lessThan">
      <formula>0</formula>
    </cfRule>
  </conditionalFormatting>
  <conditionalFormatting sqref="H10:H1048576">
    <cfRule type="cellIs" dxfId="2506" priority="5025" operator="lessThan">
      <formula>0</formula>
    </cfRule>
  </conditionalFormatting>
  <conditionalFormatting sqref="H10:H1048576">
    <cfRule type="cellIs" dxfId="2505" priority="5024" operator="lessThan">
      <formula>0</formula>
    </cfRule>
  </conditionalFormatting>
  <conditionalFormatting sqref="H10:H1048576">
    <cfRule type="cellIs" dxfId="2504" priority="5023" operator="lessThan">
      <formula>0</formula>
    </cfRule>
  </conditionalFormatting>
  <conditionalFormatting sqref="H10:H1048576">
    <cfRule type="cellIs" dxfId="2503" priority="5022" operator="lessThan">
      <formula>0</formula>
    </cfRule>
  </conditionalFormatting>
  <conditionalFormatting sqref="H10:H1048576">
    <cfRule type="cellIs" dxfId="2502" priority="5021" operator="lessThan">
      <formula>0</formula>
    </cfRule>
  </conditionalFormatting>
  <conditionalFormatting sqref="H10:H1048576">
    <cfRule type="cellIs" dxfId="2501" priority="5020" operator="lessThan">
      <formula>0</formula>
    </cfRule>
  </conditionalFormatting>
  <conditionalFormatting sqref="H10:H1048576">
    <cfRule type="cellIs" dxfId="2500" priority="5019" operator="lessThan">
      <formula>0</formula>
    </cfRule>
  </conditionalFormatting>
  <conditionalFormatting sqref="H10:H1048576">
    <cfRule type="cellIs" dxfId="2499" priority="5018" operator="lessThan">
      <formula>0</formula>
    </cfRule>
  </conditionalFormatting>
  <conditionalFormatting sqref="H10:H1048576">
    <cfRule type="cellIs" dxfId="2498" priority="5017" operator="lessThan">
      <formula>0</formula>
    </cfRule>
  </conditionalFormatting>
  <conditionalFormatting sqref="H10:H1048576">
    <cfRule type="cellIs" dxfId="2497" priority="5016" operator="lessThan">
      <formula>0</formula>
    </cfRule>
  </conditionalFormatting>
  <conditionalFormatting sqref="H10:H1048576">
    <cfRule type="cellIs" dxfId="2496" priority="5015" operator="lessThan">
      <formula>0</formula>
    </cfRule>
  </conditionalFormatting>
  <conditionalFormatting sqref="H10:H1048576">
    <cfRule type="cellIs" dxfId="2495" priority="5014" operator="lessThan">
      <formula>0</formula>
    </cfRule>
  </conditionalFormatting>
  <conditionalFormatting sqref="H10:H1048576">
    <cfRule type="cellIs" dxfId="2494" priority="5013" operator="lessThan">
      <formula>0</formula>
    </cfRule>
  </conditionalFormatting>
  <conditionalFormatting sqref="H10:H1048576">
    <cfRule type="cellIs" dxfId="2493" priority="5012" operator="lessThan">
      <formula>0</formula>
    </cfRule>
  </conditionalFormatting>
  <conditionalFormatting sqref="H10:H1048576">
    <cfRule type="cellIs" dxfId="2492" priority="5011" operator="lessThan">
      <formula>0</formula>
    </cfRule>
  </conditionalFormatting>
  <conditionalFormatting sqref="H10:H1048576">
    <cfRule type="cellIs" dxfId="2491" priority="5010" operator="lessThan">
      <formula>0</formula>
    </cfRule>
  </conditionalFormatting>
  <conditionalFormatting sqref="H10:H1048576">
    <cfRule type="cellIs" dxfId="2490" priority="5009" operator="lessThan">
      <formula>0</formula>
    </cfRule>
  </conditionalFormatting>
  <conditionalFormatting sqref="H10:H1048576">
    <cfRule type="cellIs" dxfId="2489" priority="5008" operator="lessThan">
      <formula>0</formula>
    </cfRule>
  </conditionalFormatting>
  <conditionalFormatting sqref="H10:H1048576">
    <cfRule type="cellIs" dxfId="2488" priority="5007" operator="lessThan">
      <formula>0</formula>
    </cfRule>
  </conditionalFormatting>
  <conditionalFormatting sqref="H10:H1048576">
    <cfRule type="cellIs" dxfId="2487" priority="5006" operator="lessThan">
      <formula>0</formula>
    </cfRule>
  </conditionalFormatting>
  <conditionalFormatting sqref="H10:H1048576">
    <cfRule type="cellIs" dxfId="2486" priority="5005" operator="lessThan">
      <formula>0</formula>
    </cfRule>
  </conditionalFormatting>
  <conditionalFormatting sqref="H10:H1048576">
    <cfRule type="cellIs" dxfId="2485" priority="5004" operator="lessThan">
      <formula>0</formula>
    </cfRule>
  </conditionalFormatting>
  <conditionalFormatting sqref="H10:H1048576">
    <cfRule type="cellIs" dxfId="2484" priority="5003" operator="lessThan">
      <formula>0</formula>
    </cfRule>
  </conditionalFormatting>
  <conditionalFormatting sqref="H10:H1048576">
    <cfRule type="cellIs" dxfId="2483" priority="5002" operator="lessThan">
      <formula>0</formula>
    </cfRule>
  </conditionalFormatting>
  <conditionalFormatting sqref="H10:H1048576">
    <cfRule type="cellIs" dxfId="2482" priority="5001" operator="lessThan">
      <formula>0</formula>
    </cfRule>
  </conditionalFormatting>
  <conditionalFormatting sqref="H10:H1048576">
    <cfRule type="cellIs" dxfId="2481" priority="5000" operator="lessThan">
      <formula>0</formula>
    </cfRule>
  </conditionalFormatting>
  <conditionalFormatting sqref="H10:H1048576">
    <cfRule type="cellIs" dxfId="2480" priority="4999" operator="lessThan">
      <formula>0</formula>
    </cfRule>
  </conditionalFormatting>
  <conditionalFormatting sqref="H10:H1048576">
    <cfRule type="cellIs" dxfId="2479" priority="4998" operator="lessThan">
      <formula>0</formula>
    </cfRule>
  </conditionalFormatting>
  <conditionalFormatting sqref="H10:H1048576">
    <cfRule type="cellIs" dxfId="2478" priority="4997" operator="lessThan">
      <formula>0</formula>
    </cfRule>
  </conditionalFormatting>
  <conditionalFormatting sqref="H10:H1048576">
    <cfRule type="cellIs" dxfId="2477" priority="4996" operator="lessThan">
      <formula>0</formula>
    </cfRule>
  </conditionalFormatting>
  <conditionalFormatting sqref="H10:H1048576">
    <cfRule type="cellIs" dxfId="2476" priority="4995" operator="lessThan">
      <formula>0</formula>
    </cfRule>
  </conditionalFormatting>
  <conditionalFormatting sqref="H10:H1048576">
    <cfRule type="cellIs" dxfId="2475" priority="4994" operator="lessThan">
      <formula>0</formula>
    </cfRule>
  </conditionalFormatting>
  <conditionalFormatting sqref="H10:H1048576">
    <cfRule type="cellIs" dxfId="2474" priority="4993" operator="lessThan">
      <formula>0</formula>
    </cfRule>
  </conditionalFormatting>
  <conditionalFormatting sqref="H10:H1048576">
    <cfRule type="cellIs" dxfId="2473" priority="4992" operator="lessThan">
      <formula>0</formula>
    </cfRule>
  </conditionalFormatting>
  <conditionalFormatting sqref="H10:H1048576">
    <cfRule type="cellIs" dxfId="2472" priority="4991" operator="lessThan">
      <formula>0</formula>
    </cfRule>
  </conditionalFormatting>
  <conditionalFormatting sqref="H10:H1048576">
    <cfRule type="cellIs" dxfId="2471" priority="4990" operator="lessThan">
      <formula>0</formula>
    </cfRule>
  </conditionalFormatting>
  <conditionalFormatting sqref="H10:H1048576">
    <cfRule type="cellIs" dxfId="2470" priority="4989" operator="lessThan">
      <formula>0</formula>
    </cfRule>
  </conditionalFormatting>
  <conditionalFormatting sqref="H10:H1048576">
    <cfRule type="cellIs" dxfId="2469" priority="4988" operator="lessThan">
      <formula>0</formula>
    </cfRule>
  </conditionalFormatting>
  <conditionalFormatting sqref="H10:H1048576">
    <cfRule type="cellIs" dxfId="2468" priority="4987" operator="lessThan">
      <formula>0</formula>
    </cfRule>
  </conditionalFormatting>
  <conditionalFormatting sqref="H10:H1048576">
    <cfRule type="cellIs" dxfId="2467" priority="4986" operator="lessThan">
      <formula>0</formula>
    </cfRule>
  </conditionalFormatting>
  <conditionalFormatting sqref="H10:H1048576">
    <cfRule type="cellIs" dxfId="2466" priority="4985" operator="lessThan">
      <formula>0</formula>
    </cfRule>
  </conditionalFormatting>
  <conditionalFormatting sqref="H10:H1048576">
    <cfRule type="cellIs" dxfId="2465" priority="4984" operator="lessThan">
      <formula>0</formula>
    </cfRule>
  </conditionalFormatting>
  <conditionalFormatting sqref="H10:H1048576">
    <cfRule type="cellIs" dxfId="2464" priority="4983" operator="lessThan">
      <formula>0</formula>
    </cfRule>
  </conditionalFormatting>
  <conditionalFormatting sqref="H10:H1048576">
    <cfRule type="cellIs" dxfId="2463" priority="4982" operator="lessThan">
      <formula>0</formula>
    </cfRule>
  </conditionalFormatting>
  <conditionalFormatting sqref="H10:H1048576">
    <cfRule type="cellIs" dxfId="2462" priority="4981" operator="lessThan">
      <formula>0</formula>
    </cfRule>
  </conditionalFormatting>
  <conditionalFormatting sqref="H10:H1048576">
    <cfRule type="cellIs" dxfId="2461" priority="4980" operator="lessThan">
      <formula>0</formula>
    </cfRule>
  </conditionalFormatting>
  <conditionalFormatting sqref="H10:H1048576">
    <cfRule type="cellIs" dxfId="2460" priority="4979" operator="lessThan">
      <formula>0</formula>
    </cfRule>
  </conditionalFormatting>
  <conditionalFormatting sqref="H10:H1048576">
    <cfRule type="cellIs" dxfId="2459" priority="4978" operator="lessThan">
      <formula>0</formula>
    </cfRule>
  </conditionalFormatting>
  <conditionalFormatting sqref="H10:H1048576">
    <cfRule type="cellIs" dxfId="2458" priority="4977" operator="lessThan">
      <formula>0</formula>
    </cfRule>
  </conditionalFormatting>
  <conditionalFormatting sqref="H10:H1048576">
    <cfRule type="cellIs" dxfId="2457" priority="4976" operator="lessThan">
      <formula>0</formula>
    </cfRule>
  </conditionalFormatting>
  <conditionalFormatting sqref="H10:H1048576">
    <cfRule type="cellIs" dxfId="2456" priority="4975" operator="lessThan">
      <formula>0</formula>
    </cfRule>
  </conditionalFormatting>
  <conditionalFormatting sqref="H10:H1048576">
    <cfRule type="cellIs" dxfId="2455" priority="4974" operator="lessThan">
      <formula>0</formula>
    </cfRule>
  </conditionalFormatting>
  <conditionalFormatting sqref="H10:H1048576">
    <cfRule type="cellIs" dxfId="2454" priority="4973" operator="lessThan">
      <formula>0</formula>
    </cfRule>
  </conditionalFormatting>
  <conditionalFormatting sqref="H10:H1048576">
    <cfRule type="cellIs" dxfId="2453" priority="4972" operator="lessThan">
      <formula>0</formula>
    </cfRule>
  </conditionalFormatting>
  <conditionalFormatting sqref="H10:H1048576">
    <cfRule type="cellIs" dxfId="2452" priority="4971" operator="lessThan">
      <formula>0</formula>
    </cfRule>
  </conditionalFormatting>
  <conditionalFormatting sqref="H10:H1048576">
    <cfRule type="cellIs" dxfId="2451" priority="4970" operator="lessThan">
      <formula>0</formula>
    </cfRule>
  </conditionalFormatting>
  <conditionalFormatting sqref="H10:H1048576">
    <cfRule type="cellIs" dxfId="2450" priority="4969" operator="lessThan">
      <formula>0</formula>
    </cfRule>
  </conditionalFormatting>
  <conditionalFormatting sqref="H10:H1048576">
    <cfRule type="cellIs" dxfId="2449" priority="4968" operator="lessThan">
      <formula>0</formula>
    </cfRule>
  </conditionalFormatting>
  <conditionalFormatting sqref="H10:H1048576">
    <cfRule type="cellIs" dxfId="2448" priority="4967" operator="lessThan">
      <formula>0</formula>
    </cfRule>
  </conditionalFormatting>
  <conditionalFormatting sqref="H10:H1048576">
    <cfRule type="cellIs" dxfId="2447" priority="4966" operator="lessThan">
      <formula>0</formula>
    </cfRule>
  </conditionalFormatting>
  <conditionalFormatting sqref="H10:H1048576">
    <cfRule type="cellIs" dxfId="2446" priority="4965" operator="lessThan">
      <formula>0</formula>
    </cfRule>
  </conditionalFormatting>
  <conditionalFormatting sqref="H10:H1048576">
    <cfRule type="cellIs" dxfId="2445" priority="4964" operator="lessThan">
      <formula>0</formula>
    </cfRule>
  </conditionalFormatting>
  <conditionalFormatting sqref="H10:H1048576">
    <cfRule type="cellIs" dxfId="2444" priority="4963" operator="lessThan">
      <formula>0</formula>
    </cfRule>
  </conditionalFormatting>
  <conditionalFormatting sqref="H10:H1048576">
    <cfRule type="cellIs" dxfId="2443" priority="4962" operator="lessThan">
      <formula>0</formula>
    </cfRule>
  </conditionalFormatting>
  <conditionalFormatting sqref="H10:H1048576">
    <cfRule type="cellIs" dxfId="2442" priority="4961" operator="lessThan">
      <formula>0</formula>
    </cfRule>
  </conditionalFormatting>
  <conditionalFormatting sqref="H10:H1048576">
    <cfRule type="cellIs" dxfId="2441" priority="4960" operator="lessThan">
      <formula>0</formula>
    </cfRule>
  </conditionalFormatting>
  <conditionalFormatting sqref="H10:H1048576">
    <cfRule type="cellIs" dxfId="2440" priority="4959" operator="lessThan">
      <formula>0</formula>
    </cfRule>
  </conditionalFormatting>
  <conditionalFormatting sqref="H10:H1048576">
    <cfRule type="cellIs" dxfId="2439" priority="4958" operator="lessThan">
      <formula>0</formula>
    </cfRule>
  </conditionalFormatting>
  <conditionalFormatting sqref="H10:H1048576">
    <cfRule type="cellIs" dxfId="2438" priority="4957" operator="lessThan">
      <formula>0</formula>
    </cfRule>
  </conditionalFormatting>
  <conditionalFormatting sqref="H10:H1048576">
    <cfRule type="cellIs" dxfId="2437" priority="4956" operator="lessThan">
      <formula>0</formula>
    </cfRule>
  </conditionalFormatting>
  <conditionalFormatting sqref="H10:H1048576">
    <cfRule type="cellIs" dxfId="2436" priority="4955" operator="lessThan">
      <formula>0</formula>
    </cfRule>
  </conditionalFormatting>
  <conditionalFormatting sqref="H10:H1048576">
    <cfRule type="cellIs" dxfId="2435" priority="4954" operator="lessThan">
      <formula>0</formula>
    </cfRule>
  </conditionalFormatting>
  <conditionalFormatting sqref="H10:H1048576">
    <cfRule type="cellIs" dxfId="2434" priority="4953" operator="lessThan">
      <formula>0</formula>
    </cfRule>
  </conditionalFormatting>
  <conditionalFormatting sqref="H10:H1048576">
    <cfRule type="cellIs" dxfId="2433" priority="4952" operator="lessThan">
      <formula>0</formula>
    </cfRule>
  </conditionalFormatting>
  <conditionalFormatting sqref="H10:H1048576">
    <cfRule type="cellIs" dxfId="2432" priority="4951" operator="lessThan">
      <formula>0</formula>
    </cfRule>
  </conditionalFormatting>
  <conditionalFormatting sqref="H10:H1048576">
    <cfRule type="cellIs" dxfId="2431" priority="4950" operator="lessThan">
      <formula>0</formula>
    </cfRule>
  </conditionalFormatting>
  <conditionalFormatting sqref="H10:H1048576">
    <cfRule type="cellIs" dxfId="2430" priority="4949" operator="lessThan">
      <formula>0</formula>
    </cfRule>
  </conditionalFormatting>
  <conditionalFormatting sqref="H10:H1048576">
    <cfRule type="cellIs" dxfId="2429" priority="4948" operator="lessThan">
      <formula>0</formula>
    </cfRule>
  </conditionalFormatting>
  <conditionalFormatting sqref="H10:H1048576">
    <cfRule type="cellIs" dxfId="2428" priority="4947" operator="lessThan">
      <formula>0</formula>
    </cfRule>
  </conditionalFormatting>
  <conditionalFormatting sqref="H10:H1048576">
    <cfRule type="cellIs" dxfId="2427" priority="4946" operator="lessThan">
      <formula>0</formula>
    </cfRule>
  </conditionalFormatting>
  <conditionalFormatting sqref="H10:H1048576">
    <cfRule type="cellIs" dxfId="2426" priority="4945" operator="lessThan">
      <formula>0</formula>
    </cfRule>
  </conditionalFormatting>
  <conditionalFormatting sqref="H10:H1048576">
    <cfRule type="cellIs" dxfId="2425" priority="4944" operator="lessThan">
      <formula>0</formula>
    </cfRule>
  </conditionalFormatting>
  <conditionalFormatting sqref="H10:H1048576">
    <cfRule type="cellIs" dxfId="2424" priority="4943" operator="lessThan">
      <formula>0</formula>
    </cfRule>
  </conditionalFormatting>
  <conditionalFormatting sqref="H10:H1048576">
    <cfRule type="cellIs" dxfId="2423" priority="4942" operator="lessThan">
      <formula>0</formula>
    </cfRule>
  </conditionalFormatting>
  <conditionalFormatting sqref="H10:H1048576">
    <cfRule type="cellIs" dxfId="2422" priority="4941" operator="lessThan">
      <formula>0</formula>
    </cfRule>
  </conditionalFormatting>
  <conditionalFormatting sqref="H10:H1048576">
    <cfRule type="cellIs" dxfId="2421" priority="4940" operator="lessThan">
      <formula>0</formula>
    </cfRule>
  </conditionalFormatting>
  <conditionalFormatting sqref="H10:H1048576">
    <cfRule type="cellIs" dxfId="2420" priority="4939" operator="lessThan">
      <formula>0</formula>
    </cfRule>
  </conditionalFormatting>
  <conditionalFormatting sqref="H10:H1048576">
    <cfRule type="cellIs" dxfId="2419" priority="4938" operator="lessThan">
      <formula>0</formula>
    </cfRule>
  </conditionalFormatting>
  <conditionalFormatting sqref="H10:H1048576">
    <cfRule type="cellIs" dxfId="2418" priority="4937" operator="lessThan">
      <formula>0</formula>
    </cfRule>
  </conditionalFormatting>
  <conditionalFormatting sqref="H10:H1048576">
    <cfRule type="cellIs" dxfId="2417" priority="4936" operator="lessThan">
      <formula>0</formula>
    </cfRule>
  </conditionalFormatting>
  <conditionalFormatting sqref="H10:H1048576">
    <cfRule type="cellIs" dxfId="2416" priority="4935" operator="lessThan">
      <formula>0</formula>
    </cfRule>
  </conditionalFormatting>
  <conditionalFormatting sqref="H10:H1048576">
    <cfRule type="cellIs" dxfId="2415" priority="4934" operator="lessThan">
      <formula>0</formula>
    </cfRule>
  </conditionalFormatting>
  <conditionalFormatting sqref="H10:H1048576">
    <cfRule type="cellIs" dxfId="2414" priority="4933" operator="lessThan">
      <formula>0</formula>
    </cfRule>
  </conditionalFormatting>
  <conditionalFormatting sqref="H10:H1048576">
    <cfRule type="cellIs" dxfId="2413" priority="4932" operator="lessThan">
      <formula>0</formula>
    </cfRule>
  </conditionalFormatting>
  <conditionalFormatting sqref="H10:H1048576">
    <cfRule type="cellIs" dxfId="2412" priority="4931" operator="lessThan">
      <formula>0</formula>
    </cfRule>
  </conditionalFormatting>
  <conditionalFormatting sqref="H10:H1048576">
    <cfRule type="cellIs" dxfId="2411" priority="4930" operator="lessThan">
      <formula>0</formula>
    </cfRule>
  </conditionalFormatting>
  <conditionalFormatting sqref="H10:H1048576">
    <cfRule type="cellIs" dxfId="2410" priority="4929" operator="lessThan">
      <formula>0</formula>
    </cfRule>
  </conditionalFormatting>
  <conditionalFormatting sqref="H10:H1048576">
    <cfRule type="cellIs" dxfId="2409" priority="4928" operator="lessThan">
      <formula>0</formula>
    </cfRule>
  </conditionalFormatting>
  <conditionalFormatting sqref="H10:H1048576">
    <cfRule type="cellIs" dxfId="2408" priority="4927" operator="lessThan">
      <formula>0</formula>
    </cfRule>
  </conditionalFormatting>
  <conditionalFormatting sqref="H10:H1048576">
    <cfRule type="cellIs" dxfId="2407" priority="4926" operator="lessThan">
      <formula>0</formula>
    </cfRule>
  </conditionalFormatting>
  <conditionalFormatting sqref="H10:H1048576">
    <cfRule type="cellIs" dxfId="2406" priority="4925" operator="lessThan">
      <formula>0</formula>
    </cfRule>
  </conditionalFormatting>
  <conditionalFormatting sqref="H10:H1048576">
    <cfRule type="cellIs" dxfId="2405" priority="4924" operator="lessThan">
      <formula>0</formula>
    </cfRule>
  </conditionalFormatting>
  <conditionalFormatting sqref="H10:H1048576">
    <cfRule type="cellIs" dxfId="2404" priority="4923" operator="lessThan">
      <formula>0</formula>
    </cfRule>
  </conditionalFormatting>
  <conditionalFormatting sqref="H10:H1048576">
    <cfRule type="cellIs" dxfId="2403" priority="4922" operator="lessThan">
      <formula>0</formula>
    </cfRule>
  </conditionalFormatting>
  <conditionalFormatting sqref="H10:H1048576">
    <cfRule type="cellIs" dxfId="2402" priority="4921" operator="lessThan">
      <formula>0</formula>
    </cfRule>
  </conditionalFormatting>
  <conditionalFormatting sqref="H10:H1048576">
    <cfRule type="cellIs" dxfId="2401" priority="4920" operator="lessThan">
      <formula>0</formula>
    </cfRule>
  </conditionalFormatting>
  <conditionalFormatting sqref="H10:H1048576">
    <cfRule type="cellIs" dxfId="2400" priority="4919" operator="lessThan">
      <formula>0</formula>
    </cfRule>
  </conditionalFormatting>
  <conditionalFormatting sqref="H10:H1048576">
    <cfRule type="cellIs" dxfId="2399" priority="4918" operator="lessThan">
      <formula>0</formula>
    </cfRule>
  </conditionalFormatting>
  <conditionalFormatting sqref="H10:H1048576">
    <cfRule type="cellIs" dxfId="2398" priority="4917" operator="lessThan">
      <formula>0</formula>
    </cfRule>
  </conditionalFormatting>
  <conditionalFormatting sqref="H10:H1048576">
    <cfRule type="cellIs" dxfId="2397" priority="4916" operator="lessThan">
      <formula>0</formula>
    </cfRule>
  </conditionalFormatting>
  <conditionalFormatting sqref="H10:H1048576">
    <cfRule type="cellIs" dxfId="2396" priority="4915" operator="lessThan">
      <formula>0</formula>
    </cfRule>
  </conditionalFormatting>
  <conditionalFormatting sqref="H10:H1048576">
    <cfRule type="cellIs" dxfId="2395" priority="4914" operator="lessThan">
      <formula>0</formula>
    </cfRule>
  </conditionalFormatting>
  <conditionalFormatting sqref="H10:H1048576">
    <cfRule type="cellIs" dxfId="2394" priority="4913" operator="lessThan">
      <formula>0</formula>
    </cfRule>
  </conditionalFormatting>
  <conditionalFormatting sqref="H10:H1048576">
    <cfRule type="cellIs" dxfId="2393" priority="4912" operator="lessThan">
      <formula>0</formula>
    </cfRule>
  </conditionalFormatting>
  <conditionalFormatting sqref="H10:H1048576">
    <cfRule type="cellIs" dxfId="2392" priority="4911" operator="lessThan">
      <formula>0</formula>
    </cfRule>
  </conditionalFormatting>
  <conditionalFormatting sqref="H10:H1048576">
    <cfRule type="cellIs" dxfId="2391" priority="4910" operator="lessThan">
      <formula>0</formula>
    </cfRule>
  </conditionalFormatting>
  <conditionalFormatting sqref="H10:H1048576">
    <cfRule type="cellIs" dxfId="2390" priority="4909" operator="lessThan">
      <formula>0</formula>
    </cfRule>
  </conditionalFormatting>
  <conditionalFormatting sqref="H10:H1048576">
    <cfRule type="cellIs" dxfId="2389" priority="4908" operator="lessThan">
      <formula>0</formula>
    </cfRule>
  </conditionalFormatting>
  <conditionalFormatting sqref="H10:H1048576">
    <cfRule type="cellIs" dxfId="2388" priority="4907" operator="lessThan">
      <formula>0</formula>
    </cfRule>
  </conditionalFormatting>
  <conditionalFormatting sqref="H10:H1048576">
    <cfRule type="cellIs" dxfId="2387" priority="4906" operator="lessThan">
      <formula>0</formula>
    </cfRule>
  </conditionalFormatting>
  <conditionalFormatting sqref="H10:H1048576">
    <cfRule type="cellIs" dxfId="2386" priority="4905" operator="lessThan">
      <formula>0</formula>
    </cfRule>
  </conditionalFormatting>
  <conditionalFormatting sqref="H10:H1048576">
    <cfRule type="cellIs" dxfId="2385" priority="4904" operator="lessThan">
      <formula>0</formula>
    </cfRule>
  </conditionalFormatting>
  <conditionalFormatting sqref="H10:H1048576">
    <cfRule type="cellIs" dxfId="2384" priority="4903" operator="lessThan">
      <formula>0</formula>
    </cfRule>
  </conditionalFormatting>
  <conditionalFormatting sqref="H10:H1048576">
    <cfRule type="cellIs" dxfId="2383" priority="4902" operator="lessThan">
      <formula>0</formula>
    </cfRule>
  </conditionalFormatting>
  <conditionalFormatting sqref="H10:H1048576">
    <cfRule type="cellIs" dxfId="2382" priority="4901" operator="lessThan">
      <formula>0</formula>
    </cfRule>
  </conditionalFormatting>
  <conditionalFormatting sqref="H10:H1048576">
    <cfRule type="cellIs" dxfId="2381" priority="4900" operator="lessThan">
      <formula>0</formula>
    </cfRule>
  </conditionalFormatting>
  <conditionalFormatting sqref="H10:H1048576">
    <cfRule type="cellIs" dxfId="2380" priority="4899" operator="lessThan">
      <formula>0</formula>
    </cfRule>
  </conditionalFormatting>
  <conditionalFormatting sqref="H10:H1048576">
    <cfRule type="cellIs" dxfId="2379" priority="4898" operator="lessThan">
      <formula>0</formula>
    </cfRule>
  </conditionalFormatting>
  <conditionalFormatting sqref="H10:H1048576">
    <cfRule type="cellIs" dxfId="2378" priority="4897" operator="lessThan">
      <formula>0</formula>
    </cfRule>
  </conditionalFormatting>
  <conditionalFormatting sqref="H10:H1048576">
    <cfRule type="cellIs" dxfId="2377" priority="4896" operator="lessThan">
      <formula>0</formula>
    </cfRule>
  </conditionalFormatting>
  <conditionalFormatting sqref="H10:H1048576">
    <cfRule type="cellIs" dxfId="2376" priority="4895" operator="lessThan">
      <formula>0</formula>
    </cfRule>
  </conditionalFormatting>
  <conditionalFormatting sqref="H10:H1048576">
    <cfRule type="cellIs" dxfId="2375" priority="4894" operator="lessThan">
      <formula>0</formula>
    </cfRule>
  </conditionalFormatting>
  <conditionalFormatting sqref="H10:H1048576">
    <cfRule type="cellIs" dxfId="2374" priority="4893" operator="lessThan">
      <formula>0</formula>
    </cfRule>
  </conditionalFormatting>
  <conditionalFormatting sqref="H10:H1048576">
    <cfRule type="cellIs" dxfId="2373" priority="4892" operator="lessThan">
      <formula>0</formula>
    </cfRule>
  </conditionalFormatting>
  <conditionalFormatting sqref="H10:H1048576">
    <cfRule type="cellIs" dxfId="2372" priority="4891" operator="lessThan">
      <formula>0</formula>
    </cfRule>
  </conditionalFormatting>
  <conditionalFormatting sqref="H10:H1048576">
    <cfRule type="cellIs" dxfId="2371" priority="4890" operator="lessThan">
      <formula>0</formula>
    </cfRule>
  </conditionalFormatting>
  <conditionalFormatting sqref="H10:H1048576">
    <cfRule type="cellIs" dxfId="2370" priority="4889" operator="lessThan">
      <formula>0</formula>
    </cfRule>
  </conditionalFormatting>
  <conditionalFormatting sqref="H10:H1048576">
    <cfRule type="cellIs" dxfId="2369" priority="4888" operator="lessThan">
      <formula>0</formula>
    </cfRule>
  </conditionalFormatting>
  <conditionalFormatting sqref="H10:H1048576">
    <cfRule type="cellIs" dxfId="2368" priority="4887" operator="lessThan">
      <formula>0</formula>
    </cfRule>
  </conditionalFormatting>
  <conditionalFormatting sqref="H10:H1048576">
    <cfRule type="cellIs" dxfId="2367" priority="4886" operator="lessThan">
      <formula>0</formula>
    </cfRule>
  </conditionalFormatting>
  <conditionalFormatting sqref="H10:H1048576">
    <cfRule type="cellIs" dxfId="2366" priority="4885" operator="lessThan">
      <formula>0</formula>
    </cfRule>
  </conditionalFormatting>
  <conditionalFormatting sqref="H10:H1048576">
    <cfRule type="cellIs" dxfId="2365" priority="4884" operator="lessThan">
      <formula>0</formula>
    </cfRule>
  </conditionalFormatting>
  <conditionalFormatting sqref="H10:H1048576">
    <cfRule type="cellIs" dxfId="2364" priority="4883" operator="lessThan">
      <formula>0</formula>
    </cfRule>
  </conditionalFormatting>
  <conditionalFormatting sqref="H10:H1048576">
    <cfRule type="cellIs" dxfId="2363" priority="4882" operator="lessThan">
      <formula>0</formula>
    </cfRule>
  </conditionalFormatting>
  <conditionalFormatting sqref="H10:H1048576">
    <cfRule type="cellIs" dxfId="2362" priority="4881" operator="lessThan">
      <formula>0</formula>
    </cfRule>
  </conditionalFormatting>
  <conditionalFormatting sqref="H10:H1048576">
    <cfRule type="cellIs" dxfId="2361" priority="4880" operator="lessThan">
      <formula>0</formula>
    </cfRule>
  </conditionalFormatting>
  <conditionalFormatting sqref="H10:H1048576">
    <cfRule type="cellIs" dxfId="2360" priority="4879" operator="lessThan">
      <formula>0</formula>
    </cfRule>
  </conditionalFormatting>
  <conditionalFormatting sqref="H10:H1048576">
    <cfRule type="cellIs" dxfId="2359" priority="4878" operator="lessThan">
      <formula>0</formula>
    </cfRule>
  </conditionalFormatting>
  <conditionalFormatting sqref="H10:H1048576">
    <cfRule type="cellIs" dxfId="2358" priority="4877" operator="lessThan">
      <formula>0</formula>
    </cfRule>
  </conditionalFormatting>
  <conditionalFormatting sqref="H10:H1048576">
    <cfRule type="cellIs" dxfId="2357" priority="4876" operator="lessThan">
      <formula>0</formula>
    </cfRule>
  </conditionalFormatting>
  <conditionalFormatting sqref="H10:H1048576">
    <cfRule type="cellIs" dxfId="2356" priority="4875" operator="lessThan">
      <formula>0</formula>
    </cfRule>
  </conditionalFormatting>
  <conditionalFormatting sqref="H10:H1048576">
    <cfRule type="cellIs" dxfId="2355" priority="4874" operator="lessThan">
      <formula>0</formula>
    </cfRule>
  </conditionalFormatting>
  <conditionalFormatting sqref="H10:H1048576">
    <cfRule type="cellIs" dxfId="2354" priority="4873" operator="lessThan">
      <formula>0</formula>
    </cfRule>
  </conditionalFormatting>
  <conditionalFormatting sqref="H10:H1048576">
    <cfRule type="cellIs" dxfId="2353" priority="4872" operator="lessThan">
      <formula>0</formula>
    </cfRule>
  </conditionalFormatting>
  <conditionalFormatting sqref="H10:H1048576">
    <cfRule type="cellIs" dxfId="2352" priority="4871" operator="lessThan">
      <formula>0</formula>
    </cfRule>
  </conditionalFormatting>
  <conditionalFormatting sqref="H10:H1048576">
    <cfRule type="cellIs" dxfId="2351" priority="4870" operator="lessThan">
      <formula>0</formula>
    </cfRule>
  </conditionalFormatting>
  <conditionalFormatting sqref="H10:H1048576">
    <cfRule type="cellIs" dxfId="2350" priority="4869" operator="lessThan">
      <formula>0</formula>
    </cfRule>
  </conditionalFormatting>
  <conditionalFormatting sqref="H10:H1048576">
    <cfRule type="cellIs" dxfId="2349" priority="4868" operator="lessThan">
      <formula>0</formula>
    </cfRule>
  </conditionalFormatting>
  <conditionalFormatting sqref="H10:H1048576">
    <cfRule type="cellIs" dxfId="2348" priority="4867" operator="lessThan">
      <formula>0</formula>
    </cfRule>
  </conditionalFormatting>
  <conditionalFormatting sqref="H10:H1048576">
    <cfRule type="cellIs" dxfId="2347" priority="4866" operator="lessThan">
      <formula>0</formula>
    </cfRule>
  </conditionalFormatting>
  <conditionalFormatting sqref="H10:H1048576">
    <cfRule type="cellIs" dxfId="2346" priority="4865" operator="lessThan">
      <formula>0</formula>
    </cfRule>
  </conditionalFormatting>
  <conditionalFormatting sqref="H10:H1048576">
    <cfRule type="cellIs" dxfId="2345" priority="4864" operator="lessThan">
      <formula>0</formula>
    </cfRule>
  </conditionalFormatting>
  <conditionalFormatting sqref="H10:H1048576">
    <cfRule type="cellIs" dxfId="2344" priority="4863" operator="lessThan">
      <formula>0</formula>
    </cfRule>
  </conditionalFormatting>
  <conditionalFormatting sqref="H10:H1048576">
    <cfRule type="cellIs" dxfId="2343" priority="4862" operator="lessThan">
      <formula>0</formula>
    </cfRule>
  </conditionalFormatting>
  <conditionalFormatting sqref="H10:H1048576">
    <cfRule type="cellIs" dxfId="2342" priority="4861" operator="lessThan">
      <formula>0</formula>
    </cfRule>
  </conditionalFormatting>
  <conditionalFormatting sqref="H10:H1048576">
    <cfRule type="cellIs" dxfId="2341" priority="4860" operator="lessThan">
      <formula>0</formula>
    </cfRule>
  </conditionalFormatting>
  <conditionalFormatting sqref="H10:H1048576">
    <cfRule type="cellIs" dxfId="2340" priority="4859" operator="lessThan">
      <formula>0</formula>
    </cfRule>
  </conditionalFormatting>
  <conditionalFormatting sqref="H10:H1048576">
    <cfRule type="cellIs" dxfId="2339" priority="4858" operator="lessThan">
      <formula>0</formula>
    </cfRule>
  </conditionalFormatting>
  <conditionalFormatting sqref="H10:H1048576">
    <cfRule type="cellIs" dxfId="2338" priority="4857" operator="lessThan">
      <formula>0</formula>
    </cfRule>
  </conditionalFormatting>
  <conditionalFormatting sqref="H10:H1048576">
    <cfRule type="cellIs" dxfId="2337" priority="4856" operator="lessThan">
      <formula>0</formula>
    </cfRule>
  </conditionalFormatting>
  <conditionalFormatting sqref="H10:H1048576">
    <cfRule type="cellIs" dxfId="2336" priority="4855" operator="lessThan">
      <formula>0</formula>
    </cfRule>
  </conditionalFormatting>
  <conditionalFormatting sqref="H10:H1048576">
    <cfRule type="cellIs" dxfId="2335" priority="4854" operator="lessThan">
      <formula>0</formula>
    </cfRule>
  </conditionalFormatting>
  <conditionalFormatting sqref="H10:H1048576">
    <cfRule type="cellIs" dxfId="2334" priority="4853" operator="lessThan">
      <formula>0</formula>
    </cfRule>
  </conditionalFormatting>
  <conditionalFormatting sqref="H10:H1048576">
    <cfRule type="cellIs" dxfId="2333" priority="4852" operator="lessThan">
      <formula>0</formula>
    </cfRule>
  </conditionalFormatting>
  <conditionalFormatting sqref="H10:H1048576">
    <cfRule type="cellIs" dxfId="2332" priority="4851" operator="lessThan">
      <formula>0</formula>
    </cfRule>
  </conditionalFormatting>
  <conditionalFormatting sqref="H10:H1048576">
    <cfRule type="cellIs" dxfId="2331" priority="4850" operator="lessThan">
      <formula>0</formula>
    </cfRule>
  </conditionalFormatting>
  <conditionalFormatting sqref="H10:H1048576">
    <cfRule type="cellIs" dxfId="2330" priority="4849" operator="lessThan">
      <formula>0</formula>
    </cfRule>
  </conditionalFormatting>
  <conditionalFormatting sqref="H10:H1048576">
    <cfRule type="cellIs" dxfId="2329" priority="4848" operator="lessThan">
      <formula>0</formula>
    </cfRule>
  </conditionalFormatting>
  <conditionalFormatting sqref="H10:H1048576">
    <cfRule type="cellIs" dxfId="2328" priority="4847" operator="lessThan">
      <formula>0</formula>
    </cfRule>
  </conditionalFormatting>
  <conditionalFormatting sqref="H10:H1048576">
    <cfRule type="cellIs" dxfId="2327" priority="4846" operator="lessThan">
      <formula>0</formula>
    </cfRule>
  </conditionalFormatting>
  <conditionalFormatting sqref="H10:H1048576">
    <cfRule type="cellIs" dxfId="2326" priority="4845" operator="lessThan">
      <formula>0</formula>
    </cfRule>
  </conditionalFormatting>
  <conditionalFormatting sqref="H10:H1048576">
    <cfRule type="cellIs" dxfId="2325" priority="4844" operator="lessThan">
      <formula>0</formula>
    </cfRule>
  </conditionalFormatting>
  <conditionalFormatting sqref="H10:H1048576">
    <cfRule type="cellIs" dxfId="2324" priority="4843" operator="lessThan">
      <formula>0</formula>
    </cfRule>
  </conditionalFormatting>
  <conditionalFormatting sqref="H10:H1048576">
    <cfRule type="cellIs" dxfId="2323" priority="4842" operator="lessThan">
      <formula>0</formula>
    </cfRule>
  </conditionalFormatting>
  <conditionalFormatting sqref="H10:H1048576">
    <cfRule type="cellIs" dxfId="2322" priority="4841" operator="lessThan">
      <formula>0</formula>
    </cfRule>
  </conditionalFormatting>
  <conditionalFormatting sqref="H10:H1048576">
    <cfRule type="cellIs" dxfId="2321" priority="4840" operator="lessThan">
      <formula>0</formula>
    </cfRule>
  </conditionalFormatting>
  <conditionalFormatting sqref="H10:H1048576">
    <cfRule type="cellIs" dxfId="2320" priority="4839" operator="lessThan">
      <formula>0</formula>
    </cfRule>
  </conditionalFormatting>
  <conditionalFormatting sqref="H10:H1048576">
    <cfRule type="cellIs" dxfId="2319" priority="4838" operator="lessThan">
      <formula>0</formula>
    </cfRule>
  </conditionalFormatting>
  <conditionalFormatting sqref="H10:H1048576">
    <cfRule type="cellIs" dxfId="2318" priority="4837" operator="lessThan">
      <formula>0</formula>
    </cfRule>
  </conditionalFormatting>
  <conditionalFormatting sqref="H10:H1048576">
    <cfRule type="cellIs" dxfId="2317" priority="4836" operator="lessThan">
      <formula>0</formula>
    </cfRule>
  </conditionalFormatting>
  <conditionalFormatting sqref="H10:H1048576">
    <cfRule type="cellIs" dxfId="2316" priority="4835" operator="lessThan">
      <formula>0</formula>
    </cfRule>
  </conditionalFormatting>
  <conditionalFormatting sqref="H10:H1048576">
    <cfRule type="cellIs" dxfId="2315" priority="4834" operator="lessThan">
      <formula>0</formula>
    </cfRule>
  </conditionalFormatting>
  <conditionalFormatting sqref="H10:H1048576">
    <cfRule type="cellIs" dxfId="2314" priority="4833" operator="lessThan">
      <formula>0</formula>
    </cfRule>
  </conditionalFormatting>
  <conditionalFormatting sqref="H10:H1048576">
    <cfRule type="cellIs" dxfId="2313" priority="4832" operator="lessThan">
      <formula>0</formula>
    </cfRule>
  </conditionalFormatting>
  <conditionalFormatting sqref="H10:H1048576">
    <cfRule type="cellIs" dxfId="2312" priority="4831" operator="lessThan">
      <formula>0</formula>
    </cfRule>
  </conditionalFormatting>
  <conditionalFormatting sqref="H10:H1048576">
    <cfRule type="cellIs" dxfId="2311" priority="4830" operator="lessThan">
      <formula>0</formula>
    </cfRule>
  </conditionalFormatting>
  <conditionalFormatting sqref="H10:H1048576">
    <cfRule type="cellIs" dxfId="2310" priority="4829" operator="lessThan">
      <formula>0</formula>
    </cfRule>
  </conditionalFormatting>
  <conditionalFormatting sqref="H10:H1048576">
    <cfRule type="cellIs" dxfId="2309" priority="4828" operator="lessThan">
      <formula>0</formula>
    </cfRule>
  </conditionalFormatting>
  <conditionalFormatting sqref="H10:H1048576">
    <cfRule type="cellIs" dxfId="2308" priority="4827" operator="lessThan">
      <formula>0</formula>
    </cfRule>
  </conditionalFormatting>
  <conditionalFormatting sqref="H10:H1048576">
    <cfRule type="cellIs" dxfId="2307" priority="4826" operator="lessThan">
      <formula>0</formula>
    </cfRule>
  </conditionalFormatting>
  <conditionalFormatting sqref="H10:H1048576">
    <cfRule type="cellIs" dxfId="2306" priority="4825" operator="lessThan">
      <formula>0</formula>
    </cfRule>
  </conditionalFormatting>
  <conditionalFormatting sqref="H10:H1048576">
    <cfRule type="cellIs" dxfId="2305" priority="4824" operator="lessThan">
      <formula>0</formula>
    </cfRule>
  </conditionalFormatting>
  <conditionalFormatting sqref="H10:H1048576">
    <cfRule type="cellIs" dxfId="2304" priority="4823" operator="lessThan">
      <formula>0</formula>
    </cfRule>
  </conditionalFormatting>
  <conditionalFormatting sqref="H10:H1048576">
    <cfRule type="cellIs" dxfId="2303" priority="4822" operator="lessThan">
      <formula>0</formula>
    </cfRule>
  </conditionalFormatting>
  <conditionalFormatting sqref="H10:H1048576">
    <cfRule type="cellIs" dxfId="2302" priority="4821" operator="lessThan">
      <formula>0</formula>
    </cfRule>
  </conditionalFormatting>
  <conditionalFormatting sqref="H10:H1048576">
    <cfRule type="cellIs" dxfId="2301" priority="4820" operator="lessThan">
      <formula>0</formula>
    </cfRule>
  </conditionalFormatting>
  <conditionalFormatting sqref="H10:H1048576">
    <cfRule type="cellIs" dxfId="2300" priority="4819" operator="lessThan">
      <formula>0</formula>
    </cfRule>
  </conditionalFormatting>
  <conditionalFormatting sqref="H10:H1048576">
    <cfRule type="cellIs" dxfId="2299" priority="4818" operator="lessThan">
      <formula>0</formula>
    </cfRule>
  </conditionalFormatting>
  <conditionalFormatting sqref="H10:H1048576">
    <cfRule type="cellIs" dxfId="2298" priority="4817" operator="lessThan">
      <formula>0</formula>
    </cfRule>
  </conditionalFormatting>
  <conditionalFormatting sqref="H10:H1048576">
    <cfRule type="cellIs" dxfId="2297" priority="4816" operator="lessThan">
      <formula>0</formula>
    </cfRule>
  </conditionalFormatting>
  <conditionalFormatting sqref="H10:H1048576">
    <cfRule type="cellIs" dxfId="2296" priority="4815" operator="lessThan">
      <formula>0</formula>
    </cfRule>
  </conditionalFormatting>
  <conditionalFormatting sqref="H10:H1048576">
    <cfRule type="cellIs" dxfId="2295" priority="4814" operator="lessThan">
      <formula>0</formula>
    </cfRule>
  </conditionalFormatting>
  <conditionalFormatting sqref="H10:H1048576">
    <cfRule type="cellIs" dxfId="2294" priority="4813" operator="lessThan">
      <formula>0</formula>
    </cfRule>
  </conditionalFormatting>
  <conditionalFormatting sqref="H10:H1048576">
    <cfRule type="cellIs" dxfId="2293" priority="4812" operator="lessThan">
      <formula>0</formula>
    </cfRule>
  </conditionalFormatting>
  <conditionalFormatting sqref="H10:H1048576">
    <cfRule type="cellIs" dxfId="2292" priority="4811" operator="lessThan">
      <formula>0</formula>
    </cfRule>
  </conditionalFormatting>
  <conditionalFormatting sqref="H10:H1048576">
    <cfRule type="cellIs" dxfId="2291" priority="4810" operator="lessThan">
      <formula>0</formula>
    </cfRule>
  </conditionalFormatting>
  <conditionalFormatting sqref="H10:H1048576">
    <cfRule type="cellIs" dxfId="2290" priority="4809" operator="lessThan">
      <formula>0</formula>
    </cfRule>
  </conditionalFormatting>
  <conditionalFormatting sqref="H10:H1048576">
    <cfRule type="cellIs" dxfId="2289" priority="4808" operator="lessThan">
      <formula>0</formula>
    </cfRule>
  </conditionalFormatting>
  <conditionalFormatting sqref="H10:H1048576">
    <cfRule type="cellIs" dxfId="2288" priority="4807" operator="lessThan">
      <formula>0</formula>
    </cfRule>
  </conditionalFormatting>
  <conditionalFormatting sqref="H10:H1048576">
    <cfRule type="cellIs" dxfId="2287" priority="4806" operator="lessThan">
      <formula>0</formula>
    </cfRule>
  </conditionalFormatting>
  <conditionalFormatting sqref="H10:H1048576">
    <cfRule type="cellIs" dxfId="2286" priority="4805" operator="lessThan">
      <formula>0</formula>
    </cfRule>
  </conditionalFormatting>
  <conditionalFormatting sqref="H10:H1048576">
    <cfRule type="cellIs" dxfId="2285" priority="4804" operator="lessThan">
      <formula>0</formula>
    </cfRule>
  </conditionalFormatting>
  <conditionalFormatting sqref="H10:H1048576">
    <cfRule type="cellIs" dxfId="2284" priority="4803" operator="lessThan">
      <formula>0</formula>
    </cfRule>
  </conditionalFormatting>
  <conditionalFormatting sqref="H10:H1048576">
    <cfRule type="cellIs" dxfId="2283" priority="4802" operator="lessThan">
      <formula>0</formula>
    </cfRule>
  </conditionalFormatting>
  <conditionalFormatting sqref="H10:H1048576">
    <cfRule type="cellIs" dxfId="2282" priority="4801" operator="lessThan">
      <formula>0</formula>
    </cfRule>
  </conditionalFormatting>
  <conditionalFormatting sqref="H10:H1048576">
    <cfRule type="cellIs" dxfId="2281" priority="4800" operator="lessThan">
      <formula>0</formula>
    </cfRule>
  </conditionalFormatting>
  <conditionalFormatting sqref="H10:H1048576">
    <cfRule type="cellIs" dxfId="2280" priority="4799" operator="lessThan">
      <formula>0</formula>
    </cfRule>
  </conditionalFormatting>
  <conditionalFormatting sqref="H10:H1048576">
    <cfRule type="cellIs" dxfId="2279" priority="4798" operator="lessThan">
      <formula>0</formula>
    </cfRule>
  </conditionalFormatting>
  <conditionalFormatting sqref="H10:H1048576">
    <cfRule type="cellIs" dxfId="2278" priority="4797" operator="lessThan">
      <formula>0</formula>
    </cfRule>
  </conditionalFormatting>
  <conditionalFormatting sqref="H10:H1048576">
    <cfRule type="cellIs" dxfId="2277" priority="4796" operator="lessThan">
      <formula>0</formula>
    </cfRule>
  </conditionalFormatting>
  <conditionalFormatting sqref="H10:H1048576">
    <cfRule type="cellIs" dxfId="2276" priority="4795" operator="lessThan">
      <formula>0</formula>
    </cfRule>
  </conditionalFormatting>
  <conditionalFormatting sqref="H10:H1048576">
    <cfRule type="cellIs" dxfId="2275" priority="4794" operator="lessThan">
      <formula>0</formula>
    </cfRule>
  </conditionalFormatting>
  <conditionalFormatting sqref="H10:H1048576">
    <cfRule type="cellIs" dxfId="2274" priority="4793" operator="lessThan">
      <formula>0</formula>
    </cfRule>
  </conditionalFormatting>
  <conditionalFormatting sqref="H10:H1048576">
    <cfRule type="cellIs" dxfId="2273" priority="4792" operator="lessThan">
      <formula>0</formula>
    </cfRule>
  </conditionalFormatting>
  <conditionalFormatting sqref="H10:H1048576">
    <cfRule type="cellIs" dxfId="2272" priority="4791" operator="lessThan">
      <formula>0</formula>
    </cfRule>
  </conditionalFormatting>
  <conditionalFormatting sqref="H10:H1048576">
    <cfRule type="cellIs" dxfId="2271" priority="4790" operator="lessThan">
      <formula>0</formula>
    </cfRule>
  </conditionalFormatting>
  <conditionalFormatting sqref="H10:H1048576">
    <cfRule type="cellIs" dxfId="2270" priority="4789" operator="lessThan">
      <formula>0</formula>
    </cfRule>
  </conditionalFormatting>
  <conditionalFormatting sqref="H10:H1048576">
    <cfRule type="cellIs" dxfId="2269" priority="4788" operator="lessThan">
      <formula>0</formula>
    </cfRule>
  </conditionalFormatting>
  <conditionalFormatting sqref="H10:H1048576">
    <cfRule type="cellIs" dxfId="2268" priority="4787" operator="lessThan">
      <formula>0</formula>
    </cfRule>
  </conditionalFormatting>
  <conditionalFormatting sqref="H10:H1048576">
    <cfRule type="cellIs" dxfId="2267" priority="4786" operator="lessThan">
      <formula>0</formula>
    </cfRule>
  </conditionalFormatting>
  <conditionalFormatting sqref="H10:H1048576">
    <cfRule type="cellIs" dxfId="2266" priority="4785" operator="lessThan">
      <formula>0</formula>
    </cfRule>
  </conditionalFormatting>
  <conditionalFormatting sqref="H10:H1048576">
    <cfRule type="cellIs" dxfId="2265" priority="4784" operator="lessThan">
      <formula>0</formula>
    </cfRule>
  </conditionalFormatting>
  <conditionalFormatting sqref="H10:H1048576">
    <cfRule type="cellIs" dxfId="2264" priority="4783" operator="lessThan">
      <formula>0</formula>
    </cfRule>
  </conditionalFormatting>
  <conditionalFormatting sqref="H10:H1048576">
    <cfRule type="cellIs" dxfId="2263" priority="4782" operator="lessThan">
      <formula>0</formula>
    </cfRule>
  </conditionalFormatting>
  <conditionalFormatting sqref="H10:H1048576">
    <cfRule type="cellIs" dxfId="2262" priority="4781" operator="lessThan">
      <formula>0</formula>
    </cfRule>
  </conditionalFormatting>
  <conditionalFormatting sqref="H10:H1048576">
    <cfRule type="cellIs" dxfId="2261" priority="4780" operator="lessThan">
      <formula>0</formula>
    </cfRule>
  </conditionalFormatting>
  <conditionalFormatting sqref="H10:H1048576">
    <cfRule type="cellIs" dxfId="2260" priority="4779" operator="lessThan">
      <formula>0</formula>
    </cfRule>
  </conditionalFormatting>
  <conditionalFormatting sqref="H10:H1048576">
    <cfRule type="cellIs" dxfId="2259" priority="4778" operator="lessThan">
      <formula>0</formula>
    </cfRule>
  </conditionalFormatting>
  <conditionalFormatting sqref="H10:H1048576">
    <cfRule type="cellIs" dxfId="2258" priority="4777" operator="lessThan">
      <formula>0</formula>
    </cfRule>
  </conditionalFormatting>
  <conditionalFormatting sqref="H10:H1048576">
    <cfRule type="cellIs" dxfId="2257" priority="4776" operator="lessThan">
      <formula>0</formula>
    </cfRule>
  </conditionalFormatting>
  <conditionalFormatting sqref="H10:H1048576">
    <cfRule type="cellIs" dxfId="2256" priority="4775" operator="lessThan">
      <formula>0</formula>
    </cfRule>
  </conditionalFormatting>
  <conditionalFormatting sqref="H10:H1048576">
    <cfRule type="cellIs" dxfId="2255" priority="4774" operator="lessThan">
      <formula>0</formula>
    </cfRule>
  </conditionalFormatting>
  <conditionalFormatting sqref="H10:H1048576">
    <cfRule type="cellIs" dxfId="2254" priority="4773" operator="lessThan">
      <formula>0</formula>
    </cfRule>
  </conditionalFormatting>
  <conditionalFormatting sqref="H10:H1048576">
    <cfRule type="cellIs" dxfId="2253" priority="4772" operator="lessThan">
      <formula>0</formula>
    </cfRule>
  </conditionalFormatting>
  <conditionalFormatting sqref="H10:H1048576">
    <cfRule type="cellIs" dxfId="2252" priority="4771" operator="lessThan">
      <formula>0</formula>
    </cfRule>
  </conditionalFormatting>
  <conditionalFormatting sqref="H10:H1048576">
    <cfRule type="cellIs" dxfId="2251" priority="4770" operator="lessThan">
      <formula>0</formula>
    </cfRule>
  </conditionalFormatting>
  <conditionalFormatting sqref="H10:H1048576">
    <cfRule type="cellIs" dxfId="2250" priority="4769" operator="lessThan">
      <formula>0</formula>
    </cfRule>
  </conditionalFormatting>
  <conditionalFormatting sqref="H10:H1048576">
    <cfRule type="cellIs" dxfId="2249" priority="4768" operator="lessThan">
      <formula>0</formula>
    </cfRule>
  </conditionalFormatting>
  <conditionalFormatting sqref="H10:H1048576">
    <cfRule type="cellIs" dxfId="2248" priority="4767" operator="lessThan">
      <formula>0</formula>
    </cfRule>
  </conditionalFormatting>
  <conditionalFormatting sqref="H10:H1048576">
    <cfRule type="cellIs" dxfId="2247" priority="4766" operator="lessThan">
      <formula>0</formula>
    </cfRule>
  </conditionalFormatting>
  <conditionalFormatting sqref="H10:H1048576">
    <cfRule type="cellIs" dxfId="2246" priority="4765" operator="lessThan">
      <formula>0</formula>
    </cfRule>
  </conditionalFormatting>
  <conditionalFormatting sqref="H10:H1048576">
    <cfRule type="cellIs" dxfId="2245" priority="4764" operator="lessThan">
      <formula>0</formula>
    </cfRule>
  </conditionalFormatting>
  <conditionalFormatting sqref="H10:H1048576">
    <cfRule type="cellIs" dxfId="2244" priority="4763" operator="lessThan">
      <formula>0</formula>
    </cfRule>
  </conditionalFormatting>
  <conditionalFormatting sqref="H10:H1048576">
    <cfRule type="cellIs" dxfId="2243" priority="4762" operator="lessThan">
      <formula>0</formula>
    </cfRule>
  </conditionalFormatting>
  <conditionalFormatting sqref="H10:H1048576">
    <cfRule type="cellIs" dxfId="2242" priority="4761" operator="lessThan">
      <formula>0</formula>
    </cfRule>
  </conditionalFormatting>
  <conditionalFormatting sqref="H10:H1048576">
    <cfRule type="cellIs" dxfId="2241" priority="4760" operator="lessThan">
      <formula>0</formula>
    </cfRule>
  </conditionalFormatting>
  <conditionalFormatting sqref="H10:H1048576">
    <cfRule type="cellIs" dxfId="2240" priority="4759" operator="lessThan">
      <formula>0</formula>
    </cfRule>
  </conditionalFormatting>
  <conditionalFormatting sqref="H10:H1048576">
    <cfRule type="cellIs" dxfId="2239" priority="4758" operator="lessThan">
      <formula>0</formula>
    </cfRule>
  </conditionalFormatting>
  <conditionalFormatting sqref="H10:H1048576">
    <cfRule type="cellIs" dxfId="2238" priority="4757" operator="lessThan">
      <formula>0</formula>
    </cfRule>
  </conditionalFormatting>
  <conditionalFormatting sqref="H10:H1048576">
    <cfRule type="cellIs" dxfId="2237" priority="4756" operator="lessThan">
      <formula>0</formula>
    </cfRule>
  </conditionalFormatting>
  <conditionalFormatting sqref="H10:H1048576">
    <cfRule type="cellIs" dxfId="2236" priority="4755" operator="lessThan">
      <formula>0</formula>
    </cfRule>
  </conditionalFormatting>
  <conditionalFormatting sqref="H10:H1048576">
    <cfRule type="cellIs" dxfId="2235" priority="4754" operator="lessThan">
      <formula>0</formula>
    </cfRule>
  </conditionalFormatting>
  <conditionalFormatting sqref="H10:H1048576">
    <cfRule type="cellIs" dxfId="2234" priority="4753" operator="lessThan">
      <formula>0</formula>
    </cfRule>
  </conditionalFormatting>
  <conditionalFormatting sqref="H10:H1048576">
    <cfRule type="cellIs" dxfId="2233" priority="4752" operator="lessThan">
      <formula>0</formula>
    </cfRule>
  </conditionalFormatting>
  <conditionalFormatting sqref="H10:H1048576">
    <cfRule type="cellIs" dxfId="2232" priority="4751" operator="lessThan">
      <formula>0</formula>
    </cfRule>
  </conditionalFormatting>
  <conditionalFormatting sqref="H10:H1048576">
    <cfRule type="cellIs" dxfId="2231" priority="4750" operator="lessThan">
      <formula>0</formula>
    </cfRule>
  </conditionalFormatting>
  <conditionalFormatting sqref="H10:H1048576">
    <cfRule type="cellIs" dxfId="2230" priority="4749" operator="lessThan">
      <formula>0</formula>
    </cfRule>
  </conditionalFormatting>
  <conditionalFormatting sqref="H10:H1048576">
    <cfRule type="cellIs" dxfId="2229" priority="4748" operator="lessThan">
      <formula>0</formula>
    </cfRule>
  </conditionalFormatting>
  <conditionalFormatting sqref="H10:H1048576">
    <cfRule type="cellIs" dxfId="2228" priority="4747" operator="lessThan">
      <formula>0</formula>
    </cfRule>
  </conditionalFormatting>
  <conditionalFormatting sqref="H10:H1048576">
    <cfRule type="cellIs" dxfId="2227" priority="4746" operator="lessThan">
      <formula>0</formula>
    </cfRule>
  </conditionalFormatting>
  <conditionalFormatting sqref="H10:H1048576">
    <cfRule type="cellIs" dxfId="2226" priority="4745" operator="lessThan">
      <formula>0</formula>
    </cfRule>
  </conditionalFormatting>
  <conditionalFormatting sqref="H10:H1048576">
    <cfRule type="cellIs" dxfId="2225" priority="4744" operator="lessThan">
      <formula>0</formula>
    </cfRule>
  </conditionalFormatting>
  <conditionalFormatting sqref="H10:H1048576">
    <cfRule type="cellIs" dxfId="2224" priority="4743" operator="lessThan">
      <formula>0</formula>
    </cfRule>
  </conditionalFormatting>
  <conditionalFormatting sqref="H10:H1048576">
    <cfRule type="cellIs" dxfId="2223" priority="4742" operator="lessThan">
      <formula>0</formula>
    </cfRule>
  </conditionalFormatting>
  <conditionalFormatting sqref="H10:H1048576">
    <cfRule type="cellIs" dxfId="2222" priority="4741" operator="lessThan">
      <formula>0</formula>
    </cfRule>
  </conditionalFormatting>
  <conditionalFormatting sqref="H10:H1048576">
    <cfRule type="cellIs" dxfId="2221" priority="4740" operator="lessThan">
      <formula>0</formula>
    </cfRule>
  </conditionalFormatting>
  <conditionalFormatting sqref="H10:H1048576">
    <cfRule type="cellIs" dxfId="2220" priority="4739" operator="lessThan">
      <formula>0</formula>
    </cfRule>
  </conditionalFormatting>
  <conditionalFormatting sqref="H10:H1048576">
    <cfRule type="cellIs" dxfId="2219" priority="4738" operator="lessThan">
      <formula>0</formula>
    </cfRule>
  </conditionalFormatting>
  <conditionalFormatting sqref="H10:H1048576">
    <cfRule type="cellIs" dxfId="2218" priority="4737" operator="lessThan">
      <formula>0</formula>
    </cfRule>
  </conditionalFormatting>
  <conditionalFormatting sqref="H10:H1048576">
    <cfRule type="cellIs" dxfId="2217" priority="4736" operator="lessThan">
      <formula>0</formula>
    </cfRule>
  </conditionalFormatting>
  <conditionalFormatting sqref="H10:H1048576">
    <cfRule type="cellIs" dxfId="2216" priority="4735" operator="lessThan">
      <formula>0</formula>
    </cfRule>
  </conditionalFormatting>
  <conditionalFormatting sqref="H10:H1048576">
    <cfRule type="cellIs" dxfId="2215" priority="4734" operator="lessThan">
      <formula>0</formula>
    </cfRule>
  </conditionalFormatting>
  <conditionalFormatting sqref="H10:H1048576">
    <cfRule type="cellIs" dxfId="2214" priority="4733" operator="lessThan">
      <formula>0</formula>
    </cfRule>
  </conditionalFormatting>
  <conditionalFormatting sqref="H10:H1048576">
    <cfRule type="cellIs" dxfId="2213" priority="4732" operator="lessThan">
      <formula>0</formula>
    </cfRule>
  </conditionalFormatting>
  <conditionalFormatting sqref="H10:H1048576">
    <cfRule type="cellIs" dxfId="2212" priority="4731" operator="lessThan">
      <formula>0</formula>
    </cfRule>
  </conditionalFormatting>
  <conditionalFormatting sqref="H10:H1048576">
    <cfRule type="cellIs" dxfId="2211" priority="4730" operator="lessThan">
      <formula>0</formula>
    </cfRule>
  </conditionalFormatting>
  <conditionalFormatting sqref="H10:H1048576">
    <cfRule type="cellIs" dxfId="2210" priority="4729" operator="lessThan">
      <formula>0</formula>
    </cfRule>
  </conditionalFormatting>
  <conditionalFormatting sqref="H10:H1048576">
    <cfRule type="cellIs" dxfId="2209" priority="4728" operator="lessThan">
      <formula>0</formula>
    </cfRule>
  </conditionalFormatting>
  <conditionalFormatting sqref="H10:H1048576">
    <cfRule type="cellIs" dxfId="2208" priority="4727" operator="lessThan">
      <formula>0</formula>
    </cfRule>
  </conditionalFormatting>
  <conditionalFormatting sqref="H10:H1048576">
    <cfRule type="cellIs" dxfId="2207" priority="4726" operator="lessThan">
      <formula>0</formula>
    </cfRule>
  </conditionalFormatting>
  <conditionalFormatting sqref="H10:H1048576">
    <cfRule type="cellIs" dxfId="2206" priority="4725" operator="lessThan">
      <formula>0</formula>
    </cfRule>
  </conditionalFormatting>
  <conditionalFormatting sqref="H10:H1048576">
    <cfRule type="cellIs" dxfId="2205" priority="4724" operator="lessThan">
      <formula>0</formula>
    </cfRule>
  </conditionalFormatting>
  <conditionalFormatting sqref="H10:H1048576">
    <cfRule type="cellIs" dxfId="2204" priority="4723" operator="lessThan">
      <formula>0</formula>
    </cfRule>
  </conditionalFormatting>
  <conditionalFormatting sqref="H10:H1048576">
    <cfRule type="cellIs" dxfId="2203" priority="4722" operator="lessThan">
      <formula>0</formula>
    </cfRule>
  </conditionalFormatting>
  <conditionalFormatting sqref="H10:H1048576">
    <cfRule type="cellIs" dxfId="2202" priority="4721" operator="lessThan">
      <formula>0</formula>
    </cfRule>
  </conditionalFormatting>
  <conditionalFormatting sqref="H10:H1048576">
    <cfRule type="cellIs" dxfId="2201" priority="4720" operator="lessThan">
      <formula>0</formula>
    </cfRule>
  </conditionalFormatting>
  <conditionalFormatting sqref="H10:H1048576">
    <cfRule type="cellIs" dxfId="2200" priority="4719" operator="lessThan">
      <formula>0</formula>
    </cfRule>
  </conditionalFormatting>
  <conditionalFormatting sqref="H10:H1048576">
    <cfRule type="cellIs" dxfId="2199" priority="4718" operator="lessThan">
      <formula>0</formula>
    </cfRule>
  </conditionalFormatting>
  <conditionalFormatting sqref="H10:H1048576">
    <cfRule type="cellIs" dxfId="2198" priority="4717" operator="lessThan">
      <formula>0</formula>
    </cfRule>
  </conditionalFormatting>
  <conditionalFormatting sqref="H10:H1048576">
    <cfRule type="cellIs" dxfId="2197" priority="4716" operator="lessThan">
      <formula>0</formula>
    </cfRule>
  </conditionalFormatting>
  <conditionalFormatting sqref="H10:H1048576">
    <cfRule type="cellIs" dxfId="2196" priority="4715" operator="lessThan">
      <formula>0</formula>
    </cfRule>
  </conditionalFormatting>
  <conditionalFormatting sqref="H10:H1048576">
    <cfRule type="cellIs" dxfId="2195" priority="4714" operator="lessThan">
      <formula>0</formula>
    </cfRule>
  </conditionalFormatting>
  <conditionalFormatting sqref="H10:H1048576">
    <cfRule type="cellIs" dxfId="2194" priority="4713" operator="lessThan">
      <formula>0</formula>
    </cfRule>
  </conditionalFormatting>
  <conditionalFormatting sqref="H10:H1048576">
    <cfRule type="cellIs" dxfId="2193" priority="4712" operator="lessThan">
      <formula>0</formula>
    </cfRule>
  </conditionalFormatting>
  <conditionalFormatting sqref="H10:H1048576">
    <cfRule type="cellIs" dxfId="2192" priority="4711" operator="lessThan">
      <formula>0</formula>
    </cfRule>
  </conditionalFormatting>
  <conditionalFormatting sqref="H10:H1048576">
    <cfRule type="cellIs" dxfId="2191" priority="4710" operator="lessThan">
      <formula>0</formula>
    </cfRule>
  </conditionalFormatting>
  <conditionalFormatting sqref="H10:H1048576">
    <cfRule type="cellIs" dxfId="2190" priority="4709" operator="lessThan">
      <formula>0</formula>
    </cfRule>
  </conditionalFormatting>
  <conditionalFormatting sqref="H10:H1048576">
    <cfRule type="cellIs" dxfId="2189" priority="4708" operator="lessThan">
      <formula>0</formula>
    </cfRule>
  </conditionalFormatting>
  <conditionalFormatting sqref="H10:H1048576">
    <cfRule type="cellIs" dxfId="2188" priority="4707" operator="lessThan">
      <formula>0</formula>
    </cfRule>
  </conditionalFormatting>
  <conditionalFormatting sqref="H10:H1048576">
    <cfRule type="cellIs" dxfId="2187" priority="4706" operator="lessThan">
      <formula>0</formula>
    </cfRule>
  </conditionalFormatting>
  <conditionalFormatting sqref="H10:H1048576">
    <cfRule type="cellIs" dxfId="2186" priority="4705" operator="lessThan">
      <formula>0</formula>
    </cfRule>
  </conditionalFormatting>
  <conditionalFormatting sqref="H10:H1048576">
    <cfRule type="cellIs" dxfId="2185" priority="4704" operator="lessThan">
      <formula>0</formula>
    </cfRule>
  </conditionalFormatting>
  <conditionalFormatting sqref="H10:H1048576">
    <cfRule type="cellIs" dxfId="2184" priority="4703" operator="lessThan">
      <formula>0</formula>
    </cfRule>
  </conditionalFormatting>
  <conditionalFormatting sqref="H10:H1048576">
    <cfRule type="cellIs" dxfId="2183" priority="4702" operator="lessThan">
      <formula>0</formula>
    </cfRule>
  </conditionalFormatting>
  <conditionalFormatting sqref="H10:H1048576">
    <cfRule type="cellIs" dxfId="2182" priority="4701" operator="lessThan">
      <formula>0</formula>
    </cfRule>
  </conditionalFormatting>
  <conditionalFormatting sqref="H10:H1048576">
    <cfRule type="cellIs" dxfId="2181" priority="4700" operator="lessThan">
      <formula>0</formula>
    </cfRule>
  </conditionalFormatting>
  <conditionalFormatting sqref="H10:H1048576">
    <cfRule type="cellIs" dxfId="2180" priority="4699" operator="lessThan">
      <formula>0</formula>
    </cfRule>
  </conditionalFormatting>
  <conditionalFormatting sqref="H10:H1048576">
    <cfRule type="cellIs" dxfId="2179" priority="4698" operator="lessThan">
      <formula>0</formula>
    </cfRule>
  </conditionalFormatting>
  <conditionalFormatting sqref="H10:H1048576">
    <cfRule type="cellIs" dxfId="2178" priority="4697" operator="lessThan">
      <formula>0</formula>
    </cfRule>
  </conditionalFormatting>
  <conditionalFormatting sqref="H10:H1048576">
    <cfRule type="cellIs" dxfId="2177" priority="4696" operator="lessThan">
      <formula>0</formula>
    </cfRule>
  </conditionalFormatting>
  <conditionalFormatting sqref="H10:H1048576">
    <cfRule type="cellIs" dxfId="2176" priority="4695" operator="lessThan">
      <formula>0</formula>
    </cfRule>
  </conditionalFormatting>
  <conditionalFormatting sqref="H10:H1048576">
    <cfRule type="cellIs" dxfId="2175" priority="4694" operator="lessThan">
      <formula>0</formula>
    </cfRule>
  </conditionalFormatting>
  <conditionalFormatting sqref="H10:H1048576">
    <cfRule type="cellIs" dxfId="2174" priority="4693" operator="lessThan">
      <formula>0</formula>
    </cfRule>
  </conditionalFormatting>
  <conditionalFormatting sqref="H10:H1048576">
    <cfRule type="cellIs" dxfId="2173" priority="4692" operator="lessThan">
      <formula>0</formula>
    </cfRule>
  </conditionalFormatting>
  <conditionalFormatting sqref="H10:H1048576">
    <cfRule type="cellIs" dxfId="2172" priority="4691" operator="lessThan">
      <formula>0</formula>
    </cfRule>
  </conditionalFormatting>
  <conditionalFormatting sqref="H10:H1048576">
    <cfRule type="cellIs" dxfId="2171" priority="4690" operator="lessThan">
      <formula>0</formula>
    </cfRule>
  </conditionalFormatting>
  <conditionalFormatting sqref="H10:H1048576">
    <cfRule type="cellIs" dxfId="2170" priority="4689" operator="lessThan">
      <formula>0</formula>
    </cfRule>
  </conditionalFormatting>
  <conditionalFormatting sqref="H10:H1048576">
    <cfRule type="cellIs" dxfId="2169" priority="4688" operator="lessThan">
      <formula>0</formula>
    </cfRule>
  </conditionalFormatting>
  <conditionalFormatting sqref="H10:H1048576">
    <cfRule type="cellIs" dxfId="2168" priority="4687" operator="lessThan">
      <formula>0</formula>
    </cfRule>
  </conditionalFormatting>
  <conditionalFormatting sqref="H10:H1048576">
    <cfRule type="cellIs" dxfId="2167" priority="4686" operator="lessThan">
      <formula>0</formula>
    </cfRule>
  </conditionalFormatting>
  <conditionalFormatting sqref="H10:H1048576">
    <cfRule type="cellIs" dxfId="2166" priority="4685" operator="lessThan">
      <formula>0</formula>
    </cfRule>
  </conditionalFormatting>
  <conditionalFormatting sqref="H10:H1048576">
    <cfRule type="cellIs" dxfId="2165" priority="4684" operator="lessThan">
      <formula>0</formula>
    </cfRule>
  </conditionalFormatting>
  <conditionalFormatting sqref="H10:H1048576">
    <cfRule type="cellIs" dxfId="2164" priority="4683" operator="lessThan">
      <formula>0</formula>
    </cfRule>
  </conditionalFormatting>
  <conditionalFormatting sqref="H10:H1048576">
    <cfRule type="cellIs" dxfId="2163" priority="4682" operator="lessThan">
      <formula>0</formula>
    </cfRule>
  </conditionalFormatting>
  <conditionalFormatting sqref="H10:H1048576">
    <cfRule type="cellIs" dxfId="2162" priority="4681" operator="lessThan">
      <formula>0</formula>
    </cfRule>
  </conditionalFormatting>
  <conditionalFormatting sqref="H10:H1048576">
    <cfRule type="cellIs" dxfId="2161" priority="4680" operator="lessThan">
      <formula>0</formula>
    </cfRule>
  </conditionalFormatting>
  <conditionalFormatting sqref="H10:H1048576">
    <cfRule type="cellIs" dxfId="2160" priority="4679" operator="lessThan">
      <formula>0</formula>
    </cfRule>
  </conditionalFormatting>
  <conditionalFormatting sqref="H10:H1048576">
    <cfRule type="cellIs" dxfId="2159" priority="4678" operator="lessThan">
      <formula>0</formula>
    </cfRule>
  </conditionalFormatting>
  <conditionalFormatting sqref="H10:H1048576">
    <cfRule type="cellIs" dxfId="2158" priority="4677" operator="lessThan">
      <formula>0</formula>
    </cfRule>
  </conditionalFormatting>
  <conditionalFormatting sqref="H10:H1048576">
    <cfRule type="cellIs" dxfId="2157" priority="4676" operator="lessThan">
      <formula>0</formula>
    </cfRule>
  </conditionalFormatting>
  <conditionalFormatting sqref="H10:H1048576">
    <cfRule type="cellIs" dxfId="2156" priority="4675" operator="lessThan">
      <formula>0</formula>
    </cfRule>
  </conditionalFormatting>
  <conditionalFormatting sqref="H10:H1048576">
    <cfRule type="cellIs" dxfId="2155" priority="4674" operator="lessThan">
      <formula>0</formula>
    </cfRule>
  </conditionalFormatting>
  <conditionalFormatting sqref="H10:H1048576">
    <cfRule type="cellIs" dxfId="2154" priority="4673" operator="lessThan">
      <formula>0</formula>
    </cfRule>
  </conditionalFormatting>
  <conditionalFormatting sqref="H10:H1048576">
    <cfRule type="cellIs" dxfId="2153" priority="4672" operator="lessThan">
      <formula>0</formula>
    </cfRule>
  </conditionalFormatting>
  <conditionalFormatting sqref="H10:H1048576">
    <cfRule type="cellIs" dxfId="2152" priority="4671" operator="lessThan">
      <formula>0</formula>
    </cfRule>
  </conditionalFormatting>
  <conditionalFormatting sqref="H10:H1048576">
    <cfRule type="cellIs" dxfId="2151" priority="4670" operator="lessThan">
      <formula>0</formula>
    </cfRule>
  </conditionalFormatting>
  <conditionalFormatting sqref="H10:H1048576">
    <cfRule type="cellIs" dxfId="2150" priority="4669" operator="lessThan">
      <formula>0</formula>
    </cfRule>
  </conditionalFormatting>
  <conditionalFormatting sqref="H10:H1048576">
    <cfRule type="cellIs" dxfId="2149" priority="4668" operator="lessThan">
      <formula>0</formula>
    </cfRule>
  </conditionalFormatting>
  <conditionalFormatting sqref="H10:H1048576">
    <cfRule type="cellIs" dxfId="2148" priority="4667" operator="lessThan">
      <formula>0</formula>
    </cfRule>
  </conditionalFormatting>
  <conditionalFormatting sqref="H10:H1048576">
    <cfRule type="cellIs" dxfId="2147" priority="4666" operator="lessThan">
      <formula>0</formula>
    </cfRule>
  </conditionalFormatting>
  <conditionalFormatting sqref="H10:H1048576">
    <cfRule type="cellIs" dxfId="2146" priority="4665" operator="lessThan">
      <formula>0</formula>
    </cfRule>
  </conditionalFormatting>
  <conditionalFormatting sqref="H10:H1048576">
    <cfRule type="cellIs" dxfId="2145" priority="4664" operator="lessThan">
      <formula>0</formula>
    </cfRule>
  </conditionalFormatting>
  <conditionalFormatting sqref="H10:H1048576">
    <cfRule type="cellIs" dxfId="2144" priority="4663" operator="lessThan">
      <formula>0</formula>
    </cfRule>
  </conditionalFormatting>
  <conditionalFormatting sqref="H10:H1048576">
    <cfRule type="cellIs" dxfId="2143" priority="4662" operator="lessThan">
      <formula>0</formula>
    </cfRule>
  </conditionalFormatting>
  <conditionalFormatting sqref="H10:H1048576">
    <cfRule type="cellIs" dxfId="2142" priority="4661" operator="lessThan">
      <formula>0</formula>
    </cfRule>
  </conditionalFormatting>
  <conditionalFormatting sqref="H10:H1048576">
    <cfRule type="cellIs" dxfId="2141" priority="4660" operator="lessThan">
      <formula>0</formula>
    </cfRule>
  </conditionalFormatting>
  <conditionalFormatting sqref="H10:H1048576">
    <cfRule type="cellIs" dxfId="2140" priority="4659" operator="lessThan">
      <formula>0</formula>
    </cfRule>
  </conditionalFormatting>
  <conditionalFormatting sqref="H10:H1048576">
    <cfRule type="cellIs" dxfId="2139" priority="4658" operator="lessThan">
      <formula>0</formula>
    </cfRule>
  </conditionalFormatting>
  <conditionalFormatting sqref="H10:H1048576">
    <cfRule type="cellIs" dxfId="2138" priority="4657" operator="lessThan">
      <formula>0</formula>
    </cfRule>
  </conditionalFormatting>
  <conditionalFormatting sqref="H10:H1048576">
    <cfRule type="cellIs" dxfId="2137" priority="4656" operator="lessThan">
      <formula>0</formula>
    </cfRule>
  </conditionalFormatting>
  <conditionalFormatting sqref="H10:H1048576">
    <cfRule type="cellIs" dxfId="2136" priority="4655" operator="lessThan">
      <formula>0</formula>
    </cfRule>
  </conditionalFormatting>
  <conditionalFormatting sqref="H10:H1048576">
    <cfRule type="cellIs" dxfId="2135" priority="4654" operator="lessThan">
      <formula>0</formula>
    </cfRule>
  </conditionalFormatting>
  <conditionalFormatting sqref="H10:H1048576">
    <cfRule type="cellIs" dxfId="2134" priority="4653" operator="lessThan">
      <formula>0</formula>
    </cfRule>
  </conditionalFormatting>
  <conditionalFormatting sqref="H10:H1048576">
    <cfRule type="cellIs" dxfId="2133" priority="4652" operator="lessThan">
      <formula>0</formula>
    </cfRule>
  </conditionalFormatting>
  <conditionalFormatting sqref="H10:H1048576">
    <cfRule type="cellIs" dxfId="2132" priority="4651" operator="lessThan">
      <formula>0</formula>
    </cfRule>
  </conditionalFormatting>
  <conditionalFormatting sqref="H10:H1048576">
    <cfRule type="cellIs" dxfId="2131" priority="4650" operator="lessThan">
      <formula>0</formula>
    </cfRule>
  </conditionalFormatting>
  <conditionalFormatting sqref="H10:H1048576">
    <cfRule type="cellIs" dxfId="2130" priority="4649" operator="lessThan">
      <formula>0</formula>
    </cfRule>
  </conditionalFormatting>
  <conditionalFormatting sqref="H10:H1048576">
    <cfRule type="cellIs" dxfId="2129" priority="4648" operator="lessThan">
      <formula>0</formula>
    </cfRule>
  </conditionalFormatting>
  <conditionalFormatting sqref="H10:H1048576">
    <cfRule type="cellIs" dxfId="2128" priority="4647" operator="lessThan">
      <formula>0</formula>
    </cfRule>
  </conditionalFormatting>
  <conditionalFormatting sqref="H10:H1048576">
    <cfRule type="cellIs" dxfId="2127" priority="4646" operator="lessThan">
      <formula>0</formula>
    </cfRule>
  </conditionalFormatting>
  <conditionalFormatting sqref="H10:H1048576">
    <cfRule type="cellIs" dxfId="2126" priority="4645" operator="lessThan">
      <formula>0</formula>
    </cfRule>
  </conditionalFormatting>
  <conditionalFormatting sqref="H10:H1048576">
    <cfRule type="cellIs" dxfId="2125" priority="4644" operator="lessThan">
      <formula>0</formula>
    </cfRule>
  </conditionalFormatting>
  <conditionalFormatting sqref="H10:H1048576">
    <cfRule type="cellIs" dxfId="2124" priority="4643" operator="lessThan">
      <formula>0</formula>
    </cfRule>
  </conditionalFormatting>
  <conditionalFormatting sqref="H10:H1048576">
    <cfRule type="cellIs" dxfId="2123" priority="4642" operator="lessThan">
      <formula>0</formula>
    </cfRule>
  </conditionalFormatting>
  <conditionalFormatting sqref="H10:H1048576">
    <cfRule type="cellIs" dxfId="2122" priority="4641" operator="lessThan">
      <formula>0</formula>
    </cfRule>
  </conditionalFormatting>
  <conditionalFormatting sqref="H10:H1048576">
    <cfRule type="cellIs" dxfId="2121" priority="4640" operator="lessThan">
      <formula>0</formula>
    </cfRule>
  </conditionalFormatting>
  <conditionalFormatting sqref="H10:H1048576">
    <cfRule type="cellIs" dxfId="2120" priority="4639" operator="lessThan">
      <formula>0</formula>
    </cfRule>
  </conditionalFormatting>
  <conditionalFormatting sqref="H10:H1048576">
    <cfRule type="cellIs" dxfId="2119" priority="4638" operator="lessThan">
      <formula>0</formula>
    </cfRule>
  </conditionalFormatting>
  <conditionalFormatting sqref="H10:H1048576">
    <cfRule type="cellIs" dxfId="2118" priority="4637" operator="lessThan">
      <formula>0</formula>
    </cfRule>
  </conditionalFormatting>
  <conditionalFormatting sqref="H10:H1048576">
    <cfRule type="cellIs" dxfId="2117" priority="4636" operator="lessThan">
      <formula>0</formula>
    </cfRule>
  </conditionalFormatting>
  <conditionalFormatting sqref="H10:H1048576">
    <cfRule type="cellIs" dxfId="2116" priority="4635" operator="lessThan">
      <formula>0</formula>
    </cfRule>
  </conditionalFormatting>
  <conditionalFormatting sqref="H10:H1048576">
    <cfRule type="cellIs" dxfId="2115" priority="4634" operator="lessThan">
      <formula>0</formula>
    </cfRule>
  </conditionalFormatting>
  <conditionalFormatting sqref="H10:H1048576">
    <cfRule type="cellIs" dxfId="2114" priority="4633" operator="lessThan">
      <formula>0</formula>
    </cfRule>
  </conditionalFormatting>
  <conditionalFormatting sqref="H10:H1048576">
    <cfRule type="cellIs" dxfId="2113" priority="4632" operator="lessThan">
      <formula>0</formula>
    </cfRule>
  </conditionalFormatting>
  <conditionalFormatting sqref="H10:H1048576">
    <cfRule type="cellIs" dxfId="2112" priority="4631" operator="lessThan">
      <formula>0</formula>
    </cfRule>
  </conditionalFormatting>
  <conditionalFormatting sqref="H10:H1048576">
    <cfRule type="cellIs" dxfId="2111" priority="4630" operator="lessThan">
      <formula>0</formula>
    </cfRule>
  </conditionalFormatting>
  <conditionalFormatting sqref="H10:H1048576">
    <cfRule type="cellIs" dxfId="2110" priority="4629" operator="lessThan">
      <formula>0</formula>
    </cfRule>
  </conditionalFormatting>
  <conditionalFormatting sqref="H10:H1048576">
    <cfRule type="cellIs" dxfId="2109" priority="4628" operator="lessThan">
      <formula>0</formula>
    </cfRule>
  </conditionalFormatting>
  <conditionalFormatting sqref="H10:H1048576">
    <cfRule type="cellIs" dxfId="2108" priority="4627" operator="lessThan">
      <formula>0</formula>
    </cfRule>
  </conditionalFormatting>
  <conditionalFormatting sqref="H10:H1048576">
    <cfRule type="cellIs" dxfId="2107" priority="4626" operator="lessThan">
      <formula>0</formula>
    </cfRule>
  </conditionalFormatting>
  <conditionalFormatting sqref="H10:H1048576">
    <cfRule type="cellIs" dxfId="2106" priority="4625" operator="lessThan">
      <formula>0</formula>
    </cfRule>
  </conditionalFormatting>
  <conditionalFormatting sqref="H10:H1048576">
    <cfRule type="cellIs" dxfId="2105" priority="4624" operator="lessThan">
      <formula>0</formula>
    </cfRule>
  </conditionalFormatting>
  <conditionalFormatting sqref="H10:H1048576">
    <cfRule type="cellIs" dxfId="2104" priority="4623" operator="lessThan">
      <formula>0</formula>
    </cfRule>
  </conditionalFormatting>
  <conditionalFormatting sqref="H10:H1048576">
    <cfRule type="cellIs" dxfId="2103" priority="4622" operator="lessThan">
      <formula>0</formula>
    </cfRule>
  </conditionalFormatting>
  <conditionalFormatting sqref="H10:H1048576">
    <cfRule type="cellIs" dxfId="2102" priority="4621" operator="lessThan">
      <formula>0</formula>
    </cfRule>
  </conditionalFormatting>
  <conditionalFormatting sqref="H10:H1048576">
    <cfRule type="cellIs" dxfId="2101" priority="4620" operator="lessThan">
      <formula>0</formula>
    </cfRule>
  </conditionalFormatting>
  <conditionalFormatting sqref="H10:H1048576">
    <cfRule type="cellIs" dxfId="2100" priority="4619" operator="lessThan">
      <formula>0</formula>
    </cfRule>
  </conditionalFormatting>
  <conditionalFormatting sqref="H10:H1048576">
    <cfRule type="cellIs" dxfId="2099" priority="4618" operator="lessThan">
      <formula>0</formula>
    </cfRule>
  </conditionalFormatting>
  <conditionalFormatting sqref="H10:H1048576">
    <cfRule type="cellIs" dxfId="2098" priority="4617" operator="lessThan">
      <formula>0</formula>
    </cfRule>
  </conditionalFormatting>
  <conditionalFormatting sqref="H10:H1048576">
    <cfRule type="cellIs" dxfId="2097" priority="4616" operator="lessThan">
      <formula>0</formula>
    </cfRule>
  </conditionalFormatting>
  <conditionalFormatting sqref="H10:H1048576">
    <cfRule type="cellIs" dxfId="2096" priority="4615" operator="lessThan">
      <formula>0</formula>
    </cfRule>
  </conditionalFormatting>
  <conditionalFormatting sqref="H10:H1048576">
    <cfRule type="cellIs" dxfId="2095" priority="4614" operator="lessThan">
      <formula>0</formula>
    </cfRule>
  </conditionalFormatting>
  <conditionalFormatting sqref="H10:H1048576">
    <cfRule type="cellIs" dxfId="2094" priority="4613" operator="lessThan">
      <formula>0</formula>
    </cfRule>
  </conditionalFormatting>
  <conditionalFormatting sqref="H10:H1048576">
    <cfRule type="cellIs" dxfId="2093" priority="4612" operator="lessThan">
      <formula>0</formula>
    </cfRule>
  </conditionalFormatting>
  <conditionalFormatting sqref="H10:H1048576">
    <cfRule type="cellIs" dxfId="2092" priority="4611" operator="lessThan">
      <formula>0</formula>
    </cfRule>
  </conditionalFormatting>
  <conditionalFormatting sqref="H10:H1048576">
    <cfRule type="cellIs" dxfId="2091" priority="4610" operator="lessThan">
      <formula>0</formula>
    </cfRule>
  </conditionalFormatting>
  <conditionalFormatting sqref="H10:H1048576">
    <cfRule type="cellIs" dxfId="2090" priority="4609" operator="lessThan">
      <formula>0</formula>
    </cfRule>
  </conditionalFormatting>
  <conditionalFormatting sqref="H10:H1048576">
    <cfRule type="cellIs" dxfId="2089" priority="4608" operator="lessThan">
      <formula>0</formula>
    </cfRule>
  </conditionalFormatting>
  <conditionalFormatting sqref="H10:H1048576">
    <cfRule type="cellIs" dxfId="2088" priority="4607" operator="lessThan">
      <formula>0</formula>
    </cfRule>
  </conditionalFormatting>
  <conditionalFormatting sqref="H10:H1048576">
    <cfRule type="cellIs" dxfId="2087" priority="4606" operator="lessThan">
      <formula>0</formula>
    </cfRule>
  </conditionalFormatting>
  <conditionalFormatting sqref="H10:H1048576">
    <cfRule type="cellIs" dxfId="2086" priority="4605" operator="lessThan">
      <formula>0</formula>
    </cfRule>
  </conditionalFormatting>
  <conditionalFormatting sqref="H10:H1048576">
    <cfRule type="cellIs" dxfId="2085" priority="4604" operator="lessThan">
      <formula>0</formula>
    </cfRule>
  </conditionalFormatting>
  <conditionalFormatting sqref="H10:H1048576">
    <cfRule type="cellIs" dxfId="2084" priority="4603" operator="lessThan">
      <formula>0</formula>
    </cfRule>
  </conditionalFormatting>
  <conditionalFormatting sqref="H10:H1048576">
    <cfRule type="cellIs" dxfId="2083" priority="4602" operator="lessThan">
      <formula>0</formula>
    </cfRule>
  </conditionalFormatting>
  <conditionalFormatting sqref="H10:H1048576">
    <cfRule type="cellIs" dxfId="2082" priority="4601" operator="lessThan">
      <formula>0</formula>
    </cfRule>
  </conditionalFormatting>
  <conditionalFormatting sqref="H10:H1048576">
    <cfRule type="cellIs" dxfId="2081" priority="4600" operator="lessThan">
      <formula>0</formula>
    </cfRule>
  </conditionalFormatting>
  <conditionalFormatting sqref="H10:H1048576">
    <cfRule type="cellIs" dxfId="2080" priority="4599" operator="lessThan">
      <formula>0</formula>
    </cfRule>
  </conditionalFormatting>
  <conditionalFormatting sqref="H10:H1048576">
    <cfRule type="cellIs" dxfId="2079" priority="4598" operator="lessThan">
      <formula>0</formula>
    </cfRule>
  </conditionalFormatting>
  <conditionalFormatting sqref="H10:H1048576">
    <cfRule type="cellIs" dxfId="2078" priority="4597" operator="lessThan">
      <formula>0</formula>
    </cfRule>
  </conditionalFormatting>
  <conditionalFormatting sqref="H10:H1048576">
    <cfRule type="cellIs" dxfId="2077" priority="4596" operator="lessThan">
      <formula>0</formula>
    </cfRule>
  </conditionalFormatting>
  <conditionalFormatting sqref="H10:H1048576">
    <cfRule type="cellIs" dxfId="2076" priority="4595" operator="lessThan">
      <formula>0</formula>
    </cfRule>
  </conditionalFormatting>
  <conditionalFormatting sqref="H10:H1048576">
    <cfRule type="cellIs" dxfId="2075" priority="4594" operator="lessThan">
      <formula>0</formula>
    </cfRule>
  </conditionalFormatting>
  <conditionalFormatting sqref="H10:H1048576">
    <cfRule type="cellIs" dxfId="2074" priority="4593" operator="lessThan">
      <formula>0</formula>
    </cfRule>
  </conditionalFormatting>
  <conditionalFormatting sqref="H10:H1048576">
    <cfRule type="cellIs" dxfId="2073" priority="4592" operator="lessThan">
      <formula>0</formula>
    </cfRule>
  </conditionalFormatting>
  <conditionalFormatting sqref="H10:H1048576">
    <cfRule type="cellIs" dxfId="2072" priority="4591" operator="lessThan">
      <formula>0</formula>
    </cfRule>
  </conditionalFormatting>
  <conditionalFormatting sqref="H10:H1048576">
    <cfRule type="cellIs" dxfId="2071" priority="4590" operator="lessThan">
      <formula>0</formula>
    </cfRule>
  </conditionalFormatting>
  <conditionalFormatting sqref="H10:H1048576">
    <cfRule type="cellIs" dxfId="2070" priority="4589" operator="lessThan">
      <formula>0</formula>
    </cfRule>
  </conditionalFormatting>
  <conditionalFormatting sqref="H10:H1048576">
    <cfRule type="cellIs" dxfId="2069" priority="4588" operator="lessThan">
      <formula>0</formula>
    </cfRule>
  </conditionalFormatting>
  <conditionalFormatting sqref="H10:H1048576">
    <cfRule type="cellIs" dxfId="2068" priority="4587" operator="lessThan">
      <formula>0</formula>
    </cfRule>
  </conditionalFormatting>
  <conditionalFormatting sqref="H10:H1048576">
    <cfRule type="cellIs" dxfId="2067" priority="4586" operator="lessThan">
      <formula>0</formula>
    </cfRule>
  </conditionalFormatting>
  <conditionalFormatting sqref="H10:H1048576">
    <cfRule type="cellIs" dxfId="2066" priority="4585" operator="lessThan">
      <formula>0</formula>
    </cfRule>
  </conditionalFormatting>
  <conditionalFormatting sqref="H10:H1048576">
    <cfRule type="cellIs" dxfId="2065" priority="4584" operator="lessThan">
      <formula>0</formula>
    </cfRule>
  </conditionalFormatting>
  <conditionalFormatting sqref="H10:H1048576">
    <cfRule type="cellIs" dxfId="2064" priority="4583" operator="lessThan">
      <formula>0</formula>
    </cfRule>
  </conditionalFormatting>
  <conditionalFormatting sqref="H10:H1048576">
    <cfRule type="cellIs" dxfId="2063" priority="4582" operator="lessThan">
      <formula>0</formula>
    </cfRule>
  </conditionalFormatting>
  <conditionalFormatting sqref="H10:H1048576">
    <cfRule type="cellIs" dxfId="2062" priority="4581" operator="lessThan">
      <formula>0</formula>
    </cfRule>
  </conditionalFormatting>
  <conditionalFormatting sqref="H10:H1048576">
    <cfRule type="cellIs" dxfId="2061" priority="4580" operator="lessThan">
      <formula>0</formula>
    </cfRule>
  </conditionalFormatting>
  <conditionalFormatting sqref="H10:H1048576">
    <cfRule type="cellIs" dxfId="2060" priority="4579" operator="lessThan">
      <formula>0</formula>
    </cfRule>
  </conditionalFormatting>
  <conditionalFormatting sqref="H10:H1048576">
    <cfRule type="cellIs" dxfId="2059" priority="4578" operator="lessThan">
      <formula>0</formula>
    </cfRule>
  </conditionalFormatting>
  <conditionalFormatting sqref="H10:H1048576">
    <cfRule type="cellIs" dxfId="2058" priority="4577" operator="lessThan">
      <formula>0</formula>
    </cfRule>
  </conditionalFormatting>
  <conditionalFormatting sqref="H10:H1048576">
    <cfRule type="cellIs" dxfId="2057" priority="4576" operator="lessThan">
      <formula>0</formula>
    </cfRule>
  </conditionalFormatting>
  <conditionalFormatting sqref="H10:H1048576">
    <cfRule type="cellIs" dxfId="2056" priority="4575" operator="lessThan">
      <formula>0</formula>
    </cfRule>
  </conditionalFormatting>
  <conditionalFormatting sqref="H10:H1048576">
    <cfRule type="cellIs" dxfId="2055" priority="4574" operator="lessThan">
      <formula>0</formula>
    </cfRule>
  </conditionalFormatting>
  <conditionalFormatting sqref="H10:H1048576">
    <cfRule type="cellIs" dxfId="2054" priority="4573" operator="lessThan">
      <formula>0</formula>
    </cfRule>
  </conditionalFormatting>
  <conditionalFormatting sqref="H10:H1048576">
    <cfRule type="cellIs" dxfId="2053" priority="4572" operator="lessThan">
      <formula>0</formula>
    </cfRule>
  </conditionalFormatting>
  <conditionalFormatting sqref="H10:H1048576">
    <cfRule type="cellIs" dxfId="2052" priority="4571" operator="lessThan">
      <formula>0</formula>
    </cfRule>
  </conditionalFormatting>
  <conditionalFormatting sqref="H10:H1048576">
    <cfRule type="cellIs" dxfId="2051" priority="4570" operator="lessThan">
      <formula>0</formula>
    </cfRule>
  </conditionalFormatting>
  <conditionalFormatting sqref="H10:H1048576">
    <cfRule type="cellIs" dxfId="2050" priority="4569" operator="lessThan">
      <formula>0</formula>
    </cfRule>
  </conditionalFormatting>
  <conditionalFormatting sqref="H10:H1048576">
    <cfRule type="cellIs" dxfId="2049" priority="4568" operator="lessThan">
      <formula>0</formula>
    </cfRule>
  </conditionalFormatting>
  <conditionalFormatting sqref="H10:H1048576">
    <cfRule type="cellIs" dxfId="2048" priority="4567" operator="lessThan">
      <formula>0</formula>
    </cfRule>
  </conditionalFormatting>
  <conditionalFormatting sqref="H10:H1048576">
    <cfRule type="cellIs" dxfId="2047" priority="4566" operator="lessThan">
      <formula>0</formula>
    </cfRule>
  </conditionalFormatting>
  <conditionalFormatting sqref="H10:H1048576">
    <cfRule type="cellIs" dxfId="2046" priority="4565" operator="lessThan">
      <formula>0</formula>
    </cfRule>
  </conditionalFormatting>
  <conditionalFormatting sqref="H10:H1048576">
    <cfRule type="cellIs" dxfId="2045" priority="4564" operator="lessThan">
      <formula>0</formula>
    </cfRule>
  </conditionalFormatting>
  <conditionalFormatting sqref="H10:H1048576">
    <cfRule type="cellIs" dxfId="2044" priority="4563" operator="lessThan">
      <formula>0</formula>
    </cfRule>
  </conditionalFormatting>
  <conditionalFormatting sqref="H10:H1048576">
    <cfRule type="cellIs" dxfId="2043" priority="4562" operator="lessThan">
      <formula>0</formula>
    </cfRule>
  </conditionalFormatting>
  <conditionalFormatting sqref="H10:H1048576">
    <cfRule type="cellIs" dxfId="2042" priority="4561" operator="lessThan">
      <formula>0</formula>
    </cfRule>
  </conditionalFormatting>
  <conditionalFormatting sqref="H10:H1048576">
    <cfRule type="cellIs" dxfId="2041" priority="4560" operator="lessThan">
      <formula>0</formula>
    </cfRule>
  </conditionalFormatting>
  <conditionalFormatting sqref="H10:H1048576">
    <cfRule type="cellIs" dxfId="2040" priority="4559" operator="lessThan">
      <formula>0</formula>
    </cfRule>
  </conditionalFormatting>
  <conditionalFormatting sqref="H10:H1048576">
    <cfRule type="cellIs" dxfId="2039" priority="4558" operator="lessThan">
      <formula>0</formula>
    </cfRule>
  </conditionalFormatting>
  <conditionalFormatting sqref="H10:H1048576">
    <cfRule type="cellIs" dxfId="2038" priority="4557" operator="lessThan">
      <formula>0</formula>
    </cfRule>
  </conditionalFormatting>
  <conditionalFormatting sqref="H10:H1048576">
    <cfRule type="cellIs" dxfId="2037" priority="4556" operator="lessThan">
      <formula>0</formula>
    </cfRule>
  </conditionalFormatting>
  <conditionalFormatting sqref="H10:H1048576">
    <cfRule type="cellIs" dxfId="2036" priority="4555" operator="lessThan">
      <formula>0</formula>
    </cfRule>
  </conditionalFormatting>
  <conditionalFormatting sqref="H10:H1048576">
    <cfRule type="cellIs" dxfId="2035" priority="4554" operator="lessThan">
      <formula>0</formula>
    </cfRule>
  </conditionalFormatting>
  <conditionalFormatting sqref="H10:H1048576">
    <cfRule type="cellIs" dxfId="2034" priority="4553" operator="lessThan">
      <formula>0</formula>
    </cfRule>
  </conditionalFormatting>
  <conditionalFormatting sqref="H10:H1048576">
    <cfRule type="cellIs" dxfId="2033" priority="4552" operator="lessThan">
      <formula>0</formula>
    </cfRule>
  </conditionalFormatting>
  <conditionalFormatting sqref="H10:H1048576">
    <cfRule type="cellIs" dxfId="2032" priority="4551" operator="lessThan">
      <formula>0</formula>
    </cfRule>
  </conditionalFormatting>
  <conditionalFormatting sqref="H10:H1048576">
    <cfRule type="cellIs" dxfId="2031" priority="4550" operator="lessThan">
      <formula>0</formula>
    </cfRule>
  </conditionalFormatting>
  <conditionalFormatting sqref="H10:H1048576">
    <cfRule type="cellIs" dxfId="2030" priority="4549" operator="lessThan">
      <formula>0</formula>
    </cfRule>
  </conditionalFormatting>
  <conditionalFormatting sqref="H10:H1048576">
    <cfRule type="cellIs" dxfId="2029" priority="4548" operator="lessThan">
      <formula>0</formula>
    </cfRule>
  </conditionalFormatting>
  <conditionalFormatting sqref="H10:H1048576">
    <cfRule type="cellIs" dxfId="2028" priority="4547" operator="lessThan">
      <formula>0</formula>
    </cfRule>
  </conditionalFormatting>
  <conditionalFormatting sqref="H10:H1048576">
    <cfRule type="cellIs" dxfId="2027" priority="4546" operator="lessThan">
      <formula>0</formula>
    </cfRule>
  </conditionalFormatting>
  <conditionalFormatting sqref="H10:H1048576">
    <cfRule type="cellIs" dxfId="2026" priority="4545" operator="lessThan">
      <formula>0</formula>
    </cfRule>
  </conditionalFormatting>
  <conditionalFormatting sqref="H10:H1048576">
    <cfRule type="cellIs" dxfId="2025" priority="4544" operator="lessThan">
      <formula>0</formula>
    </cfRule>
  </conditionalFormatting>
  <conditionalFormatting sqref="H10:H1048576">
    <cfRule type="cellIs" dxfId="2024" priority="4543" operator="lessThan">
      <formula>0</formula>
    </cfRule>
  </conditionalFormatting>
  <conditionalFormatting sqref="H10:H1048576">
    <cfRule type="cellIs" dxfId="2023" priority="4542" operator="lessThan">
      <formula>0</formula>
    </cfRule>
  </conditionalFormatting>
  <conditionalFormatting sqref="H10:H1048576">
    <cfRule type="cellIs" dxfId="2022" priority="4541" operator="lessThan">
      <formula>0</formula>
    </cfRule>
  </conditionalFormatting>
  <conditionalFormatting sqref="H10:H1048576">
    <cfRule type="cellIs" dxfId="2021" priority="4540" operator="lessThan">
      <formula>0</formula>
    </cfRule>
  </conditionalFormatting>
  <conditionalFormatting sqref="H10:H1048576">
    <cfRule type="cellIs" dxfId="2020" priority="4539" operator="lessThan">
      <formula>0</formula>
    </cfRule>
  </conditionalFormatting>
  <conditionalFormatting sqref="H10:H1048576">
    <cfRule type="cellIs" dxfId="2019" priority="4538" operator="lessThan">
      <formula>0</formula>
    </cfRule>
  </conditionalFormatting>
  <conditionalFormatting sqref="H10:H1048576">
    <cfRule type="cellIs" dxfId="2018" priority="4537" operator="lessThan">
      <formula>0</formula>
    </cfRule>
  </conditionalFormatting>
  <conditionalFormatting sqref="H10:H1048576">
    <cfRule type="cellIs" dxfId="2017" priority="4536" operator="lessThan">
      <formula>0</formula>
    </cfRule>
  </conditionalFormatting>
  <conditionalFormatting sqref="H10:H1048576">
    <cfRule type="cellIs" dxfId="2016" priority="4535" operator="lessThan">
      <formula>0</formula>
    </cfRule>
  </conditionalFormatting>
  <conditionalFormatting sqref="H1:H1048576">
    <cfRule type="cellIs" dxfId="2015" priority="4534" operator="lessThan">
      <formula>0</formula>
    </cfRule>
  </conditionalFormatting>
  <conditionalFormatting sqref="H1:H1048576">
    <cfRule type="cellIs" dxfId="2014" priority="4533" operator="lessThan">
      <formula>0</formula>
    </cfRule>
  </conditionalFormatting>
  <conditionalFormatting sqref="H1:H1048576">
    <cfRule type="cellIs" dxfId="2013" priority="4532" operator="lessThan">
      <formula>0</formula>
    </cfRule>
  </conditionalFormatting>
  <conditionalFormatting sqref="H1:H1048576">
    <cfRule type="cellIs" dxfId="2012" priority="4531" operator="lessThan">
      <formula>0</formula>
    </cfRule>
  </conditionalFormatting>
  <conditionalFormatting sqref="H1:H1048576">
    <cfRule type="cellIs" dxfId="2011" priority="4530" operator="lessThan">
      <formula>0</formula>
    </cfRule>
  </conditionalFormatting>
  <conditionalFormatting sqref="H1:H1048576">
    <cfRule type="cellIs" dxfId="2010" priority="4529" operator="lessThan">
      <formula>0</formula>
    </cfRule>
  </conditionalFormatting>
  <conditionalFormatting sqref="H1:H1048576">
    <cfRule type="cellIs" dxfId="2009" priority="4528" operator="lessThan">
      <formula>0</formula>
    </cfRule>
  </conditionalFormatting>
  <conditionalFormatting sqref="H1:H1048576">
    <cfRule type="cellIs" dxfId="2008" priority="4527" operator="lessThan">
      <formula>0</formula>
    </cfRule>
  </conditionalFormatting>
  <conditionalFormatting sqref="H1:H1048576">
    <cfRule type="cellIs" dxfId="2007" priority="4526" operator="lessThan">
      <formula>0</formula>
    </cfRule>
  </conditionalFormatting>
  <conditionalFormatting sqref="H1:H1048576">
    <cfRule type="cellIs" dxfId="2006" priority="4525" operator="lessThan">
      <formula>0</formula>
    </cfRule>
  </conditionalFormatting>
  <conditionalFormatting sqref="H1:H1048576">
    <cfRule type="cellIs" dxfId="2005" priority="4524" operator="lessThan">
      <formula>0</formula>
    </cfRule>
  </conditionalFormatting>
  <conditionalFormatting sqref="H1:H1048576">
    <cfRule type="cellIs" dxfId="2004" priority="4523" operator="lessThan">
      <formula>0</formula>
    </cfRule>
  </conditionalFormatting>
  <conditionalFormatting sqref="H1:H1048576">
    <cfRule type="cellIs" dxfId="2003" priority="4522" operator="lessThan">
      <formula>0</formula>
    </cfRule>
  </conditionalFormatting>
  <conditionalFormatting sqref="H1:H1048576">
    <cfRule type="cellIs" dxfId="2002" priority="4521" operator="lessThan">
      <formula>0</formula>
    </cfRule>
  </conditionalFormatting>
  <conditionalFormatting sqref="H1:H1048576">
    <cfRule type="cellIs" dxfId="2001" priority="4520" operator="lessThan">
      <formula>0</formula>
    </cfRule>
  </conditionalFormatting>
  <conditionalFormatting sqref="H1:H1048576">
    <cfRule type="cellIs" dxfId="2000" priority="4519" operator="lessThan">
      <formula>0</formula>
    </cfRule>
  </conditionalFormatting>
  <conditionalFormatting sqref="H1:H1048576">
    <cfRule type="cellIs" dxfId="1999" priority="4518" operator="lessThan">
      <formula>0</formula>
    </cfRule>
  </conditionalFormatting>
  <conditionalFormatting sqref="H1:H1048576">
    <cfRule type="cellIs" dxfId="1998" priority="4517" operator="lessThan">
      <formula>0</formula>
    </cfRule>
  </conditionalFormatting>
  <conditionalFormatting sqref="H1:H1048576">
    <cfRule type="cellIs" dxfId="1997" priority="4516" operator="lessThan">
      <formula>0</formula>
    </cfRule>
  </conditionalFormatting>
  <conditionalFormatting sqref="H1:H1048576">
    <cfRule type="cellIs" dxfId="1996" priority="4515" operator="lessThan">
      <formula>0</formula>
    </cfRule>
  </conditionalFormatting>
  <conditionalFormatting sqref="H1:H1048576">
    <cfRule type="cellIs" dxfId="1995" priority="4514" operator="lessThan">
      <formula>0</formula>
    </cfRule>
  </conditionalFormatting>
  <conditionalFormatting sqref="H1:H1048576">
    <cfRule type="cellIs" dxfId="1994" priority="4513" operator="lessThan">
      <formula>0</formula>
    </cfRule>
  </conditionalFormatting>
  <conditionalFormatting sqref="H1:H1048576">
    <cfRule type="cellIs" dxfId="1993" priority="4512" operator="lessThan">
      <formula>0</formula>
    </cfRule>
  </conditionalFormatting>
  <conditionalFormatting sqref="H1:H1048576">
    <cfRule type="cellIs" dxfId="1992" priority="4511" operator="lessThan">
      <formula>0</formula>
    </cfRule>
  </conditionalFormatting>
  <conditionalFormatting sqref="H1:H1048576">
    <cfRule type="cellIs" dxfId="1991" priority="4510" operator="lessThan">
      <formula>0</formula>
    </cfRule>
  </conditionalFormatting>
  <conditionalFormatting sqref="H1:H1048576">
    <cfRule type="cellIs" dxfId="1990" priority="4509" operator="lessThan">
      <formula>0</formula>
    </cfRule>
  </conditionalFormatting>
  <conditionalFormatting sqref="H1:H1048576">
    <cfRule type="cellIs" dxfId="1989" priority="4508" operator="lessThan">
      <formula>0</formula>
    </cfRule>
  </conditionalFormatting>
  <conditionalFormatting sqref="H1:H1048576">
    <cfRule type="cellIs" dxfId="1988" priority="4507" operator="lessThan">
      <formula>0</formula>
    </cfRule>
  </conditionalFormatting>
  <conditionalFormatting sqref="H1:H1048576">
    <cfRule type="cellIs" dxfId="1987" priority="4506" operator="lessThan">
      <formula>0</formula>
    </cfRule>
  </conditionalFormatting>
  <conditionalFormatting sqref="H1:H1048576">
    <cfRule type="cellIs" dxfId="1986" priority="4505" operator="lessThan">
      <formula>0</formula>
    </cfRule>
  </conditionalFormatting>
  <conditionalFormatting sqref="H1:H1048576">
    <cfRule type="cellIs" dxfId="1985" priority="4504" operator="lessThan">
      <formula>0</formula>
    </cfRule>
  </conditionalFormatting>
  <conditionalFormatting sqref="H1:H1048576">
    <cfRule type="cellIs" dxfId="1984" priority="4503" operator="lessThan">
      <formula>0</formula>
    </cfRule>
  </conditionalFormatting>
  <conditionalFormatting sqref="H1:H1048576">
    <cfRule type="cellIs" dxfId="1983" priority="4502" operator="lessThan">
      <formula>0</formula>
    </cfRule>
  </conditionalFormatting>
  <conditionalFormatting sqref="H1:H1048576">
    <cfRule type="cellIs" dxfId="1982" priority="4501" operator="lessThan">
      <formula>0</formula>
    </cfRule>
  </conditionalFormatting>
  <conditionalFormatting sqref="H1:H1048576">
    <cfRule type="cellIs" dxfId="1981" priority="4500" operator="lessThan">
      <formula>0</formula>
    </cfRule>
  </conditionalFormatting>
  <conditionalFormatting sqref="H1:H1048576">
    <cfRule type="cellIs" dxfId="1980" priority="4499" operator="lessThan">
      <formula>0</formula>
    </cfRule>
  </conditionalFormatting>
  <conditionalFormatting sqref="H1:H1048576">
    <cfRule type="cellIs" dxfId="1979" priority="4498" operator="lessThan">
      <formula>0</formula>
    </cfRule>
  </conditionalFormatting>
  <conditionalFormatting sqref="H1:H1048576">
    <cfRule type="cellIs" dxfId="1978" priority="4497" operator="lessThan">
      <formula>0</formula>
    </cfRule>
  </conditionalFormatting>
  <conditionalFormatting sqref="H1:H1048576">
    <cfRule type="cellIs" dxfId="1977" priority="4496" operator="lessThan">
      <formula>0</formula>
    </cfRule>
  </conditionalFormatting>
  <conditionalFormatting sqref="H1:H1048576">
    <cfRule type="cellIs" dxfId="1976" priority="4495" operator="lessThan">
      <formula>0</formula>
    </cfRule>
  </conditionalFormatting>
  <conditionalFormatting sqref="H1:H1048576">
    <cfRule type="cellIs" dxfId="1975" priority="4494" operator="lessThan">
      <formula>0</formula>
    </cfRule>
  </conditionalFormatting>
  <conditionalFormatting sqref="H1:H1048576">
    <cfRule type="cellIs" dxfId="1974" priority="4493" operator="lessThan">
      <formula>0</formula>
    </cfRule>
  </conditionalFormatting>
  <conditionalFormatting sqref="H1:H1048576">
    <cfRule type="cellIs" dxfId="1973" priority="4492" operator="lessThan">
      <formula>0</formula>
    </cfRule>
  </conditionalFormatting>
  <conditionalFormatting sqref="H1:H1048576">
    <cfRule type="cellIs" dxfId="1972" priority="4491" operator="lessThan">
      <formula>0</formula>
    </cfRule>
  </conditionalFormatting>
  <conditionalFormatting sqref="H1:H1048576">
    <cfRule type="cellIs" dxfId="1971" priority="4490" operator="lessThan">
      <formula>0</formula>
    </cfRule>
  </conditionalFormatting>
  <conditionalFormatting sqref="H1:H1048576">
    <cfRule type="cellIs" dxfId="1970" priority="4489" operator="lessThan">
      <formula>0</formula>
    </cfRule>
  </conditionalFormatting>
  <conditionalFormatting sqref="H1:H1048576">
    <cfRule type="cellIs" dxfId="1969" priority="4488" operator="lessThan">
      <formula>0</formula>
    </cfRule>
  </conditionalFormatting>
  <conditionalFormatting sqref="H1:H1048576">
    <cfRule type="cellIs" dxfId="1968" priority="4487" operator="lessThan">
      <formula>0</formula>
    </cfRule>
  </conditionalFormatting>
  <conditionalFormatting sqref="H1:H1048576">
    <cfRule type="cellIs" dxfId="1967" priority="4486" operator="lessThan">
      <formula>0</formula>
    </cfRule>
  </conditionalFormatting>
  <conditionalFormatting sqref="H1:H1048576">
    <cfRule type="cellIs" dxfId="1966" priority="4485" operator="lessThan">
      <formula>0</formula>
    </cfRule>
  </conditionalFormatting>
  <conditionalFormatting sqref="H1:H1048576">
    <cfRule type="cellIs" dxfId="1965" priority="4484" operator="lessThan">
      <formula>0</formula>
    </cfRule>
  </conditionalFormatting>
  <conditionalFormatting sqref="H1:H1048576">
    <cfRule type="cellIs" dxfId="1964" priority="4483" operator="lessThan">
      <formula>0</formula>
    </cfRule>
  </conditionalFormatting>
  <conditionalFormatting sqref="H1:H1048576">
    <cfRule type="cellIs" dxfId="1963" priority="4482" operator="lessThan">
      <formula>0</formula>
    </cfRule>
  </conditionalFormatting>
  <conditionalFormatting sqref="H1:H1048576">
    <cfRule type="cellIs" dxfId="1962" priority="4481" operator="lessThan">
      <formula>0</formula>
    </cfRule>
  </conditionalFormatting>
  <conditionalFormatting sqref="H1:H1048576">
    <cfRule type="cellIs" dxfId="1961" priority="4480" operator="lessThan">
      <formula>0</formula>
    </cfRule>
  </conditionalFormatting>
  <conditionalFormatting sqref="H1:H1048576">
    <cfRule type="cellIs" dxfId="1960" priority="4479" operator="lessThan">
      <formula>0</formula>
    </cfRule>
  </conditionalFormatting>
  <conditionalFormatting sqref="H1:H1048576">
    <cfRule type="cellIs" dxfId="1959" priority="4478" operator="lessThan">
      <formula>0</formula>
    </cfRule>
  </conditionalFormatting>
  <conditionalFormatting sqref="H1:H1048576">
    <cfRule type="cellIs" dxfId="1958" priority="4477" operator="lessThan">
      <formula>0</formula>
    </cfRule>
  </conditionalFormatting>
  <conditionalFormatting sqref="H1:H1048576">
    <cfRule type="cellIs" dxfId="1957" priority="4476" operator="lessThan">
      <formula>0</formula>
    </cfRule>
  </conditionalFormatting>
  <conditionalFormatting sqref="H1:H1048576">
    <cfRule type="cellIs" dxfId="1956" priority="4475" operator="lessThan">
      <formula>0</formula>
    </cfRule>
  </conditionalFormatting>
  <conditionalFormatting sqref="H1:H1048576">
    <cfRule type="cellIs" dxfId="1955" priority="4474" operator="lessThan">
      <formula>0</formula>
    </cfRule>
  </conditionalFormatting>
  <conditionalFormatting sqref="H1:H1048576">
    <cfRule type="cellIs" dxfId="1954" priority="4473" operator="lessThan">
      <formula>0</formula>
    </cfRule>
  </conditionalFormatting>
  <conditionalFormatting sqref="H1:H1048576">
    <cfRule type="cellIs" dxfId="1953" priority="4472" operator="lessThan">
      <formula>0</formula>
    </cfRule>
  </conditionalFormatting>
  <conditionalFormatting sqref="H1:H1048576">
    <cfRule type="cellIs" dxfId="1952" priority="4471" operator="lessThan">
      <formula>0</formula>
    </cfRule>
  </conditionalFormatting>
  <conditionalFormatting sqref="H1:H1048576">
    <cfRule type="cellIs" dxfId="1951" priority="4470" operator="lessThan">
      <formula>0</formula>
    </cfRule>
  </conditionalFormatting>
  <conditionalFormatting sqref="H1:H1048576">
    <cfRule type="cellIs" dxfId="1950" priority="4469" operator="lessThan">
      <formula>0</formula>
    </cfRule>
  </conditionalFormatting>
  <conditionalFormatting sqref="H1:H1048576">
    <cfRule type="cellIs" dxfId="1949" priority="4468" operator="lessThan">
      <formula>0</formula>
    </cfRule>
  </conditionalFormatting>
  <conditionalFormatting sqref="H1:H1048576">
    <cfRule type="cellIs" dxfId="1948" priority="4467" operator="lessThan">
      <formula>0</formula>
    </cfRule>
  </conditionalFormatting>
  <conditionalFormatting sqref="H1:H1048576">
    <cfRule type="cellIs" dxfId="1947" priority="4466" operator="lessThan">
      <formula>0</formula>
    </cfRule>
  </conditionalFormatting>
  <conditionalFormatting sqref="H1:H1048576">
    <cfRule type="cellIs" dxfId="1946" priority="4465" operator="lessThan">
      <formula>0</formula>
    </cfRule>
  </conditionalFormatting>
  <conditionalFormatting sqref="H1:H1048576">
    <cfRule type="cellIs" dxfId="1945" priority="4464" operator="lessThan">
      <formula>0</formula>
    </cfRule>
  </conditionalFormatting>
  <conditionalFormatting sqref="H1:H1048576">
    <cfRule type="cellIs" dxfId="1944" priority="4463" operator="lessThan">
      <formula>0</formula>
    </cfRule>
  </conditionalFormatting>
  <conditionalFormatting sqref="H1:H1048576">
    <cfRule type="cellIs" dxfId="1943" priority="4462" operator="lessThan">
      <formula>0</formula>
    </cfRule>
  </conditionalFormatting>
  <conditionalFormatting sqref="H1:H1048576">
    <cfRule type="cellIs" dxfId="1942" priority="4461" operator="lessThan">
      <formula>0</formula>
    </cfRule>
  </conditionalFormatting>
  <conditionalFormatting sqref="H1:H1048576">
    <cfRule type="cellIs" dxfId="1941" priority="4460" operator="lessThan">
      <formula>0</formula>
    </cfRule>
  </conditionalFormatting>
  <conditionalFormatting sqref="H1:H1048576">
    <cfRule type="cellIs" dxfId="1940" priority="4459" operator="lessThan">
      <formula>0</formula>
    </cfRule>
  </conditionalFormatting>
  <conditionalFormatting sqref="H1:H1048576">
    <cfRule type="cellIs" dxfId="1939" priority="4458" operator="lessThan">
      <formula>0</formula>
    </cfRule>
  </conditionalFormatting>
  <conditionalFormatting sqref="H1:H1048576">
    <cfRule type="cellIs" dxfId="1938" priority="4457" operator="lessThan">
      <formula>0</formula>
    </cfRule>
  </conditionalFormatting>
  <conditionalFormatting sqref="H1:H1048576">
    <cfRule type="cellIs" dxfId="1937" priority="4456" operator="lessThan">
      <formula>0</formula>
    </cfRule>
  </conditionalFormatting>
  <conditionalFormatting sqref="H1:H1048576">
    <cfRule type="cellIs" dxfId="1936" priority="4455" operator="lessThan">
      <formula>0</formula>
    </cfRule>
  </conditionalFormatting>
  <conditionalFormatting sqref="H1:H1048576">
    <cfRule type="cellIs" dxfId="1935" priority="4454" operator="lessThan">
      <formula>0</formula>
    </cfRule>
  </conditionalFormatting>
  <conditionalFormatting sqref="H1:H1048576">
    <cfRule type="cellIs" dxfId="1934" priority="4453" operator="lessThan">
      <formula>0</formula>
    </cfRule>
  </conditionalFormatting>
  <conditionalFormatting sqref="H1:H1048576">
    <cfRule type="cellIs" dxfId="1933" priority="4452" operator="lessThan">
      <formula>0</formula>
    </cfRule>
  </conditionalFormatting>
  <conditionalFormatting sqref="H1:H1048576">
    <cfRule type="cellIs" dxfId="1932" priority="4451" operator="lessThan">
      <formula>0</formula>
    </cfRule>
  </conditionalFormatting>
  <conditionalFormatting sqref="H1:H1048576">
    <cfRule type="cellIs" dxfId="1931" priority="4450" operator="lessThan">
      <formula>0</formula>
    </cfRule>
  </conditionalFormatting>
  <conditionalFormatting sqref="H1:H1048576">
    <cfRule type="cellIs" dxfId="1930" priority="4449" operator="lessThan">
      <formula>0</formula>
    </cfRule>
  </conditionalFormatting>
  <conditionalFormatting sqref="H1:H1048576">
    <cfRule type="cellIs" dxfId="1929" priority="4448" operator="lessThan">
      <formula>0</formula>
    </cfRule>
  </conditionalFormatting>
  <conditionalFormatting sqref="H1:H1048576">
    <cfRule type="cellIs" dxfId="1928" priority="4447" operator="lessThan">
      <formula>0</formula>
    </cfRule>
  </conditionalFormatting>
  <conditionalFormatting sqref="H1:H1048576">
    <cfRule type="cellIs" dxfId="1927" priority="4446" operator="lessThan">
      <formula>0</formula>
    </cfRule>
  </conditionalFormatting>
  <conditionalFormatting sqref="H1:H1048576">
    <cfRule type="cellIs" dxfId="1926" priority="4445" operator="lessThan">
      <formula>0</formula>
    </cfRule>
  </conditionalFormatting>
  <conditionalFormatting sqref="H1:H1048576">
    <cfRule type="cellIs" dxfId="1925" priority="4444" operator="lessThan">
      <formula>0</formula>
    </cfRule>
  </conditionalFormatting>
  <conditionalFormatting sqref="H1:H1048576">
    <cfRule type="cellIs" dxfId="1924" priority="4443" operator="lessThan">
      <formula>0</formula>
    </cfRule>
  </conditionalFormatting>
  <conditionalFormatting sqref="H1:H1048576">
    <cfRule type="cellIs" dxfId="1923" priority="4442" operator="lessThan">
      <formula>0</formula>
    </cfRule>
  </conditionalFormatting>
  <conditionalFormatting sqref="H1:H1048576">
    <cfRule type="cellIs" dxfId="1922" priority="4441" operator="lessThan">
      <formula>0</formula>
    </cfRule>
  </conditionalFormatting>
  <conditionalFormatting sqref="H1:H1048576">
    <cfRule type="cellIs" dxfId="1921" priority="4440" operator="lessThan">
      <formula>0</formula>
    </cfRule>
  </conditionalFormatting>
  <conditionalFormatting sqref="H1:H1048576">
    <cfRule type="cellIs" dxfId="1920" priority="4439" operator="lessThan">
      <formula>0</formula>
    </cfRule>
  </conditionalFormatting>
  <conditionalFormatting sqref="H1:H1048576">
    <cfRule type="cellIs" dxfId="1919" priority="4438" operator="lessThan">
      <formula>0</formula>
    </cfRule>
  </conditionalFormatting>
  <conditionalFormatting sqref="H1:H1048576">
    <cfRule type="cellIs" dxfId="1918" priority="4437" operator="lessThan">
      <formula>0</formula>
    </cfRule>
  </conditionalFormatting>
  <conditionalFormatting sqref="H1:H1048576">
    <cfRule type="cellIs" dxfId="1917" priority="4436" operator="lessThan">
      <formula>0</formula>
    </cfRule>
  </conditionalFormatting>
  <conditionalFormatting sqref="H1:H1048576">
    <cfRule type="cellIs" dxfId="1916" priority="4435" operator="lessThan">
      <formula>0</formula>
    </cfRule>
  </conditionalFormatting>
  <conditionalFormatting sqref="H1:H1048576">
    <cfRule type="cellIs" dxfId="1915" priority="4434" operator="lessThan">
      <formula>0</formula>
    </cfRule>
  </conditionalFormatting>
  <conditionalFormatting sqref="H1:H1048576">
    <cfRule type="cellIs" dxfId="1914" priority="4433" operator="lessThan">
      <formula>0</formula>
    </cfRule>
  </conditionalFormatting>
  <conditionalFormatting sqref="H1:H1048576">
    <cfRule type="cellIs" dxfId="1913" priority="4432" operator="lessThan">
      <formula>0</formula>
    </cfRule>
  </conditionalFormatting>
  <conditionalFormatting sqref="H1:H1048576">
    <cfRule type="cellIs" dxfId="1912" priority="4431" operator="lessThan">
      <formula>0</formula>
    </cfRule>
  </conditionalFormatting>
  <conditionalFormatting sqref="H1:H1048576">
    <cfRule type="cellIs" dxfId="1911" priority="4430" operator="lessThan">
      <formula>0</formula>
    </cfRule>
  </conditionalFormatting>
  <conditionalFormatting sqref="H1:H1048576">
    <cfRule type="cellIs" dxfId="1910" priority="4429" operator="lessThan">
      <formula>0</formula>
    </cfRule>
  </conditionalFormatting>
  <conditionalFormatting sqref="H1:H1048576">
    <cfRule type="cellIs" dxfId="1909" priority="4428" operator="lessThan">
      <formula>0</formula>
    </cfRule>
  </conditionalFormatting>
  <conditionalFormatting sqref="H1:H1048576">
    <cfRule type="cellIs" dxfId="1908" priority="4427" operator="lessThan">
      <formula>0</formula>
    </cfRule>
  </conditionalFormatting>
  <conditionalFormatting sqref="H1:H1048576">
    <cfRule type="cellIs" dxfId="1907" priority="4426" operator="lessThan">
      <formula>0</formula>
    </cfRule>
  </conditionalFormatting>
  <conditionalFormatting sqref="H1:H1048576">
    <cfRule type="cellIs" dxfId="1906" priority="4425" operator="lessThan">
      <formula>0</formula>
    </cfRule>
  </conditionalFormatting>
  <conditionalFormatting sqref="H1:H1048576">
    <cfRule type="cellIs" dxfId="1905" priority="4424" operator="lessThan">
      <formula>0</formula>
    </cfRule>
  </conditionalFormatting>
  <conditionalFormatting sqref="H1:H1048576">
    <cfRule type="cellIs" dxfId="1904" priority="4423" operator="lessThan">
      <formula>0</formula>
    </cfRule>
  </conditionalFormatting>
  <conditionalFormatting sqref="H1:H1048576">
    <cfRule type="cellIs" dxfId="1903" priority="4422" operator="lessThan">
      <formula>0</formula>
    </cfRule>
  </conditionalFormatting>
  <conditionalFormatting sqref="H1:H1048576">
    <cfRule type="cellIs" dxfId="1902" priority="4421" operator="lessThan">
      <formula>0</formula>
    </cfRule>
  </conditionalFormatting>
  <conditionalFormatting sqref="H1:H1048576">
    <cfRule type="cellIs" dxfId="1901" priority="4420" operator="lessThan">
      <formula>0</formula>
    </cfRule>
  </conditionalFormatting>
  <conditionalFormatting sqref="H1:H1048576">
    <cfRule type="cellIs" dxfId="1900" priority="4419" operator="lessThan">
      <formula>0</formula>
    </cfRule>
  </conditionalFormatting>
  <conditionalFormatting sqref="H1:H1048576">
    <cfRule type="cellIs" dxfId="1899" priority="4418" operator="lessThan">
      <formula>0</formula>
    </cfRule>
  </conditionalFormatting>
  <conditionalFormatting sqref="H1:H1048576">
    <cfRule type="cellIs" dxfId="1898" priority="4417" operator="lessThan">
      <formula>0</formula>
    </cfRule>
  </conditionalFormatting>
  <conditionalFormatting sqref="H1:H1048576">
    <cfRule type="cellIs" dxfId="1897" priority="4416" operator="lessThan">
      <formula>0</formula>
    </cfRule>
  </conditionalFormatting>
  <conditionalFormatting sqref="H1:H1048576">
    <cfRule type="cellIs" dxfId="1896" priority="4415" operator="lessThan">
      <formula>0</formula>
    </cfRule>
  </conditionalFormatting>
  <conditionalFormatting sqref="H1:H1048576">
    <cfRule type="cellIs" dxfId="1895" priority="4414" operator="lessThan">
      <formula>0</formula>
    </cfRule>
  </conditionalFormatting>
  <conditionalFormatting sqref="H1:H1048576">
    <cfRule type="cellIs" dxfId="1894" priority="4413" operator="lessThan">
      <formula>0</formula>
    </cfRule>
  </conditionalFormatting>
  <conditionalFormatting sqref="H1:H1048576">
    <cfRule type="cellIs" dxfId="1893" priority="4412" operator="lessThan">
      <formula>0</formula>
    </cfRule>
  </conditionalFormatting>
  <conditionalFormatting sqref="H1:H1048576">
    <cfRule type="cellIs" dxfId="1892" priority="4411" operator="lessThan">
      <formula>0</formula>
    </cfRule>
  </conditionalFormatting>
  <conditionalFormatting sqref="H1:H1048576">
    <cfRule type="cellIs" dxfId="1891" priority="4410" operator="lessThan">
      <formula>0</formula>
    </cfRule>
  </conditionalFormatting>
  <conditionalFormatting sqref="H1:H1048576">
    <cfRule type="cellIs" dxfId="1890" priority="4409" operator="lessThan">
      <formula>0</formula>
    </cfRule>
  </conditionalFormatting>
  <conditionalFormatting sqref="H1:H1048576">
    <cfRule type="cellIs" dxfId="1889" priority="4408" operator="lessThan">
      <formula>0</formula>
    </cfRule>
  </conditionalFormatting>
  <conditionalFormatting sqref="H1:H1048576">
    <cfRule type="cellIs" dxfId="1888" priority="4407" operator="lessThan">
      <formula>0</formula>
    </cfRule>
  </conditionalFormatting>
  <conditionalFormatting sqref="H1:H1048576">
    <cfRule type="cellIs" dxfId="1887" priority="4406" operator="lessThan">
      <formula>0</formula>
    </cfRule>
  </conditionalFormatting>
  <conditionalFormatting sqref="H1:H1048576">
    <cfRule type="cellIs" dxfId="1886" priority="4405" operator="lessThan">
      <formula>0</formula>
    </cfRule>
  </conditionalFormatting>
  <conditionalFormatting sqref="H1:H1048576">
    <cfRule type="cellIs" dxfId="1885" priority="4404" operator="lessThan">
      <formula>0</formula>
    </cfRule>
  </conditionalFormatting>
  <conditionalFormatting sqref="H1:H1048576">
    <cfRule type="cellIs" dxfId="1884" priority="4403" operator="lessThan">
      <formula>0</formula>
    </cfRule>
  </conditionalFormatting>
  <conditionalFormatting sqref="H1:H1048576">
    <cfRule type="cellIs" dxfId="1883" priority="4402" operator="lessThan">
      <formula>0</formula>
    </cfRule>
  </conditionalFormatting>
  <conditionalFormatting sqref="H1:H1048576">
    <cfRule type="cellIs" dxfId="1882" priority="4401" operator="lessThan">
      <formula>0</formula>
    </cfRule>
  </conditionalFormatting>
  <conditionalFormatting sqref="H1:H1048576">
    <cfRule type="cellIs" dxfId="1881" priority="4400" operator="lessThan">
      <formula>0</formula>
    </cfRule>
  </conditionalFormatting>
  <conditionalFormatting sqref="H1:H1048576">
    <cfRule type="cellIs" dxfId="1880" priority="4399" operator="lessThan">
      <formula>0</formula>
    </cfRule>
  </conditionalFormatting>
  <conditionalFormatting sqref="H1:H1048576">
    <cfRule type="cellIs" dxfId="1879" priority="4398" operator="lessThan">
      <formula>0</formula>
    </cfRule>
  </conditionalFormatting>
  <conditionalFormatting sqref="H1:H1048576">
    <cfRule type="cellIs" dxfId="1878" priority="4397" operator="lessThan">
      <formula>0</formula>
    </cfRule>
  </conditionalFormatting>
  <conditionalFormatting sqref="H1:H1048576">
    <cfRule type="cellIs" dxfId="1877" priority="4396" operator="lessThan">
      <formula>0</formula>
    </cfRule>
  </conditionalFormatting>
  <conditionalFormatting sqref="H1:H1048576">
    <cfRule type="cellIs" dxfId="1876" priority="4395" operator="lessThan">
      <formula>0</formula>
    </cfRule>
  </conditionalFormatting>
  <conditionalFormatting sqref="H1:H1048576">
    <cfRule type="cellIs" dxfId="1875" priority="4394" operator="lessThan">
      <formula>0</formula>
    </cfRule>
  </conditionalFormatting>
  <conditionalFormatting sqref="H1:H1048576">
    <cfRule type="cellIs" dxfId="1874" priority="4393" operator="lessThan">
      <formula>0</formula>
    </cfRule>
  </conditionalFormatting>
  <conditionalFormatting sqref="H1:H1048576">
    <cfRule type="cellIs" dxfId="1873" priority="4392" operator="lessThan">
      <formula>0</formula>
    </cfRule>
  </conditionalFormatting>
  <conditionalFormatting sqref="H1:H1048576">
    <cfRule type="cellIs" dxfId="1872" priority="4391" operator="lessThan">
      <formula>0</formula>
    </cfRule>
  </conditionalFormatting>
  <conditionalFormatting sqref="H1:H1048576">
    <cfRule type="cellIs" dxfId="1871" priority="4390" operator="lessThan">
      <formula>0</formula>
    </cfRule>
  </conditionalFormatting>
  <conditionalFormatting sqref="H1:H1048576">
    <cfRule type="cellIs" dxfId="1870" priority="4389" operator="lessThan">
      <formula>0</formula>
    </cfRule>
  </conditionalFormatting>
  <conditionalFormatting sqref="H1:H1048576">
    <cfRule type="cellIs" dxfId="1869" priority="4388" operator="lessThan">
      <formula>0</formula>
    </cfRule>
  </conditionalFormatting>
  <conditionalFormatting sqref="H1:H1048576">
    <cfRule type="cellIs" dxfId="1868" priority="4387" operator="lessThan">
      <formula>0</formula>
    </cfRule>
  </conditionalFormatting>
  <conditionalFormatting sqref="H1:H1048576">
    <cfRule type="cellIs" dxfId="1867" priority="4386" operator="lessThan">
      <formula>0</formula>
    </cfRule>
  </conditionalFormatting>
  <conditionalFormatting sqref="H1:H1048576">
    <cfRule type="cellIs" dxfId="1866" priority="4385" operator="lessThan">
      <formula>0</formula>
    </cfRule>
  </conditionalFormatting>
  <conditionalFormatting sqref="H1:H1048576">
    <cfRule type="cellIs" dxfId="1865" priority="4384" operator="lessThan">
      <formula>0</formula>
    </cfRule>
  </conditionalFormatting>
  <conditionalFormatting sqref="H1:H1048576">
    <cfRule type="cellIs" dxfId="1864" priority="4383" operator="lessThan">
      <formula>0</formula>
    </cfRule>
  </conditionalFormatting>
  <conditionalFormatting sqref="H1:H1048576">
    <cfRule type="cellIs" dxfId="1863" priority="4382" operator="lessThan">
      <formula>0</formula>
    </cfRule>
  </conditionalFormatting>
  <conditionalFormatting sqref="H1:H1048576">
    <cfRule type="cellIs" dxfId="1862" priority="4381" operator="lessThan">
      <formula>0</formula>
    </cfRule>
  </conditionalFormatting>
  <conditionalFormatting sqref="H1:H1048576">
    <cfRule type="cellIs" dxfId="1861" priority="4380" operator="lessThan">
      <formula>0</formula>
    </cfRule>
  </conditionalFormatting>
  <conditionalFormatting sqref="H1:H1048576">
    <cfRule type="cellIs" dxfId="1860" priority="4379" operator="lessThan">
      <formula>0</formula>
    </cfRule>
  </conditionalFormatting>
  <conditionalFormatting sqref="H1:H1048576">
    <cfRule type="cellIs" dxfId="1859" priority="4378" operator="lessThan">
      <formula>0</formula>
    </cfRule>
  </conditionalFormatting>
  <conditionalFormatting sqref="H1:H1048576">
    <cfRule type="cellIs" dxfId="1858" priority="4377" operator="lessThan">
      <formula>0</formula>
    </cfRule>
  </conditionalFormatting>
  <conditionalFormatting sqref="H1:H1048576">
    <cfRule type="cellIs" dxfId="1857" priority="4376" operator="lessThan">
      <formula>0</formula>
    </cfRule>
  </conditionalFormatting>
  <conditionalFormatting sqref="H1:H1048576">
    <cfRule type="cellIs" dxfId="1856" priority="4375" operator="lessThan">
      <formula>0</formula>
    </cfRule>
  </conditionalFormatting>
  <conditionalFormatting sqref="H1:H1048576">
    <cfRule type="cellIs" dxfId="1855" priority="4374" operator="lessThan">
      <formula>0</formula>
    </cfRule>
  </conditionalFormatting>
  <conditionalFormatting sqref="H1:H1048576">
    <cfRule type="cellIs" dxfId="1854" priority="4373" operator="lessThan">
      <formula>0</formula>
    </cfRule>
  </conditionalFormatting>
  <conditionalFormatting sqref="H1:H1048576">
    <cfRule type="cellIs" dxfId="1853" priority="4372" operator="lessThan">
      <formula>0</formula>
    </cfRule>
  </conditionalFormatting>
  <conditionalFormatting sqref="H1:H1048576">
    <cfRule type="cellIs" dxfId="1852" priority="4371" operator="lessThan">
      <formula>0</formula>
    </cfRule>
  </conditionalFormatting>
  <conditionalFormatting sqref="H1:H1048576">
    <cfRule type="cellIs" dxfId="1851" priority="4370" operator="lessThan">
      <formula>0</formula>
    </cfRule>
  </conditionalFormatting>
  <conditionalFormatting sqref="H1:H1048576">
    <cfRule type="cellIs" dxfId="1850" priority="4369" operator="lessThan">
      <formula>0</formula>
    </cfRule>
  </conditionalFormatting>
  <conditionalFormatting sqref="H1:H1048576">
    <cfRule type="cellIs" dxfId="1849" priority="4368" operator="lessThan">
      <formula>0</formula>
    </cfRule>
  </conditionalFormatting>
  <conditionalFormatting sqref="H1:H1048576">
    <cfRule type="cellIs" dxfId="1848" priority="4367" operator="lessThan">
      <formula>0</formula>
    </cfRule>
  </conditionalFormatting>
  <conditionalFormatting sqref="H1:H1048576">
    <cfRule type="cellIs" dxfId="1847" priority="4366" operator="lessThan">
      <formula>0</formula>
    </cfRule>
  </conditionalFormatting>
  <conditionalFormatting sqref="H1:H1048576">
    <cfRule type="cellIs" dxfId="1846" priority="4365" operator="lessThan">
      <formula>0</formula>
    </cfRule>
  </conditionalFormatting>
  <conditionalFormatting sqref="H1:H1048576">
    <cfRule type="cellIs" dxfId="1845" priority="4364" operator="lessThan">
      <formula>0</formula>
    </cfRule>
  </conditionalFormatting>
  <conditionalFormatting sqref="H1:H1048576">
    <cfRule type="cellIs" dxfId="1844" priority="4363" operator="lessThan">
      <formula>0</formula>
    </cfRule>
  </conditionalFormatting>
  <conditionalFormatting sqref="I34">
    <cfRule type="cellIs" dxfId="1843" priority="2002" operator="lessThan">
      <formula>0</formula>
    </cfRule>
  </conditionalFormatting>
  <conditionalFormatting sqref="I34">
    <cfRule type="cellIs" dxfId="1842" priority="2001" operator="lessThan">
      <formula>0</formula>
    </cfRule>
  </conditionalFormatting>
  <conditionalFormatting sqref="I34">
    <cfRule type="cellIs" dxfId="1841" priority="2000" operator="lessThan">
      <formula>0</formula>
    </cfRule>
  </conditionalFormatting>
  <conditionalFormatting sqref="I34">
    <cfRule type="cellIs" dxfId="1840" priority="1999" operator="lessThan">
      <formula>0</formula>
    </cfRule>
  </conditionalFormatting>
  <conditionalFormatting sqref="I34">
    <cfRule type="cellIs" dxfId="1839" priority="1998" operator="lessThan">
      <formula>0</formula>
    </cfRule>
  </conditionalFormatting>
  <conditionalFormatting sqref="I34">
    <cfRule type="cellIs" dxfId="1838" priority="1997" operator="lessThan">
      <formula>0</formula>
    </cfRule>
  </conditionalFormatting>
  <conditionalFormatting sqref="I34">
    <cfRule type="cellIs" dxfId="1837" priority="1996" operator="lessThan">
      <formula>0</formula>
    </cfRule>
  </conditionalFormatting>
  <conditionalFormatting sqref="I34">
    <cfRule type="cellIs" dxfId="1836" priority="1995" operator="lessThan">
      <formula>0</formula>
    </cfRule>
  </conditionalFormatting>
  <conditionalFormatting sqref="I34">
    <cfRule type="cellIs" dxfId="1835" priority="1994" operator="lessThan">
      <formula>0</formula>
    </cfRule>
  </conditionalFormatting>
  <conditionalFormatting sqref="I34">
    <cfRule type="cellIs" dxfId="1834" priority="1993" operator="lessThan">
      <formula>0</formula>
    </cfRule>
  </conditionalFormatting>
  <conditionalFormatting sqref="I34">
    <cfRule type="cellIs" dxfId="1833" priority="1992" operator="lessThan">
      <formula>0</formula>
    </cfRule>
  </conditionalFormatting>
  <conditionalFormatting sqref="I34">
    <cfRule type="cellIs" dxfId="1832" priority="1991" operator="lessThan">
      <formula>0</formula>
    </cfRule>
  </conditionalFormatting>
  <conditionalFormatting sqref="I34">
    <cfRule type="cellIs" dxfId="1831" priority="1990" operator="lessThan">
      <formula>0</formula>
    </cfRule>
  </conditionalFormatting>
  <conditionalFormatting sqref="I34">
    <cfRule type="cellIs" dxfId="1830" priority="1989" operator="lessThan">
      <formula>0</formula>
    </cfRule>
  </conditionalFormatting>
  <conditionalFormatting sqref="I34">
    <cfRule type="cellIs" dxfId="1829" priority="1988" operator="lessThan">
      <formula>0</formula>
    </cfRule>
  </conditionalFormatting>
  <conditionalFormatting sqref="I34">
    <cfRule type="cellIs" dxfId="1828" priority="1987" operator="lessThan">
      <formula>0</formula>
    </cfRule>
  </conditionalFormatting>
  <conditionalFormatting sqref="I34">
    <cfRule type="cellIs" dxfId="1827" priority="1986" operator="lessThan">
      <formula>0</formula>
    </cfRule>
  </conditionalFormatting>
  <conditionalFormatting sqref="I34">
    <cfRule type="cellIs" dxfId="1826" priority="1985" operator="lessThan">
      <formula>0</formula>
    </cfRule>
  </conditionalFormatting>
  <conditionalFormatting sqref="I34">
    <cfRule type="cellIs" dxfId="1825" priority="1984" operator="lessThan">
      <formula>0</formula>
    </cfRule>
  </conditionalFormatting>
  <conditionalFormatting sqref="I34">
    <cfRule type="cellIs" dxfId="1824" priority="1983" operator="lessThan">
      <formula>0</formula>
    </cfRule>
  </conditionalFormatting>
  <conditionalFormatting sqref="I34">
    <cfRule type="cellIs" dxfId="1823" priority="1982" operator="lessThan">
      <formula>0</formula>
    </cfRule>
  </conditionalFormatting>
  <conditionalFormatting sqref="I34">
    <cfRule type="cellIs" dxfId="1822" priority="1981" operator="lessThan">
      <formula>0</formula>
    </cfRule>
  </conditionalFormatting>
  <conditionalFormatting sqref="I34">
    <cfRule type="cellIs" dxfId="1821" priority="1980" operator="lessThan">
      <formula>0</formula>
    </cfRule>
  </conditionalFormatting>
  <conditionalFormatting sqref="I34">
    <cfRule type="cellIs" dxfId="1820" priority="1979" operator="lessThan">
      <formula>0</formula>
    </cfRule>
  </conditionalFormatting>
  <conditionalFormatting sqref="I34">
    <cfRule type="cellIs" dxfId="1819" priority="1978" operator="lessThan">
      <formula>0</formula>
    </cfRule>
  </conditionalFormatting>
  <conditionalFormatting sqref="I34">
    <cfRule type="cellIs" dxfId="1818" priority="1977" operator="lessThan">
      <formula>0</formula>
    </cfRule>
  </conditionalFormatting>
  <conditionalFormatting sqref="I34">
    <cfRule type="cellIs" dxfId="1817" priority="1976" operator="lessThan">
      <formula>0</formula>
    </cfRule>
  </conditionalFormatting>
  <conditionalFormatting sqref="I34">
    <cfRule type="cellIs" dxfId="1816" priority="1975" operator="lessThan">
      <formula>0</formula>
    </cfRule>
  </conditionalFormatting>
  <conditionalFormatting sqref="I34">
    <cfRule type="cellIs" dxfId="1815" priority="1974" operator="lessThan">
      <formula>0</formula>
    </cfRule>
  </conditionalFormatting>
  <conditionalFormatting sqref="I34">
    <cfRule type="cellIs" dxfId="1814" priority="1973" operator="lessThan">
      <formula>0</formula>
    </cfRule>
  </conditionalFormatting>
  <conditionalFormatting sqref="I34">
    <cfRule type="cellIs" dxfId="1813" priority="1972" operator="lessThan">
      <formula>0</formula>
    </cfRule>
  </conditionalFormatting>
  <conditionalFormatting sqref="I34">
    <cfRule type="cellIs" dxfId="1812" priority="1971" operator="lessThan">
      <formula>0</formula>
    </cfRule>
  </conditionalFormatting>
  <conditionalFormatting sqref="I34">
    <cfRule type="cellIs" dxfId="1811" priority="1970" operator="lessThan">
      <formula>0</formula>
    </cfRule>
  </conditionalFormatting>
  <conditionalFormatting sqref="I34">
    <cfRule type="cellIs" dxfId="1810" priority="1969" operator="lessThan">
      <formula>0</formula>
    </cfRule>
  </conditionalFormatting>
  <conditionalFormatting sqref="I34">
    <cfRule type="cellIs" dxfId="1809" priority="1968" operator="lessThan">
      <formula>0</formula>
    </cfRule>
  </conditionalFormatting>
  <conditionalFormatting sqref="I34">
    <cfRule type="cellIs" dxfId="1808" priority="1967" operator="lessThan">
      <formula>0</formula>
    </cfRule>
  </conditionalFormatting>
  <conditionalFormatting sqref="I34">
    <cfRule type="cellIs" dxfId="1807" priority="1966" operator="lessThan">
      <formula>0</formula>
    </cfRule>
  </conditionalFormatting>
  <conditionalFormatting sqref="I34">
    <cfRule type="cellIs" dxfId="1806" priority="1965" operator="lessThan">
      <formula>0</formula>
    </cfRule>
  </conditionalFormatting>
  <conditionalFormatting sqref="I34">
    <cfRule type="cellIs" dxfId="1805" priority="1964" operator="lessThan">
      <formula>0</formula>
    </cfRule>
  </conditionalFormatting>
  <conditionalFormatting sqref="I34">
    <cfRule type="cellIs" dxfId="1804" priority="1963" operator="lessThan">
      <formula>0</formula>
    </cfRule>
  </conditionalFormatting>
  <conditionalFormatting sqref="I34">
    <cfRule type="cellIs" dxfId="1803" priority="1962" operator="lessThan">
      <formula>0</formula>
    </cfRule>
  </conditionalFormatting>
  <conditionalFormatting sqref="I34">
    <cfRule type="cellIs" dxfId="1802" priority="1961" operator="lessThan">
      <formula>0</formula>
    </cfRule>
  </conditionalFormatting>
  <conditionalFormatting sqref="I34">
    <cfRule type="cellIs" dxfId="1801" priority="1960" operator="lessThan">
      <formula>0</formula>
    </cfRule>
  </conditionalFormatting>
  <conditionalFormatting sqref="I34">
    <cfRule type="cellIs" dxfId="1800" priority="1959" operator="lessThan">
      <formula>0</formula>
    </cfRule>
  </conditionalFormatting>
  <conditionalFormatting sqref="I34">
    <cfRule type="cellIs" dxfId="1799" priority="1958" operator="lessThan">
      <formula>0</formula>
    </cfRule>
  </conditionalFormatting>
  <conditionalFormatting sqref="I34">
    <cfRule type="cellIs" dxfId="1798" priority="1957" operator="lessThan">
      <formula>0</formula>
    </cfRule>
  </conditionalFormatting>
  <conditionalFormatting sqref="I34">
    <cfRule type="cellIs" dxfId="1797" priority="1956" operator="lessThan">
      <formula>0</formula>
    </cfRule>
  </conditionalFormatting>
  <conditionalFormatting sqref="I34">
    <cfRule type="cellIs" dxfId="1796" priority="1955" operator="lessThan">
      <formula>0</formula>
    </cfRule>
  </conditionalFormatting>
  <conditionalFormatting sqref="I34">
    <cfRule type="cellIs" dxfId="1795" priority="1954" operator="lessThan">
      <formula>0</formula>
    </cfRule>
  </conditionalFormatting>
  <conditionalFormatting sqref="I34">
    <cfRule type="cellIs" dxfId="1794" priority="1953" operator="lessThan">
      <formula>0</formula>
    </cfRule>
  </conditionalFormatting>
  <conditionalFormatting sqref="I34">
    <cfRule type="cellIs" dxfId="1793" priority="1952" operator="lessThan">
      <formula>0</formula>
    </cfRule>
  </conditionalFormatting>
  <conditionalFormatting sqref="I34">
    <cfRule type="cellIs" dxfId="1792" priority="1951" operator="lessThan">
      <formula>0</formula>
    </cfRule>
  </conditionalFormatting>
  <conditionalFormatting sqref="I34">
    <cfRule type="cellIs" dxfId="1791" priority="1950" operator="lessThan">
      <formula>0</formula>
    </cfRule>
  </conditionalFormatting>
  <conditionalFormatting sqref="I34">
    <cfRule type="cellIs" dxfId="1790" priority="1949" operator="lessThan">
      <formula>0</formula>
    </cfRule>
  </conditionalFormatting>
  <conditionalFormatting sqref="I34">
    <cfRule type="cellIs" dxfId="1789" priority="1948" operator="lessThan">
      <formula>0</formula>
    </cfRule>
  </conditionalFormatting>
  <conditionalFormatting sqref="I34">
    <cfRule type="cellIs" dxfId="1788" priority="1947" operator="lessThan">
      <formula>0</formula>
    </cfRule>
  </conditionalFormatting>
  <conditionalFormatting sqref="I34">
    <cfRule type="cellIs" dxfId="1787" priority="1946" operator="lessThan">
      <formula>0</formula>
    </cfRule>
  </conditionalFormatting>
  <conditionalFormatting sqref="I34">
    <cfRule type="cellIs" dxfId="1786" priority="1945" operator="lessThan">
      <formula>0</formula>
    </cfRule>
  </conditionalFormatting>
  <conditionalFormatting sqref="I34">
    <cfRule type="cellIs" dxfId="1785" priority="1944" operator="lessThan">
      <formula>0</formula>
    </cfRule>
  </conditionalFormatting>
  <conditionalFormatting sqref="I34">
    <cfRule type="cellIs" dxfId="1784" priority="1943" operator="lessThan">
      <formula>0</formula>
    </cfRule>
  </conditionalFormatting>
  <conditionalFormatting sqref="I34">
    <cfRule type="cellIs" dxfId="1783" priority="1942" operator="lessThan">
      <formula>0</formula>
    </cfRule>
  </conditionalFormatting>
  <conditionalFormatting sqref="I34">
    <cfRule type="cellIs" dxfId="1782" priority="1941" operator="lessThan">
      <formula>0</formula>
    </cfRule>
  </conditionalFormatting>
  <conditionalFormatting sqref="I34">
    <cfRule type="cellIs" dxfId="1781" priority="1940" operator="lessThan">
      <formula>0</formula>
    </cfRule>
  </conditionalFormatting>
  <conditionalFormatting sqref="I34">
    <cfRule type="cellIs" dxfId="1780" priority="1939" operator="lessThan">
      <formula>0</formula>
    </cfRule>
  </conditionalFormatting>
  <conditionalFormatting sqref="I34">
    <cfRule type="cellIs" dxfId="1779" priority="1938" operator="lessThan">
      <formula>0</formula>
    </cfRule>
  </conditionalFormatting>
  <conditionalFormatting sqref="I34">
    <cfRule type="cellIs" dxfId="1778" priority="1937" operator="lessThan">
      <formula>0</formula>
    </cfRule>
  </conditionalFormatting>
  <conditionalFormatting sqref="I34">
    <cfRule type="cellIs" dxfId="1777" priority="1936" operator="lessThan">
      <formula>0</formula>
    </cfRule>
  </conditionalFormatting>
  <conditionalFormatting sqref="I34">
    <cfRule type="cellIs" dxfId="1776" priority="1935" operator="lessThan">
      <formula>0</formula>
    </cfRule>
  </conditionalFormatting>
  <conditionalFormatting sqref="I34">
    <cfRule type="cellIs" dxfId="1775" priority="1934" operator="lessThan">
      <formula>0</formula>
    </cfRule>
  </conditionalFormatting>
  <conditionalFormatting sqref="I34">
    <cfRule type="cellIs" dxfId="1774" priority="1933" operator="lessThan">
      <formula>0</formula>
    </cfRule>
  </conditionalFormatting>
  <conditionalFormatting sqref="I34">
    <cfRule type="cellIs" dxfId="1773" priority="1932" operator="lessThan">
      <formula>0</formula>
    </cfRule>
  </conditionalFormatting>
  <conditionalFormatting sqref="I34">
    <cfRule type="cellIs" dxfId="1772" priority="1931" operator="lessThan">
      <formula>0</formula>
    </cfRule>
  </conditionalFormatting>
  <conditionalFormatting sqref="I34">
    <cfRule type="cellIs" dxfId="1771" priority="1930" operator="lessThan">
      <formula>0</formula>
    </cfRule>
  </conditionalFormatting>
  <conditionalFormatting sqref="I34">
    <cfRule type="cellIs" dxfId="1770" priority="1929" operator="lessThan">
      <formula>0</formula>
    </cfRule>
  </conditionalFormatting>
  <conditionalFormatting sqref="I34">
    <cfRule type="cellIs" dxfId="1769" priority="1928" operator="lessThan">
      <formula>0</formula>
    </cfRule>
  </conditionalFormatting>
  <conditionalFormatting sqref="I34">
    <cfRule type="cellIs" dxfId="1768" priority="1927" operator="lessThan">
      <formula>0</formula>
    </cfRule>
  </conditionalFormatting>
  <conditionalFormatting sqref="I34">
    <cfRule type="cellIs" dxfId="1767" priority="1926" operator="lessThan">
      <formula>0</formula>
    </cfRule>
  </conditionalFormatting>
  <conditionalFormatting sqref="I34">
    <cfRule type="cellIs" dxfId="1766" priority="1925" operator="lessThan">
      <formula>0</formula>
    </cfRule>
  </conditionalFormatting>
  <conditionalFormatting sqref="I34">
    <cfRule type="cellIs" dxfId="1765" priority="1924" operator="lessThan">
      <formula>0</formula>
    </cfRule>
  </conditionalFormatting>
  <conditionalFormatting sqref="I34">
    <cfRule type="cellIs" dxfId="1764" priority="1923" operator="lessThan">
      <formula>0</formula>
    </cfRule>
  </conditionalFormatting>
  <conditionalFormatting sqref="I34">
    <cfRule type="cellIs" dxfId="1763" priority="1922" operator="lessThan">
      <formula>0</formula>
    </cfRule>
  </conditionalFormatting>
  <conditionalFormatting sqref="I34">
    <cfRule type="cellIs" dxfId="1762" priority="1921" operator="lessThan">
      <formula>0</formula>
    </cfRule>
  </conditionalFormatting>
  <conditionalFormatting sqref="I34">
    <cfRule type="cellIs" dxfId="1761" priority="1920" operator="lessThan">
      <formula>0</formula>
    </cfRule>
  </conditionalFormatting>
  <conditionalFormatting sqref="I34">
    <cfRule type="cellIs" dxfId="1760" priority="1919" operator="lessThan">
      <formula>0</formula>
    </cfRule>
  </conditionalFormatting>
  <conditionalFormatting sqref="I34">
    <cfRule type="cellIs" dxfId="1759" priority="1918" operator="lessThan">
      <formula>0</formula>
    </cfRule>
  </conditionalFormatting>
  <conditionalFormatting sqref="I34">
    <cfRule type="cellIs" dxfId="1758" priority="1917" operator="lessThan">
      <formula>0</formula>
    </cfRule>
  </conditionalFormatting>
  <conditionalFormatting sqref="I34">
    <cfRule type="cellIs" dxfId="1757" priority="1916" operator="lessThan">
      <formula>0</formula>
    </cfRule>
  </conditionalFormatting>
  <conditionalFormatting sqref="I34">
    <cfRule type="cellIs" dxfId="1756" priority="1915" operator="lessThan">
      <formula>0</formula>
    </cfRule>
  </conditionalFormatting>
  <conditionalFormatting sqref="I34">
    <cfRule type="cellIs" dxfId="1755" priority="1914" operator="lessThan">
      <formula>0</formula>
    </cfRule>
  </conditionalFormatting>
  <conditionalFormatting sqref="I34">
    <cfRule type="cellIs" dxfId="1754" priority="1913" operator="lessThan">
      <formula>0</formula>
    </cfRule>
  </conditionalFormatting>
  <conditionalFormatting sqref="I34">
    <cfRule type="cellIs" dxfId="1753" priority="1912" operator="lessThan">
      <formula>0</formula>
    </cfRule>
  </conditionalFormatting>
  <conditionalFormatting sqref="I34">
    <cfRule type="cellIs" dxfId="1752" priority="1911" operator="lessThan">
      <formula>0</formula>
    </cfRule>
  </conditionalFormatting>
  <conditionalFormatting sqref="I34">
    <cfRule type="cellIs" dxfId="1751" priority="1910" operator="lessThan">
      <formula>0</formula>
    </cfRule>
  </conditionalFormatting>
  <conditionalFormatting sqref="I34">
    <cfRule type="cellIs" dxfId="1750" priority="1909" operator="lessThan">
      <formula>0</formula>
    </cfRule>
  </conditionalFormatting>
  <conditionalFormatting sqref="I34">
    <cfRule type="cellIs" dxfId="1749" priority="1908" operator="lessThan">
      <formula>0</formula>
    </cfRule>
  </conditionalFormatting>
  <conditionalFormatting sqref="I34">
    <cfRule type="cellIs" dxfId="1748" priority="1907" operator="lessThan">
      <formula>0</formula>
    </cfRule>
  </conditionalFormatting>
  <conditionalFormatting sqref="I34">
    <cfRule type="cellIs" dxfId="1747" priority="1906" operator="lessThan">
      <formula>0</formula>
    </cfRule>
  </conditionalFormatting>
  <conditionalFormatting sqref="I34">
    <cfRule type="cellIs" dxfId="1746" priority="1905" operator="lessThan">
      <formula>0</formula>
    </cfRule>
  </conditionalFormatting>
  <conditionalFormatting sqref="I34">
    <cfRule type="cellIs" dxfId="1745" priority="1904" operator="lessThan">
      <formula>0</formula>
    </cfRule>
  </conditionalFormatting>
  <conditionalFormatting sqref="I34">
    <cfRule type="cellIs" dxfId="1744" priority="1903" operator="lessThan">
      <formula>0</formula>
    </cfRule>
  </conditionalFormatting>
  <conditionalFormatting sqref="I34">
    <cfRule type="cellIs" dxfId="1743" priority="1902" operator="lessThan">
      <formula>0</formula>
    </cfRule>
  </conditionalFormatting>
  <conditionalFormatting sqref="I34">
    <cfRule type="cellIs" dxfId="1742" priority="1901" operator="lessThan">
      <formula>0</formula>
    </cfRule>
  </conditionalFormatting>
  <conditionalFormatting sqref="I34">
    <cfRule type="cellIs" dxfId="1741" priority="1900" operator="lessThan">
      <formula>0</formula>
    </cfRule>
  </conditionalFormatting>
  <conditionalFormatting sqref="I34">
    <cfRule type="cellIs" dxfId="1740" priority="1899" operator="lessThan">
      <formula>0</formula>
    </cfRule>
  </conditionalFormatting>
  <conditionalFormatting sqref="I34">
    <cfRule type="cellIs" dxfId="1739" priority="1898" operator="lessThan">
      <formula>0</formula>
    </cfRule>
  </conditionalFormatting>
  <conditionalFormatting sqref="I34">
    <cfRule type="cellIs" dxfId="1738" priority="1897" operator="lessThan">
      <formula>0</formula>
    </cfRule>
  </conditionalFormatting>
  <conditionalFormatting sqref="I34">
    <cfRule type="cellIs" dxfId="1737" priority="1896" operator="lessThan">
      <formula>0</formula>
    </cfRule>
  </conditionalFormatting>
  <conditionalFormatting sqref="I34">
    <cfRule type="cellIs" dxfId="1736" priority="1895" operator="lessThan">
      <formula>0</formula>
    </cfRule>
  </conditionalFormatting>
  <conditionalFormatting sqref="I34">
    <cfRule type="cellIs" dxfId="1735" priority="1894" operator="lessThan">
      <formula>0</formula>
    </cfRule>
  </conditionalFormatting>
  <conditionalFormatting sqref="I34">
    <cfRule type="cellIs" dxfId="1734" priority="1893" operator="lessThan">
      <formula>0</formula>
    </cfRule>
  </conditionalFormatting>
  <conditionalFormatting sqref="I34">
    <cfRule type="cellIs" dxfId="1733" priority="1892" operator="lessThan">
      <formula>0</formula>
    </cfRule>
  </conditionalFormatting>
  <conditionalFormatting sqref="I34">
    <cfRule type="cellIs" dxfId="1732" priority="1891" operator="lessThan">
      <formula>0</formula>
    </cfRule>
  </conditionalFormatting>
  <conditionalFormatting sqref="I34">
    <cfRule type="cellIs" dxfId="1731" priority="1890" operator="lessThan">
      <formula>0</formula>
    </cfRule>
  </conditionalFormatting>
  <conditionalFormatting sqref="I34">
    <cfRule type="cellIs" dxfId="1730" priority="1889" operator="lessThan">
      <formula>0</formula>
    </cfRule>
  </conditionalFormatting>
  <conditionalFormatting sqref="I34">
    <cfRule type="cellIs" dxfId="1729" priority="1888" operator="lessThan">
      <formula>0</formula>
    </cfRule>
  </conditionalFormatting>
  <conditionalFormatting sqref="I34">
    <cfRule type="cellIs" dxfId="1728" priority="1887" operator="lessThan">
      <formula>0</formula>
    </cfRule>
  </conditionalFormatting>
  <conditionalFormatting sqref="I34">
    <cfRule type="cellIs" dxfId="1727" priority="1886" operator="lessThan">
      <formula>0</formula>
    </cfRule>
  </conditionalFormatting>
  <conditionalFormatting sqref="I34">
    <cfRule type="cellIs" dxfId="1726" priority="1885" operator="lessThan">
      <formula>0</formula>
    </cfRule>
  </conditionalFormatting>
  <conditionalFormatting sqref="I34">
    <cfRule type="cellIs" dxfId="1725" priority="1884" operator="lessThan">
      <formula>0</formula>
    </cfRule>
  </conditionalFormatting>
  <conditionalFormatting sqref="I34">
    <cfRule type="cellIs" dxfId="1724" priority="1883" operator="lessThan">
      <formula>0</formula>
    </cfRule>
  </conditionalFormatting>
  <conditionalFormatting sqref="I34">
    <cfRule type="cellIs" dxfId="1723" priority="1882" operator="lessThan">
      <formula>0</formula>
    </cfRule>
  </conditionalFormatting>
  <conditionalFormatting sqref="I34">
    <cfRule type="cellIs" dxfId="1722" priority="1881" operator="lessThan">
      <formula>0</formula>
    </cfRule>
  </conditionalFormatting>
  <conditionalFormatting sqref="I34">
    <cfRule type="cellIs" dxfId="1721" priority="1880" operator="lessThan">
      <formula>0</formula>
    </cfRule>
  </conditionalFormatting>
  <conditionalFormatting sqref="I34">
    <cfRule type="cellIs" dxfId="1720" priority="1879" operator="lessThan">
      <formula>0</formula>
    </cfRule>
  </conditionalFormatting>
  <conditionalFormatting sqref="I34">
    <cfRule type="cellIs" dxfId="1719" priority="1878" operator="lessThan">
      <formula>0</formula>
    </cfRule>
  </conditionalFormatting>
  <conditionalFormatting sqref="I34">
    <cfRule type="cellIs" dxfId="1718" priority="1877" operator="lessThan">
      <formula>0</formula>
    </cfRule>
  </conditionalFormatting>
  <conditionalFormatting sqref="I34">
    <cfRule type="cellIs" dxfId="1717" priority="1876" operator="lessThan">
      <formula>0</formula>
    </cfRule>
  </conditionalFormatting>
  <conditionalFormatting sqref="I34">
    <cfRule type="cellIs" dxfId="1716" priority="1875" operator="lessThan">
      <formula>0</formula>
    </cfRule>
  </conditionalFormatting>
  <conditionalFormatting sqref="I34">
    <cfRule type="cellIs" dxfId="1715" priority="1874" operator="lessThan">
      <formula>0</formula>
    </cfRule>
  </conditionalFormatting>
  <conditionalFormatting sqref="I34">
    <cfRule type="cellIs" dxfId="1714" priority="1873" operator="lessThan">
      <formula>0</formula>
    </cfRule>
  </conditionalFormatting>
  <conditionalFormatting sqref="I34">
    <cfRule type="cellIs" dxfId="1713" priority="1872" operator="lessThan">
      <formula>0</formula>
    </cfRule>
  </conditionalFormatting>
  <conditionalFormatting sqref="I34">
    <cfRule type="cellIs" dxfId="1712" priority="1871" operator="lessThan">
      <formula>0</formula>
    </cfRule>
  </conditionalFormatting>
  <conditionalFormatting sqref="I34">
    <cfRule type="cellIs" dxfId="1711" priority="1870" operator="lessThan">
      <formula>0</formula>
    </cfRule>
  </conditionalFormatting>
  <conditionalFormatting sqref="I34">
    <cfRule type="cellIs" dxfId="1710" priority="1869" operator="lessThan">
      <formula>0</formula>
    </cfRule>
  </conditionalFormatting>
  <conditionalFormatting sqref="I34">
    <cfRule type="cellIs" dxfId="1709" priority="1868" operator="lessThan">
      <formula>0</formula>
    </cfRule>
  </conditionalFormatting>
  <conditionalFormatting sqref="I34">
    <cfRule type="cellIs" dxfId="1708" priority="1867" operator="lessThan">
      <formula>0</formula>
    </cfRule>
  </conditionalFormatting>
  <conditionalFormatting sqref="I34">
    <cfRule type="cellIs" dxfId="1707" priority="1866" operator="lessThan">
      <formula>0</formula>
    </cfRule>
  </conditionalFormatting>
  <conditionalFormatting sqref="I34">
    <cfRule type="cellIs" dxfId="1706" priority="1865" operator="lessThan">
      <formula>0</formula>
    </cfRule>
  </conditionalFormatting>
  <conditionalFormatting sqref="I34">
    <cfRule type="cellIs" dxfId="1705" priority="1864" operator="lessThan">
      <formula>0</formula>
    </cfRule>
  </conditionalFormatting>
  <conditionalFormatting sqref="I34">
    <cfRule type="cellIs" dxfId="1704" priority="1863" operator="lessThan">
      <formula>0</formula>
    </cfRule>
  </conditionalFormatting>
  <conditionalFormatting sqref="I34">
    <cfRule type="cellIs" dxfId="1703" priority="1862" operator="lessThan">
      <formula>0</formula>
    </cfRule>
  </conditionalFormatting>
  <conditionalFormatting sqref="I34">
    <cfRule type="cellIs" dxfId="1702" priority="1861" operator="lessThan">
      <formula>0</formula>
    </cfRule>
  </conditionalFormatting>
  <conditionalFormatting sqref="I34">
    <cfRule type="cellIs" dxfId="1701" priority="1860" operator="lessThan">
      <formula>0</formula>
    </cfRule>
  </conditionalFormatting>
  <conditionalFormatting sqref="I34">
    <cfRule type="cellIs" dxfId="1700" priority="1859" operator="lessThan">
      <formula>0</formula>
    </cfRule>
  </conditionalFormatting>
  <conditionalFormatting sqref="I34">
    <cfRule type="cellIs" dxfId="1699" priority="1858" operator="lessThan">
      <formula>0</formula>
    </cfRule>
  </conditionalFormatting>
  <conditionalFormatting sqref="I34">
    <cfRule type="cellIs" dxfId="1698" priority="1857" operator="lessThan">
      <formula>0</formula>
    </cfRule>
  </conditionalFormatting>
  <conditionalFormatting sqref="I34">
    <cfRule type="cellIs" dxfId="1697" priority="1856" operator="lessThan">
      <formula>0</formula>
    </cfRule>
  </conditionalFormatting>
  <conditionalFormatting sqref="I34">
    <cfRule type="cellIs" dxfId="1696" priority="1855" operator="lessThan">
      <formula>0</formula>
    </cfRule>
  </conditionalFormatting>
  <conditionalFormatting sqref="I34">
    <cfRule type="cellIs" dxfId="1695" priority="1854" operator="lessThan">
      <formula>0</formula>
    </cfRule>
  </conditionalFormatting>
  <conditionalFormatting sqref="I34">
    <cfRule type="cellIs" dxfId="1694" priority="1853" operator="lessThan">
      <formula>0</formula>
    </cfRule>
  </conditionalFormatting>
  <conditionalFormatting sqref="I34">
    <cfRule type="cellIs" dxfId="1693" priority="1852" operator="lessThan">
      <formula>0</formula>
    </cfRule>
  </conditionalFormatting>
  <conditionalFormatting sqref="I34">
    <cfRule type="cellIs" dxfId="1692" priority="1851" operator="lessThan">
      <formula>0</formula>
    </cfRule>
  </conditionalFormatting>
  <conditionalFormatting sqref="I34">
    <cfRule type="cellIs" dxfId="1691" priority="1850" operator="lessThan">
      <formula>0</formula>
    </cfRule>
  </conditionalFormatting>
  <conditionalFormatting sqref="I34">
    <cfRule type="cellIs" dxfId="1690" priority="1849" operator="lessThan">
      <formula>0</formula>
    </cfRule>
  </conditionalFormatting>
  <conditionalFormatting sqref="I34">
    <cfRule type="cellIs" dxfId="1689" priority="1848" operator="lessThan">
      <formula>0</formula>
    </cfRule>
  </conditionalFormatting>
  <conditionalFormatting sqref="I34">
    <cfRule type="cellIs" dxfId="1688" priority="1847" operator="lessThan">
      <formula>0</formula>
    </cfRule>
  </conditionalFormatting>
  <conditionalFormatting sqref="I34">
    <cfRule type="cellIs" dxfId="1687" priority="1846" operator="lessThan">
      <formula>0</formula>
    </cfRule>
  </conditionalFormatting>
  <conditionalFormatting sqref="I34">
    <cfRule type="cellIs" dxfId="1686" priority="1845" operator="lessThan">
      <formula>0</formula>
    </cfRule>
  </conditionalFormatting>
  <conditionalFormatting sqref="I34">
    <cfRule type="cellIs" dxfId="1685" priority="1844" operator="lessThan">
      <formula>0</formula>
    </cfRule>
  </conditionalFormatting>
  <conditionalFormatting sqref="I34">
    <cfRule type="cellIs" dxfId="1684" priority="1843" operator="lessThan">
      <formula>0</formula>
    </cfRule>
  </conditionalFormatting>
  <conditionalFormatting sqref="I34">
    <cfRule type="cellIs" dxfId="1683" priority="1842" operator="lessThan">
      <formula>0</formula>
    </cfRule>
  </conditionalFormatting>
  <conditionalFormatting sqref="I34">
    <cfRule type="cellIs" dxfId="1682" priority="1841" operator="lessThan">
      <formula>0</formula>
    </cfRule>
  </conditionalFormatting>
  <conditionalFormatting sqref="I34">
    <cfRule type="cellIs" dxfId="1681" priority="1840" operator="lessThan">
      <formula>0</formula>
    </cfRule>
  </conditionalFormatting>
  <conditionalFormatting sqref="I34">
    <cfRule type="cellIs" dxfId="1680" priority="1839" operator="lessThan">
      <formula>0</formula>
    </cfRule>
  </conditionalFormatting>
  <conditionalFormatting sqref="I34">
    <cfRule type="cellIs" dxfId="1679" priority="1838" operator="lessThan">
      <formula>0</formula>
    </cfRule>
  </conditionalFormatting>
  <conditionalFormatting sqref="I34">
    <cfRule type="cellIs" dxfId="1678" priority="1837" operator="lessThan">
      <formula>0</formula>
    </cfRule>
  </conditionalFormatting>
  <conditionalFormatting sqref="I34">
    <cfRule type="cellIs" dxfId="1677" priority="1836" operator="lessThan">
      <formula>0</formula>
    </cfRule>
  </conditionalFormatting>
  <conditionalFormatting sqref="I34">
    <cfRule type="cellIs" dxfId="1676" priority="1835" operator="lessThan">
      <formula>0</formula>
    </cfRule>
  </conditionalFormatting>
  <conditionalFormatting sqref="I34">
    <cfRule type="cellIs" dxfId="1675" priority="1834" operator="lessThan">
      <formula>0</formula>
    </cfRule>
  </conditionalFormatting>
  <conditionalFormatting sqref="I34">
    <cfRule type="cellIs" dxfId="1674" priority="1833" operator="lessThan">
      <formula>0</formula>
    </cfRule>
  </conditionalFormatting>
  <conditionalFormatting sqref="I34">
    <cfRule type="cellIs" dxfId="1673" priority="1832" operator="lessThan">
      <formula>0</formula>
    </cfRule>
  </conditionalFormatting>
  <conditionalFormatting sqref="I34">
    <cfRule type="cellIs" dxfId="1672" priority="1831" operator="lessThan">
      <formula>0</formula>
    </cfRule>
  </conditionalFormatting>
  <conditionalFormatting sqref="I34">
    <cfRule type="cellIs" dxfId="1671" priority="1830" operator="lessThan">
      <formula>0</formula>
    </cfRule>
  </conditionalFormatting>
  <conditionalFormatting sqref="I34">
    <cfRule type="cellIs" dxfId="1670" priority="1829" operator="lessThan">
      <formula>0</formula>
    </cfRule>
  </conditionalFormatting>
  <conditionalFormatting sqref="I34">
    <cfRule type="cellIs" dxfId="1669" priority="1828" operator="lessThan">
      <formula>0</formula>
    </cfRule>
  </conditionalFormatting>
  <conditionalFormatting sqref="I34">
    <cfRule type="cellIs" dxfId="1668" priority="1827" operator="lessThan">
      <formula>0</formula>
    </cfRule>
  </conditionalFormatting>
  <conditionalFormatting sqref="I34">
    <cfRule type="cellIs" dxfId="1667" priority="1826" operator="lessThan">
      <formula>0</formula>
    </cfRule>
  </conditionalFormatting>
  <conditionalFormatting sqref="I34">
    <cfRule type="cellIs" dxfId="1666" priority="1825" operator="lessThan">
      <formula>0</formula>
    </cfRule>
  </conditionalFormatting>
  <conditionalFormatting sqref="I34">
    <cfRule type="cellIs" dxfId="1665" priority="1824" operator="lessThan">
      <formula>0</formula>
    </cfRule>
  </conditionalFormatting>
  <conditionalFormatting sqref="I34">
    <cfRule type="cellIs" dxfId="1664" priority="1823" operator="lessThan">
      <formula>0</formula>
    </cfRule>
  </conditionalFormatting>
  <conditionalFormatting sqref="I34">
    <cfRule type="cellIs" dxfId="1663" priority="1822" operator="lessThan">
      <formula>0</formula>
    </cfRule>
  </conditionalFormatting>
  <conditionalFormatting sqref="I34">
    <cfRule type="cellIs" dxfId="1662" priority="1821" operator="lessThan">
      <formula>0</formula>
    </cfRule>
  </conditionalFormatting>
  <conditionalFormatting sqref="I34">
    <cfRule type="cellIs" dxfId="1661" priority="1820" operator="lessThan">
      <formula>0</formula>
    </cfRule>
  </conditionalFormatting>
  <conditionalFormatting sqref="I34">
    <cfRule type="cellIs" dxfId="1660" priority="1819" operator="lessThan">
      <formula>0</formula>
    </cfRule>
  </conditionalFormatting>
  <conditionalFormatting sqref="I34">
    <cfRule type="cellIs" dxfId="1659" priority="1818" operator="lessThan">
      <formula>0</formula>
    </cfRule>
  </conditionalFormatting>
  <conditionalFormatting sqref="I34">
    <cfRule type="cellIs" dxfId="1658" priority="1817" operator="lessThan">
      <formula>0</formula>
    </cfRule>
  </conditionalFormatting>
  <conditionalFormatting sqref="I34">
    <cfRule type="cellIs" dxfId="1657" priority="1816" operator="lessThan">
      <formula>0</formula>
    </cfRule>
  </conditionalFormatting>
  <conditionalFormatting sqref="I34">
    <cfRule type="cellIs" dxfId="1656" priority="1815" operator="lessThan">
      <formula>0</formula>
    </cfRule>
  </conditionalFormatting>
  <conditionalFormatting sqref="I34">
    <cfRule type="cellIs" dxfId="1655" priority="1814" operator="lessThan">
      <formula>0</formula>
    </cfRule>
  </conditionalFormatting>
  <conditionalFormatting sqref="I34">
    <cfRule type="cellIs" dxfId="1654" priority="1813" operator="lessThan">
      <formula>0</formula>
    </cfRule>
  </conditionalFormatting>
  <conditionalFormatting sqref="I34">
    <cfRule type="cellIs" dxfId="1653" priority="1812" operator="lessThan">
      <formula>0</formula>
    </cfRule>
  </conditionalFormatting>
  <conditionalFormatting sqref="I34">
    <cfRule type="cellIs" dxfId="1652" priority="1811" operator="lessThan">
      <formula>0</formula>
    </cfRule>
  </conditionalFormatting>
  <conditionalFormatting sqref="I34">
    <cfRule type="cellIs" dxfId="1651" priority="1810" operator="lessThan">
      <formula>0</formula>
    </cfRule>
  </conditionalFormatting>
  <conditionalFormatting sqref="I34">
    <cfRule type="cellIs" dxfId="1650" priority="1809" operator="lessThan">
      <formula>0</formula>
    </cfRule>
  </conditionalFormatting>
  <conditionalFormatting sqref="I34">
    <cfRule type="cellIs" dxfId="1649" priority="1808" operator="lessThan">
      <formula>0</formula>
    </cfRule>
  </conditionalFormatting>
  <conditionalFormatting sqref="I34">
    <cfRule type="cellIs" dxfId="1648" priority="1807" operator="lessThan">
      <formula>0</formula>
    </cfRule>
  </conditionalFormatting>
  <conditionalFormatting sqref="I34">
    <cfRule type="cellIs" dxfId="1647" priority="1806" operator="lessThan">
      <formula>0</formula>
    </cfRule>
  </conditionalFormatting>
  <conditionalFormatting sqref="I34">
    <cfRule type="cellIs" dxfId="1646" priority="1805" operator="lessThan">
      <formula>0</formula>
    </cfRule>
  </conditionalFormatting>
  <conditionalFormatting sqref="I34">
    <cfRule type="cellIs" dxfId="1645" priority="1804" operator="lessThan">
      <formula>0</formula>
    </cfRule>
  </conditionalFormatting>
  <conditionalFormatting sqref="I34">
    <cfRule type="cellIs" dxfId="1644" priority="1803" operator="lessThan">
      <formula>0</formula>
    </cfRule>
  </conditionalFormatting>
  <conditionalFormatting sqref="I34">
    <cfRule type="cellIs" dxfId="1643" priority="1802" operator="lessThan">
      <formula>0</formula>
    </cfRule>
  </conditionalFormatting>
  <conditionalFormatting sqref="I34">
    <cfRule type="cellIs" dxfId="1642" priority="1801" operator="lessThan">
      <formula>0</formula>
    </cfRule>
  </conditionalFormatting>
  <conditionalFormatting sqref="I34">
    <cfRule type="cellIs" dxfId="1641" priority="1800" operator="lessThan">
      <formula>0</formula>
    </cfRule>
  </conditionalFormatting>
  <conditionalFormatting sqref="I34">
    <cfRule type="cellIs" dxfId="1640" priority="1799" operator="lessThan">
      <formula>0</formula>
    </cfRule>
  </conditionalFormatting>
  <conditionalFormatting sqref="I34">
    <cfRule type="cellIs" dxfId="1639" priority="1798" operator="lessThan">
      <formula>0</formula>
    </cfRule>
  </conditionalFormatting>
  <conditionalFormatting sqref="I34">
    <cfRule type="cellIs" dxfId="1638" priority="1797" operator="lessThan">
      <formula>0</formula>
    </cfRule>
  </conditionalFormatting>
  <conditionalFormatting sqref="I34">
    <cfRule type="cellIs" dxfId="1637" priority="1796" operator="lessThan">
      <formula>0</formula>
    </cfRule>
  </conditionalFormatting>
  <conditionalFormatting sqref="I34">
    <cfRule type="cellIs" dxfId="1636" priority="1795" operator="lessThan">
      <formula>0</formula>
    </cfRule>
  </conditionalFormatting>
  <conditionalFormatting sqref="I34">
    <cfRule type="cellIs" dxfId="1635" priority="1794" operator="lessThan">
      <formula>0</formula>
    </cfRule>
  </conditionalFormatting>
  <conditionalFormatting sqref="I34">
    <cfRule type="cellIs" dxfId="1634" priority="1793" operator="lessThan">
      <formula>0</formula>
    </cfRule>
  </conditionalFormatting>
  <conditionalFormatting sqref="I34">
    <cfRule type="cellIs" dxfId="1633" priority="1792" operator="lessThan">
      <formula>0</formula>
    </cfRule>
  </conditionalFormatting>
  <conditionalFormatting sqref="I34">
    <cfRule type="cellIs" dxfId="1632" priority="1791" operator="lessThan">
      <formula>0</formula>
    </cfRule>
  </conditionalFormatting>
  <conditionalFormatting sqref="I34">
    <cfRule type="cellIs" dxfId="1631" priority="1790" operator="lessThan">
      <formula>0</formula>
    </cfRule>
  </conditionalFormatting>
  <conditionalFormatting sqref="I34">
    <cfRule type="cellIs" dxfId="1630" priority="1789" operator="lessThan">
      <formula>0</formula>
    </cfRule>
  </conditionalFormatting>
  <conditionalFormatting sqref="I34">
    <cfRule type="cellIs" dxfId="1629" priority="1788" operator="lessThan">
      <formula>0</formula>
    </cfRule>
  </conditionalFormatting>
  <conditionalFormatting sqref="I34">
    <cfRule type="cellIs" dxfId="1628" priority="1787" operator="lessThan">
      <formula>0</formula>
    </cfRule>
  </conditionalFormatting>
  <conditionalFormatting sqref="I34">
    <cfRule type="cellIs" dxfId="1627" priority="1786" operator="lessThan">
      <formula>0</formula>
    </cfRule>
  </conditionalFormatting>
  <conditionalFormatting sqref="I34">
    <cfRule type="cellIs" dxfId="1626" priority="1785" operator="lessThan">
      <formula>0</formula>
    </cfRule>
  </conditionalFormatting>
  <conditionalFormatting sqref="I34">
    <cfRule type="cellIs" dxfId="1625" priority="1784" operator="lessThan">
      <formula>0</formula>
    </cfRule>
  </conditionalFormatting>
  <conditionalFormatting sqref="I34">
    <cfRule type="cellIs" dxfId="1624" priority="1783" operator="lessThan">
      <formula>0</formula>
    </cfRule>
  </conditionalFormatting>
  <conditionalFormatting sqref="I34">
    <cfRule type="cellIs" dxfId="1623" priority="1782" operator="lessThan">
      <formula>0</formula>
    </cfRule>
  </conditionalFormatting>
  <conditionalFormatting sqref="I34">
    <cfRule type="cellIs" dxfId="1622" priority="1781" operator="lessThan">
      <formula>0</formula>
    </cfRule>
  </conditionalFormatting>
  <conditionalFormatting sqref="I34">
    <cfRule type="cellIs" dxfId="1621" priority="1780" operator="lessThan">
      <formula>0</formula>
    </cfRule>
  </conditionalFormatting>
  <conditionalFormatting sqref="I34">
    <cfRule type="cellIs" dxfId="1620" priority="1779" operator="lessThan">
      <formula>0</formula>
    </cfRule>
  </conditionalFormatting>
  <conditionalFormatting sqref="I34">
    <cfRule type="cellIs" dxfId="1619" priority="1778" operator="lessThan">
      <formula>0</formula>
    </cfRule>
  </conditionalFormatting>
  <conditionalFormatting sqref="I34">
    <cfRule type="cellIs" dxfId="1618" priority="1777" operator="lessThan">
      <formula>0</formula>
    </cfRule>
  </conditionalFormatting>
  <conditionalFormatting sqref="I34">
    <cfRule type="cellIs" dxfId="1617" priority="1776" operator="lessThan">
      <formula>0</formula>
    </cfRule>
  </conditionalFormatting>
  <conditionalFormatting sqref="I34">
    <cfRule type="cellIs" dxfId="1616" priority="1775" operator="lessThan">
      <formula>0</formula>
    </cfRule>
  </conditionalFormatting>
  <conditionalFormatting sqref="I34">
    <cfRule type="cellIs" dxfId="1615" priority="1774" operator="lessThan">
      <formula>0</formula>
    </cfRule>
  </conditionalFormatting>
  <conditionalFormatting sqref="I34">
    <cfRule type="cellIs" dxfId="1614" priority="1773" operator="lessThan">
      <formula>0</formula>
    </cfRule>
  </conditionalFormatting>
  <conditionalFormatting sqref="I34">
    <cfRule type="cellIs" dxfId="1613" priority="1772" operator="lessThan">
      <formula>0</formula>
    </cfRule>
  </conditionalFormatting>
  <conditionalFormatting sqref="I34">
    <cfRule type="cellIs" dxfId="1612" priority="1771" operator="lessThan">
      <formula>0</formula>
    </cfRule>
  </conditionalFormatting>
  <conditionalFormatting sqref="I34">
    <cfRule type="cellIs" dxfId="1611" priority="1770" operator="lessThan">
      <formula>0</formula>
    </cfRule>
  </conditionalFormatting>
  <conditionalFormatting sqref="I34">
    <cfRule type="cellIs" dxfId="1610" priority="1769" operator="lessThan">
      <formula>0</formula>
    </cfRule>
  </conditionalFormatting>
  <conditionalFormatting sqref="I34">
    <cfRule type="cellIs" dxfId="1609" priority="1768" operator="lessThan">
      <formula>0</formula>
    </cfRule>
  </conditionalFormatting>
  <conditionalFormatting sqref="I34">
    <cfRule type="cellIs" dxfId="1608" priority="1767" operator="lessThan">
      <formula>0</formula>
    </cfRule>
  </conditionalFormatting>
  <conditionalFormatting sqref="I34">
    <cfRule type="cellIs" dxfId="1607" priority="1766" operator="lessThan">
      <formula>0</formula>
    </cfRule>
  </conditionalFormatting>
  <conditionalFormatting sqref="I34">
    <cfRule type="cellIs" dxfId="1606" priority="1765" operator="lessThan">
      <formula>0</formula>
    </cfRule>
  </conditionalFormatting>
  <conditionalFormatting sqref="I34">
    <cfRule type="cellIs" dxfId="1605" priority="1764" operator="lessThan">
      <formula>0</formula>
    </cfRule>
  </conditionalFormatting>
  <conditionalFormatting sqref="I34">
    <cfRule type="cellIs" dxfId="1604" priority="1763" operator="lessThan">
      <formula>0</formula>
    </cfRule>
  </conditionalFormatting>
  <conditionalFormatting sqref="I34">
    <cfRule type="cellIs" dxfId="1603" priority="1762" operator="lessThan">
      <formula>0</formula>
    </cfRule>
  </conditionalFormatting>
  <conditionalFormatting sqref="I34">
    <cfRule type="cellIs" dxfId="1602" priority="1761" operator="lessThan">
      <formula>0</formula>
    </cfRule>
  </conditionalFormatting>
  <conditionalFormatting sqref="I34">
    <cfRule type="cellIs" dxfId="1601" priority="1760" operator="lessThan">
      <formula>0</formula>
    </cfRule>
  </conditionalFormatting>
  <conditionalFormatting sqref="I34">
    <cfRule type="cellIs" dxfId="1600" priority="1759" operator="lessThan">
      <formula>0</formula>
    </cfRule>
  </conditionalFormatting>
  <conditionalFormatting sqref="I34">
    <cfRule type="cellIs" dxfId="1599" priority="1758" operator="lessThan">
      <formula>0</formula>
    </cfRule>
  </conditionalFormatting>
  <conditionalFormatting sqref="I34">
    <cfRule type="cellIs" dxfId="1598" priority="1757" operator="lessThan">
      <formula>0</formula>
    </cfRule>
  </conditionalFormatting>
  <conditionalFormatting sqref="I34">
    <cfRule type="cellIs" dxfId="1597" priority="1756" operator="lessThan">
      <formula>0</formula>
    </cfRule>
  </conditionalFormatting>
  <conditionalFormatting sqref="I34">
    <cfRule type="cellIs" dxfId="1596" priority="1755" operator="lessThan">
      <formula>0</formula>
    </cfRule>
  </conditionalFormatting>
  <conditionalFormatting sqref="I34">
    <cfRule type="cellIs" dxfId="1595" priority="1754" operator="lessThan">
      <formula>0</formula>
    </cfRule>
  </conditionalFormatting>
  <conditionalFormatting sqref="I34">
    <cfRule type="cellIs" dxfId="1594" priority="1753" operator="lessThan">
      <formula>0</formula>
    </cfRule>
  </conditionalFormatting>
  <conditionalFormatting sqref="I34">
    <cfRule type="cellIs" dxfId="1593" priority="1752" operator="lessThan">
      <formula>0</formula>
    </cfRule>
  </conditionalFormatting>
  <conditionalFormatting sqref="I34">
    <cfRule type="cellIs" dxfId="1592" priority="1751" operator="lessThan">
      <formula>0</formula>
    </cfRule>
  </conditionalFormatting>
  <conditionalFormatting sqref="I34">
    <cfRule type="cellIs" dxfId="1591" priority="1750" operator="lessThan">
      <formula>0</formula>
    </cfRule>
  </conditionalFormatting>
  <conditionalFormatting sqref="I34">
    <cfRule type="cellIs" dxfId="1590" priority="1749" operator="lessThan">
      <formula>0</formula>
    </cfRule>
  </conditionalFormatting>
  <conditionalFormatting sqref="I34">
    <cfRule type="cellIs" dxfId="1589" priority="1748" operator="lessThan">
      <formula>0</formula>
    </cfRule>
  </conditionalFormatting>
  <conditionalFormatting sqref="I34">
    <cfRule type="cellIs" dxfId="1588" priority="1747" operator="lessThan">
      <formula>0</formula>
    </cfRule>
  </conditionalFormatting>
  <conditionalFormatting sqref="I34">
    <cfRule type="cellIs" dxfId="1587" priority="1746" operator="lessThan">
      <formula>0</formula>
    </cfRule>
  </conditionalFormatting>
  <conditionalFormatting sqref="I34">
    <cfRule type="cellIs" dxfId="1586" priority="1745" operator="lessThan">
      <formula>0</formula>
    </cfRule>
  </conditionalFormatting>
  <conditionalFormatting sqref="I34">
    <cfRule type="cellIs" dxfId="1585" priority="1744" operator="lessThan">
      <formula>0</formula>
    </cfRule>
  </conditionalFormatting>
  <conditionalFormatting sqref="I34">
    <cfRule type="cellIs" dxfId="1584" priority="1743" operator="lessThan">
      <formula>0</formula>
    </cfRule>
  </conditionalFormatting>
  <conditionalFormatting sqref="I34">
    <cfRule type="cellIs" dxfId="1583" priority="1742" operator="lessThan">
      <formula>0</formula>
    </cfRule>
  </conditionalFormatting>
  <conditionalFormatting sqref="I34">
    <cfRule type="cellIs" dxfId="1582" priority="1741" operator="lessThan">
      <formula>0</formula>
    </cfRule>
  </conditionalFormatting>
  <conditionalFormatting sqref="I34">
    <cfRule type="cellIs" dxfId="1581" priority="1740" operator="lessThan">
      <formula>0</formula>
    </cfRule>
  </conditionalFormatting>
  <conditionalFormatting sqref="I34">
    <cfRule type="cellIs" dxfId="1580" priority="1739" operator="lessThan">
      <formula>0</formula>
    </cfRule>
  </conditionalFormatting>
  <conditionalFormatting sqref="I34">
    <cfRule type="cellIs" dxfId="1579" priority="1738" operator="lessThan">
      <formula>0</formula>
    </cfRule>
  </conditionalFormatting>
  <conditionalFormatting sqref="I34">
    <cfRule type="cellIs" dxfId="1578" priority="1737" operator="lessThan">
      <formula>0</formula>
    </cfRule>
  </conditionalFormatting>
  <conditionalFormatting sqref="I34">
    <cfRule type="cellIs" dxfId="1577" priority="1736" operator="lessThan">
      <formula>0</formula>
    </cfRule>
  </conditionalFormatting>
  <conditionalFormatting sqref="I34">
    <cfRule type="cellIs" dxfId="1576" priority="1735" operator="lessThan">
      <formula>0</formula>
    </cfRule>
  </conditionalFormatting>
  <conditionalFormatting sqref="I34">
    <cfRule type="cellIs" dxfId="1575" priority="1734" operator="lessThan">
      <formula>0</formula>
    </cfRule>
  </conditionalFormatting>
  <conditionalFormatting sqref="I34">
    <cfRule type="cellIs" dxfId="1574" priority="1733" operator="lessThan">
      <formula>0</formula>
    </cfRule>
  </conditionalFormatting>
  <conditionalFormatting sqref="I34">
    <cfRule type="cellIs" dxfId="1573" priority="1732" operator="lessThan">
      <formula>0</formula>
    </cfRule>
  </conditionalFormatting>
  <conditionalFormatting sqref="I34">
    <cfRule type="cellIs" dxfId="1572" priority="1731" operator="lessThan">
      <formula>0</formula>
    </cfRule>
  </conditionalFormatting>
  <conditionalFormatting sqref="I34">
    <cfRule type="cellIs" dxfId="1571" priority="1730" operator="lessThan">
      <formula>0</formula>
    </cfRule>
  </conditionalFormatting>
  <conditionalFormatting sqref="I34">
    <cfRule type="cellIs" dxfId="1570" priority="1729" operator="lessThan">
      <formula>0</formula>
    </cfRule>
  </conditionalFormatting>
  <conditionalFormatting sqref="I34">
    <cfRule type="cellIs" dxfId="1569" priority="1728" operator="lessThan">
      <formula>0</formula>
    </cfRule>
  </conditionalFormatting>
  <conditionalFormatting sqref="I34">
    <cfRule type="cellIs" dxfId="1568" priority="1727" operator="lessThan">
      <formula>0</formula>
    </cfRule>
  </conditionalFormatting>
  <conditionalFormatting sqref="I34">
    <cfRule type="cellIs" dxfId="1567" priority="1726" operator="lessThan">
      <formula>0</formula>
    </cfRule>
  </conditionalFormatting>
  <conditionalFormatting sqref="I34">
    <cfRule type="cellIs" dxfId="1566" priority="1725" operator="lessThan">
      <formula>0</formula>
    </cfRule>
  </conditionalFormatting>
  <conditionalFormatting sqref="I34">
    <cfRule type="cellIs" dxfId="1565" priority="1724" operator="lessThan">
      <formula>0</formula>
    </cfRule>
  </conditionalFormatting>
  <conditionalFormatting sqref="I34">
    <cfRule type="cellIs" dxfId="1564" priority="1723" operator="lessThan">
      <formula>0</formula>
    </cfRule>
  </conditionalFormatting>
  <conditionalFormatting sqref="I34">
    <cfRule type="cellIs" dxfId="1563" priority="1722" operator="lessThan">
      <formula>0</formula>
    </cfRule>
  </conditionalFormatting>
  <conditionalFormatting sqref="I34">
    <cfRule type="cellIs" dxfId="1562" priority="1721" operator="lessThan">
      <formula>0</formula>
    </cfRule>
  </conditionalFormatting>
  <conditionalFormatting sqref="I34">
    <cfRule type="cellIs" dxfId="1561" priority="1720" operator="lessThan">
      <formula>0</formula>
    </cfRule>
  </conditionalFormatting>
  <conditionalFormatting sqref="I34">
    <cfRule type="cellIs" dxfId="1560" priority="1719" operator="lessThan">
      <formula>0</formula>
    </cfRule>
  </conditionalFormatting>
  <conditionalFormatting sqref="I34">
    <cfRule type="cellIs" dxfId="1559" priority="1718" operator="lessThan">
      <formula>0</formula>
    </cfRule>
  </conditionalFormatting>
  <conditionalFormatting sqref="I34">
    <cfRule type="cellIs" dxfId="1558" priority="1717" operator="lessThan">
      <formula>0</formula>
    </cfRule>
  </conditionalFormatting>
  <conditionalFormatting sqref="I34">
    <cfRule type="cellIs" dxfId="1557" priority="1716" operator="lessThan">
      <formula>0</formula>
    </cfRule>
  </conditionalFormatting>
  <conditionalFormatting sqref="I34">
    <cfRule type="cellIs" dxfId="1556" priority="1715" operator="lessThan">
      <formula>0</formula>
    </cfRule>
  </conditionalFormatting>
  <conditionalFormatting sqref="I34">
    <cfRule type="cellIs" dxfId="1555" priority="1714" operator="lessThan">
      <formula>0</formula>
    </cfRule>
  </conditionalFormatting>
  <conditionalFormatting sqref="I34">
    <cfRule type="cellIs" dxfId="1554" priority="1713" operator="lessThan">
      <formula>0</formula>
    </cfRule>
  </conditionalFormatting>
  <conditionalFormatting sqref="I34">
    <cfRule type="cellIs" dxfId="1553" priority="1712" operator="lessThan">
      <formula>0</formula>
    </cfRule>
  </conditionalFormatting>
  <conditionalFormatting sqref="I34">
    <cfRule type="cellIs" dxfId="1552" priority="1711" operator="lessThan">
      <formula>0</formula>
    </cfRule>
  </conditionalFormatting>
  <conditionalFormatting sqref="I34">
    <cfRule type="cellIs" dxfId="1551" priority="1710" operator="lessThan">
      <formula>0</formula>
    </cfRule>
  </conditionalFormatting>
  <conditionalFormatting sqref="I34">
    <cfRule type="cellIs" dxfId="1550" priority="1709" operator="lessThan">
      <formula>0</formula>
    </cfRule>
  </conditionalFormatting>
  <conditionalFormatting sqref="I34">
    <cfRule type="cellIs" dxfId="1549" priority="1708" operator="lessThan">
      <formula>0</formula>
    </cfRule>
  </conditionalFormatting>
  <conditionalFormatting sqref="I34">
    <cfRule type="cellIs" dxfId="1548" priority="1707" operator="lessThan">
      <formula>0</formula>
    </cfRule>
  </conditionalFormatting>
  <conditionalFormatting sqref="I34">
    <cfRule type="cellIs" dxfId="1547" priority="1706" operator="lessThan">
      <formula>0</formula>
    </cfRule>
  </conditionalFormatting>
  <conditionalFormatting sqref="I34">
    <cfRule type="cellIs" dxfId="1546" priority="1705" operator="lessThan">
      <formula>0</formula>
    </cfRule>
  </conditionalFormatting>
  <conditionalFormatting sqref="I34">
    <cfRule type="cellIs" dxfId="1545" priority="1704" operator="lessThan">
      <formula>0</formula>
    </cfRule>
  </conditionalFormatting>
  <conditionalFormatting sqref="I34">
    <cfRule type="cellIs" dxfId="1544" priority="1703" operator="lessThan">
      <formula>0</formula>
    </cfRule>
  </conditionalFormatting>
  <conditionalFormatting sqref="I34">
    <cfRule type="cellIs" dxfId="1543" priority="1702" operator="lessThan">
      <formula>0</formula>
    </cfRule>
  </conditionalFormatting>
  <conditionalFormatting sqref="I34">
    <cfRule type="cellIs" dxfId="1542" priority="1701" operator="lessThan">
      <formula>0</formula>
    </cfRule>
  </conditionalFormatting>
  <conditionalFormatting sqref="I34">
    <cfRule type="cellIs" dxfId="1541" priority="1700" operator="lessThan">
      <formula>0</formula>
    </cfRule>
  </conditionalFormatting>
  <conditionalFormatting sqref="I34">
    <cfRule type="cellIs" dxfId="1540" priority="1699" operator="lessThan">
      <formula>0</formula>
    </cfRule>
  </conditionalFormatting>
  <conditionalFormatting sqref="I34">
    <cfRule type="cellIs" dxfId="1539" priority="1698" operator="lessThan">
      <formula>0</formula>
    </cfRule>
  </conditionalFormatting>
  <conditionalFormatting sqref="I34">
    <cfRule type="cellIs" dxfId="1538" priority="1697" operator="lessThan">
      <formula>0</formula>
    </cfRule>
  </conditionalFormatting>
  <conditionalFormatting sqref="I34">
    <cfRule type="cellIs" dxfId="1537" priority="1696" operator="lessThan">
      <formula>0</formula>
    </cfRule>
  </conditionalFormatting>
  <conditionalFormatting sqref="I34">
    <cfRule type="cellIs" dxfId="1536" priority="1695" operator="lessThan">
      <formula>0</formula>
    </cfRule>
  </conditionalFormatting>
  <conditionalFormatting sqref="I34">
    <cfRule type="cellIs" dxfId="1535" priority="1694" operator="lessThan">
      <formula>0</formula>
    </cfRule>
  </conditionalFormatting>
  <conditionalFormatting sqref="I34">
    <cfRule type="cellIs" dxfId="1534" priority="1693" operator="lessThan">
      <formula>0</formula>
    </cfRule>
  </conditionalFormatting>
  <conditionalFormatting sqref="I34">
    <cfRule type="cellIs" dxfId="1533" priority="1692" operator="lessThan">
      <formula>0</formula>
    </cfRule>
  </conditionalFormatting>
  <conditionalFormatting sqref="I34">
    <cfRule type="cellIs" dxfId="1532" priority="1691" operator="lessThan">
      <formula>0</formula>
    </cfRule>
  </conditionalFormatting>
  <conditionalFormatting sqref="I34">
    <cfRule type="cellIs" dxfId="1531" priority="1690" operator="lessThan">
      <formula>0</formula>
    </cfRule>
  </conditionalFormatting>
  <conditionalFormatting sqref="I34">
    <cfRule type="cellIs" dxfId="1530" priority="1689" operator="lessThan">
      <formula>0</formula>
    </cfRule>
  </conditionalFormatting>
  <conditionalFormatting sqref="I34">
    <cfRule type="cellIs" dxfId="1529" priority="1688" operator="lessThan">
      <formula>0</formula>
    </cfRule>
  </conditionalFormatting>
  <conditionalFormatting sqref="I34">
    <cfRule type="cellIs" dxfId="1528" priority="1687" operator="lessThan">
      <formula>0</formula>
    </cfRule>
  </conditionalFormatting>
  <conditionalFormatting sqref="I34">
    <cfRule type="cellIs" dxfId="1527" priority="1686" operator="lessThan">
      <formula>0</formula>
    </cfRule>
  </conditionalFormatting>
  <conditionalFormatting sqref="I34">
    <cfRule type="cellIs" dxfId="1526" priority="1685" operator="lessThan">
      <formula>0</formula>
    </cfRule>
  </conditionalFormatting>
  <conditionalFormatting sqref="I34">
    <cfRule type="cellIs" dxfId="1525" priority="1684" operator="lessThan">
      <formula>0</formula>
    </cfRule>
  </conditionalFormatting>
  <conditionalFormatting sqref="I34">
    <cfRule type="cellIs" dxfId="1524" priority="1683" operator="lessThan">
      <formula>0</formula>
    </cfRule>
  </conditionalFormatting>
  <conditionalFormatting sqref="I34">
    <cfRule type="cellIs" dxfId="1523" priority="1682" operator="lessThan">
      <formula>0</formula>
    </cfRule>
  </conditionalFormatting>
  <conditionalFormatting sqref="I34">
    <cfRule type="cellIs" dxfId="1522" priority="1681" operator="lessThan">
      <formula>0</formula>
    </cfRule>
  </conditionalFormatting>
  <conditionalFormatting sqref="I34">
    <cfRule type="cellIs" dxfId="1521" priority="1680" operator="lessThan">
      <formula>0</formula>
    </cfRule>
  </conditionalFormatting>
  <conditionalFormatting sqref="I34">
    <cfRule type="cellIs" dxfId="1520" priority="1679" operator="lessThan">
      <formula>0</formula>
    </cfRule>
  </conditionalFormatting>
  <conditionalFormatting sqref="I34">
    <cfRule type="cellIs" dxfId="1519" priority="1678" operator="lessThan">
      <formula>0</formula>
    </cfRule>
  </conditionalFormatting>
  <conditionalFormatting sqref="I34">
    <cfRule type="cellIs" dxfId="1518" priority="1677" operator="lessThan">
      <formula>0</formula>
    </cfRule>
  </conditionalFormatting>
  <conditionalFormatting sqref="I34">
    <cfRule type="cellIs" dxfId="1517" priority="1676" operator="lessThan">
      <formula>0</formula>
    </cfRule>
  </conditionalFormatting>
  <conditionalFormatting sqref="I34">
    <cfRule type="cellIs" dxfId="1516" priority="1675" operator="lessThan">
      <formula>0</formula>
    </cfRule>
  </conditionalFormatting>
  <conditionalFormatting sqref="I34">
    <cfRule type="cellIs" dxfId="1515" priority="1674" operator="lessThan">
      <formula>0</formula>
    </cfRule>
  </conditionalFormatting>
  <conditionalFormatting sqref="I34">
    <cfRule type="cellIs" dxfId="1514" priority="1673" operator="lessThan">
      <formula>0</formula>
    </cfRule>
  </conditionalFormatting>
  <conditionalFormatting sqref="I34">
    <cfRule type="cellIs" dxfId="1513" priority="1672" operator="lessThan">
      <formula>0</formula>
    </cfRule>
  </conditionalFormatting>
  <conditionalFormatting sqref="I34">
    <cfRule type="cellIs" dxfId="1512" priority="1671" operator="lessThan">
      <formula>0</formula>
    </cfRule>
  </conditionalFormatting>
  <conditionalFormatting sqref="I34">
    <cfRule type="cellIs" dxfId="1511" priority="1670" operator="lessThan">
      <formula>0</formula>
    </cfRule>
  </conditionalFormatting>
  <conditionalFormatting sqref="I34">
    <cfRule type="cellIs" dxfId="1510" priority="1669" operator="lessThan">
      <formula>0</formula>
    </cfRule>
  </conditionalFormatting>
  <conditionalFormatting sqref="I34">
    <cfRule type="cellIs" dxfId="1509" priority="1668" operator="lessThan">
      <formula>0</formula>
    </cfRule>
  </conditionalFormatting>
  <conditionalFormatting sqref="I34">
    <cfRule type="cellIs" dxfId="1508" priority="1667" operator="lessThan">
      <formula>0</formula>
    </cfRule>
  </conditionalFormatting>
  <conditionalFormatting sqref="I34">
    <cfRule type="cellIs" dxfId="1507" priority="1666" operator="lessThan">
      <formula>0</formula>
    </cfRule>
  </conditionalFormatting>
  <conditionalFormatting sqref="I34">
    <cfRule type="cellIs" dxfId="1506" priority="1665" operator="lessThan">
      <formula>0</formula>
    </cfRule>
  </conditionalFormatting>
  <conditionalFormatting sqref="I34">
    <cfRule type="cellIs" dxfId="1505" priority="1664" operator="lessThan">
      <formula>0</formula>
    </cfRule>
  </conditionalFormatting>
  <conditionalFormatting sqref="I34">
    <cfRule type="cellIs" dxfId="1504" priority="1663" operator="lessThan">
      <formula>0</formula>
    </cfRule>
  </conditionalFormatting>
  <conditionalFormatting sqref="I34">
    <cfRule type="cellIs" dxfId="1503" priority="1662" operator="lessThan">
      <formula>0</formula>
    </cfRule>
  </conditionalFormatting>
  <conditionalFormatting sqref="I34">
    <cfRule type="cellIs" dxfId="1502" priority="1661" operator="lessThan">
      <formula>0</formula>
    </cfRule>
  </conditionalFormatting>
  <conditionalFormatting sqref="I34">
    <cfRule type="cellIs" dxfId="1501" priority="1660" operator="lessThan">
      <formula>0</formula>
    </cfRule>
  </conditionalFormatting>
  <conditionalFormatting sqref="I34">
    <cfRule type="cellIs" dxfId="1500" priority="1659" operator="lessThan">
      <formula>0</formula>
    </cfRule>
  </conditionalFormatting>
  <conditionalFormatting sqref="I34">
    <cfRule type="cellIs" dxfId="1499" priority="1658" operator="lessThan">
      <formula>0</formula>
    </cfRule>
  </conditionalFormatting>
  <conditionalFormatting sqref="I34">
    <cfRule type="cellIs" dxfId="1498" priority="1657" operator="lessThan">
      <formula>0</formula>
    </cfRule>
  </conditionalFormatting>
  <conditionalFormatting sqref="I34">
    <cfRule type="cellIs" dxfId="1497" priority="1656" operator="lessThan">
      <formula>0</formula>
    </cfRule>
  </conditionalFormatting>
  <conditionalFormatting sqref="I34">
    <cfRule type="cellIs" dxfId="1496" priority="1655" operator="lessThan">
      <formula>0</formula>
    </cfRule>
  </conditionalFormatting>
  <conditionalFormatting sqref="I34">
    <cfRule type="cellIs" dxfId="1495" priority="1654" operator="lessThan">
      <formula>0</formula>
    </cfRule>
  </conditionalFormatting>
  <conditionalFormatting sqref="I34">
    <cfRule type="cellIs" dxfId="1494" priority="1653" operator="lessThan">
      <formula>0</formula>
    </cfRule>
  </conditionalFormatting>
  <conditionalFormatting sqref="I34">
    <cfRule type="cellIs" dxfId="1493" priority="1652" operator="lessThan">
      <formula>0</formula>
    </cfRule>
  </conditionalFormatting>
  <conditionalFormatting sqref="I34">
    <cfRule type="cellIs" dxfId="1492" priority="1651" operator="lessThan">
      <formula>0</formula>
    </cfRule>
  </conditionalFormatting>
  <conditionalFormatting sqref="I34">
    <cfRule type="cellIs" dxfId="1491" priority="1650" operator="lessThan">
      <formula>0</formula>
    </cfRule>
  </conditionalFormatting>
  <conditionalFormatting sqref="I34">
    <cfRule type="cellIs" dxfId="1490" priority="1649" operator="lessThan">
      <formula>0</formula>
    </cfRule>
  </conditionalFormatting>
  <conditionalFormatting sqref="I34">
    <cfRule type="cellIs" dxfId="1489" priority="1648" operator="lessThan">
      <formula>0</formula>
    </cfRule>
  </conditionalFormatting>
  <conditionalFormatting sqref="I34">
    <cfRule type="cellIs" dxfId="1488" priority="1647" operator="lessThan">
      <formula>0</formula>
    </cfRule>
  </conditionalFormatting>
  <conditionalFormatting sqref="I34">
    <cfRule type="cellIs" dxfId="1487" priority="1646" operator="lessThan">
      <formula>0</formula>
    </cfRule>
  </conditionalFormatting>
  <conditionalFormatting sqref="I34">
    <cfRule type="cellIs" dxfId="1486" priority="1645" operator="lessThan">
      <formula>0</formula>
    </cfRule>
  </conditionalFormatting>
  <conditionalFormatting sqref="I34">
    <cfRule type="cellIs" dxfId="1485" priority="1644" operator="lessThan">
      <formula>0</formula>
    </cfRule>
  </conditionalFormatting>
  <conditionalFormatting sqref="I34">
    <cfRule type="cellIs" dxfId="1484" priority="1643" operator="lessThan">
      <formula>0</formula>
    </cfRule>
  </conditionalFormatting>
  <conditionalFormatting sqref="I34">
    <cfRule type="cellIs" dxfId="1483" priority="1642" operator="lessThan">
      <formula>0</formula>
    </cfRule>
  </conditionalFormatting>
  <conditionalFormatting sqref="I34">
    <cfRule type="cellIs" dxfId="1482" priority="1641" operator="lessThan">
      <formula>0</formula>
    </cfRule>
  </conditionalFormatting>
  <conditionalFormatting sqref="I34">
    <cfRule type="cellIs" dxfId="1481" priority="1640" operator="lessThan">
      <formula>0</formula>
    </cfRule>
  </conditionalFormatting>
  <conditionalFormatting sqref="I34">
    <cfRule type="cellIs" dxfId="1480" priority="1639" operator="lessThan">
      <formula>0</formula>
    </cfRule>
  </conditionalFormatting>
  <conditionalFormatting sqref="I34">
    <cfRule type="cellIs" dxfId="1479" priority="1638" operator="lessThan">
      <formula>0</formula>
    </cfRule>
  </conditionalFormatting>
  <conditionalFormatting sqref="I34">
    <cfRule type="cellIs" dxfId="1478" priority="1637" operator="lessThan">
      <formula>0</formula>
    </cfRule>
  </conditionalFormatting>
  <conditionalFormatting sqref="I34">
    <cfRule type="cellIs" dxfId="1477" priority="1636" operator="lessThan">
      <formula>0</formula>
    </cfRule>
  </conditionalFormatting>
  <conditionalFormatting sqref="I34">
    <cfRule type="cellIs" dxfId="1476" priority="1635" operator="lessThan">
      <formula>0</formula>
    </cfRule>
  </conditionalFormatting>
  <conditionalFormatting sqref="I34">
    <cfRule type="cellIs" dxfId="1475" priority="1634" operator="lessThan">
      <formula>0</formula>
    </cfRule>
  </conditionalFormatting>
  <conditionalFormatting sqref="I34">
    <cfRule type="cellIs" dxfId="1474" priority="1633" operator="lessThan">
      <formula>0</formula>
    </cfRule>
  </conditionalFormatting>
  <conditionalFormatting sqref="I34">
    <cfRule type="cellIs" dxfId="1473" priority="1632" operator="lessThan">
      <formula>0</formula>
    </cfRule>
  </conditionalFormatting>
  <conditionalFormatting sqref="I34">
    <cfRule type="cellIs" dxfId="1472" priority="1631" operator="lessThan">
      <formula>0</formula>
    </cfRule>
  </conditionalFormatting>
  <conditionalFormatting sqref="I34">
    <cfRule type="cellIs" dxfId="1471" priority="1630" operator="lessThan">
      <formula>0</formula>
    </cfRule>
  </conditionalFormatting>
  <conditionalFormatting sqref="I34">
    <cfRule type="cellIs" dxfId="1470" priority="1629" operator="lessThan">
      <formula>0</formula>
    </cfRule>
  </conditionalFormatting>
  <conditionalFormatting sqref="I34">
    <cfRule type="cellIs" dxfId="1469" priority="1628" operator="lessThan">
      <formula>0</formula>
    </cfRule>
  </conditionalFormatting>
  <conditionalFormatting sqref="I34">
    <cfRule type="cellIs" dxfId="1468" priority="1627" operator="lessThan">
      <formula>0</formula>
    </cfRule>
  </conditionalFormatting>
  <conditionalFormatting sqref="I34">
    <cfRule type="cellIs" dxfId="1467" priority="1626" operator="lessThan">
      <formula>0</formula>
    </cfRule>
  </conditionalFormatting>
  <conditionalFormatting sqref="I34">
    <cfRule type="cellIs" dxfId="1466" priority="1625" operator="lessThan">
      <formula>0</formula>
    </cfRule>
  </conditionalFormatting>
  <conditionalFormatting sqref="I34">
    <cfRule type="cellIs" dxfId="1465" priority="1624" operator="lessThan">
      <formula>0</formula>
    </cfRule>
  </conditionalFormatting>
  <conditionalFormatting sqref="I34">
    <cfRule type="cellIs" dxfId="1464" priority="1623" operator="lessThan">
      <formula>0</formula>
    </cfRule>
  </conditionalFormatting>
  <conditionalFormatting sqref="I34">
    <cfRule type="cellIs" dxfId="1463" priority="1622" operator="lessThan">
      <formula>0</formula>
    </cfRule>
  </conditionalFormatting>
  <conditionalFormatting sqref="I34">
    <cfRule type="cellIs" dxfId="1462" priority="1621" operator="lessThan">
      <formula>0</formula>
    </cfRule>
  </conditionalFormatting>
  <conditionalFormatting sqref="I34">
    <cfRule type="cellIs" dxfId="1461" priority="1620" operator="lessThan">
      <formula>0</formula>
    </cfRule>
  </conditionalFormatting>
  <conditionalFormatting sqref="I34">
    <cfRule type="cellIs" dxfId="1460" priority="1619" operator="lessThan">
      <formula>0</formula>
    </cfRule>
  </conditionalFormatting>
  <conditionalFormatting sqref="I34">
    <cfRule type="cellIs" dxfId="1459" priority="1618" operator="lessThan">
      <formula>0</formula>
    </cfRule>
  </conditionalFormatting>
  <conditionalFormatting sqref="I34">
    <cfRule type="cellIs" dxfId="1458" priority="1617" operator="lessThan">
      <formula>0</formula>
    </cfRule>
  </conditionalFormatting>
  <conditionalFormatting sqref="I34">
    <cfRule type="cellIs" dxfId="1457" priority="1616" operator="lessThan">
      <formula>0</formula>
    </cfRule>
  </conditionalFormatting>
  <conditionalFormatting sqref="I34">
    <cfRule type="cellIs" dxfId="1456" priority="1615" operator="lessThan">
      <formula>0</formula>
    </cfRule>
  </conditionalFormatting>
  <conditionalFormatting sqref="I34">
    <cfRule type="cellIs" dxfId="1455" priority="1614" operator="lessThan">
      <formula>0</formula>
    </cfRule>
  </conditionalFormatting>
  <conditionalFormatting sqref="I34">
    <cfRule type="cellIs" dxfId="1454" priority="1613" operator="lessThan">
      <formula>0</formula>
    </cfRule>
  </conditionalFormatting>
  <conditionalFormatting sqref="I34">
    <cfRule type="cellIs" dxfId="1453" priority="1612" operator="lessThan">
      <formula>0</formula>
    </cfRule>
  </conditionalFormatting>
  <conditionalFormatting sqref="I34">
    <cfRule type="cellIs" dxfId="1452" priority="1611" operator="lessThan">
      <formula>0</formula>
    </cfRule>
  </conditionalFormatting>
  <conditionalFormatting sqref="I34">
    <cfRule type="cellIs" dxfId="1451" priority="1610" operator="lessThan">
      <formula>0</formula>
    </cfRule>
  </conditionalFormatting>
  <conditionalFormatting sqref="I34">
    <cfRule type="cellIs" dxfId="1450" priority="1609" operator="lessThan">
      <formula>0</formula>
    </cfRule>
  </conditionalFormatting>
  <conditionalFormatting sqref="I34">
    <cfRule type="cellIs" dxfId="1449" priority="1608" operator="lessThan">
      <formula>0</formula>
    </cfRule>
  </conditionalFormatting>
  <conditionalFormatting sqref="I34">
    <cfRule type="cellIs" dxfId="1448" priority="1607" operator="lessThan">
      <formula>0</formula>
    </cfRule>
  </conditionalFormatting>
  <conditionalFormatting sqref="I34">
    <cfRule type="cellIs" dxfId="1447" priority="1606" operator="lessThan">
      <formula>0</formula>
    </cfRule>
  </conditionalFormatting>
  <conditionalFormatting sqref="I34">
    <cfRule type="cellIs" dxfId="1446" priority="1605" operator="lessThan">
      <formula>0</formula>
    </cfRule>
  </conditionalFormatting>
  <conditionalFormatting sqref="I34">
    <cfRule type="cellIs" dxfId="1445" priority="1604" operator="lessThan">
      <formula>0</formula>
    </cfRule>
  </conditionalFormatting>
  <conditionalFormatting sqref="I34">
    <cfRule type="cellIs" dxfId="1444" priority="1603" operator="lessThan">
      <formula>0</formula>
    </cfRule>
  </conditionalFormatting>
  <conditionalFormatting sqref="I34">
    <cfRule type="cellIs" dxfId="1443" priority="1602" operator="lessThan">
      <formula>0</formula>
    </cfRule>
  </conditionalFormatting>
  <conditionalFormatting sqref="I34">
    <cfRule type="cellIs" dxfId="1442" priority="1601" operator="lessThan">
      <formula>0</formula>
    </cfRule>
  </conditionalFormatting>
  <conditionalFormatting sqref="I34">
    <cfRule type="cellIs" dxfId="1441" priority="1600" operator="lessThan">
      <formula>0</formula>
    </cfRule>
  </conditionalFormatting>
  <conditionalFormatting sqref="I34">
    <cfRule type="cellIs" dxfId="1440" priority="1599" operator="lessThan">
      <formula>0</formula>
    </cfRule>
  </conditionalFormatting>
  <conditionalFormatting sqref="I34">
    <cfRule type="cellIs" dxfId="1439" priority="1598" operator="lessThan">
      <formula>0</formula>
    </cfRule>
  </conditionalFormatting>
  <conditionalFormatting sqref="I34">
    <cfRule type="cellIs" dxfId="1438" priority="1597" operator="lessThan">
      <formula>0</formula>
    </cfRule>
  </conditionalFormatting>
  <conditionalFormatting sqref="I34">
    <cfRule type="cellIs" dxfId="1437" priority="1596" operator="lessThan">
      <formula>0</formula>
    </cfRule>
  </conditionalFormatting>
  <conditionalFormatting sqref="I34">
    <cfRule type="cellIs" dxfId="1436" priority="1595" operator="lessThan">
      <formula>0</formula>
    </cfRule>
  </conditionalFormatting>
  <conditionalFormatting sqref="I34">
    <cfRule type="cellIs" dxfId="1435" priority="1594" operator="lessThan">
      <formula>0</formula>
    </cfRule>
  </conditionalFormatting>
  <conditionalFormatting sqref="I34">
    <cfRule type="cellIs" dxfId="1434" priority="1593" operator="lessThan">
      <formula>0</formula>
    </cfRule>
  </conditionalFormatting>
  <conditionalFormatting sqref="I34">
    <cfRule type="cellIs" dxfId="1433" priority="1592" operator="lessThan">
      <formula>0</formula>
    </cfRule>
  </conditionalFormatting>
  <conditionalFormatting sqref="I34">
    <cfRule type="cellIs" dxfId="1432" priority="1591" operator="lessThan">
      <formula>0</formula>
    </cfRule>
  </conditionalFormatting>
  <conditionalFormatting sqref="I34">
    <cfRule type="cellIs" dxfId="1431" priority="1590" operator="lessThan">
      <formula>0</formula>
    </cfRule>
  </conditionalFormatting>
  <conditionalFormatting sqref="I34">
    <cfRule type="cellIs" dxfId="1430" priority="1589" operator="lessThan">
      <formula>0</formula>
    </cfRule>
  </conditionalFormatting>
  <conditionalFormatting sqref="I34">
    <cfRule type="cellIs" dxfId="1429" priority="1588" operator="lessThan">
      <formula>0</formula>
    </cfRule>
  </conditionalFormatting>
  <conditionalFormatting sqref="I34">
    <cfRule type="cellIs" dxfId="1428" priority="1587" operator="lessThan">
      <formula>0</formula>
    </cfRule>
  </conditionalFormatting>
  <conditionalFormatting sqref="I34">
    <cfRule type="cellIs" dxfId="1427" priority="1586" operator="lessThan">
      <formula>0</formula>
    </cfRule>
  </conditionalFormatting>
  <conditionalFormatting sqref="I34">
    <cfRule type="cellIs" dxfId="1426" priority="1585" operator="lessThan">
      <formula>0</formula>
    </cfRule>
  </conditionalFormatting>
  <conditionalFormatting sqref="I34">
    <cfRule type="cellIs" dxfId="1425" priority="1584" operator="lessThan">
      <formula>0</formula>
    </cfRule>
  </conditionalFormatting>
  <conditionalFormatting sqref="I34">
    <cfRule type="cellIs" dxfId="1424" priority="1583" operator="lessThan">
      <formula>0</formula>
    </cfRule>
  </conditionalFormatting>
  <conditionalFormatting sqref="I34">
    <cfRule type="cellIs" dxfId="1423" priority="1582" operator="lessThan">
      <formula>0</formula>
    </cfRule>
  </conditionalFormatting>
  <conditionalFormatting sqref="I34">
    <cfRule type="cellIs" dxfId="1422" priority="1581" operator="lessThan">
      <formula>0</formula>
    </cfRule>
  </conditionalFormatting>
  <conditionalFormatting sqref="I34">
    <cfRule type="cellIs" dxfId="1421" priority="1580" operator="lessThan">
      <formula>0</formula>
    </cfRule>
  </conditionalFormatting>
  <conditionalFormatting sqref="I34">
    <cfRule type="cellIs" dxfId="1420" priority="1579" operator="lessThan">
      <formula>0</formula>
    </cfRule>
  </conditionalFormatting>
  <conditionalFormatting sqref="I34">
    <cfRule type="cellIs" dxfId="1419" priority="1578" operator="lessThan">
      <formula>0</formula>
    </cfRule>
  </conditionalFormatting>
  <conditionalFormatting sqref="I34">
    <cfRule type="cellIs" dxfId="1418" priority="1577" operator="lessThan">
      <formula>0</formula>
    </cfRule>
  </conditionalFormatting>
  <conditionalFormatting sqref="I34">
    <cfRule type="cellIs" dxfId="1417" priority="1576" operator="lessThan">
      <formula>0</formula>
    </cfRule>
  </conditionalFormatting>
  <conditionalFormatting sqref="I34">
    <cfRule type="cellIs" dxfId="1416" priority="1575" operator="lessThan">
      <formula>0</formula>
    </cfRule>
  </conditionalFormatting>
  <conditionalFormatting sqref="I34">
    <cfRule type="cellIs" dxfId="1415" priority="1574" operator="lessThan">
      <formula>0</formula>
    </cfRule>
  </conditionalFormatting>
  <conditionalFormatting sqref="I34">
    <cfRule type="cellIs" dxfId="1414" priority="1573" operator="lessThan">
      <formula>0</formula>
    </cfRule>
  </conditionalFormatting>
  <conditionalFormatting sqref="I34">
    <cfRule type="cellIs" dxfId="1413" priority="1572" operator="lessThan">
      <formula>0</formula>
    </cfRule>
  </conditionalFormatting>
  <conditionalFormatting sqref="I34">
    <cfRule type="cellIs" dxfId="1412" priority="1571" operator="lessThan">
      <formula>0</formula>
    </cfRule>
  </conditionalFormatting>
  <conditionalFormatting sqref="I34">
    <cfRule type="cellIs" dxfId="1411" priority="1570" operator="lessThan">
      <formula>0</formula>
    </cfRule>
  </conditionalFormatting>
  <conditionalFormatting sqref="I34">
    <cfRule type="cellIs" dxfId="1410" priority="1569" operator="lessThan">
      <formula>0</formula>
    </cfRule>
  </conditionalFormatting>
  <conditionalFormatting sqref="I34">
    <cfRule type="cellIs" dxfId="1409" priority="1568" operator="lessThan">
      <formula>0</formula>
    </cfRule>
  </conditionalFormatting>
  <conditionalFormatting sqref="I34">
    <cfRule type="cellIs" dxfId="1408" priority="1567" operator="lessThan">
      <formula>0</formula>
    </cfRule>
  </conditionalFormatting>
  <conditionalFormatting sqref="I34">
    <cfRule type="cellIs" dxfId="1407" priority="1566" operator="lessThan">
      <formula>0</formula>
    </cfRule>
  </conditionalFormatting>
  <conditionalFormatting sqref="I34">
    <cfRule type="cellIs" dxfId="1406" priority="1565" operator="lessThan">
      <formula>0</formula>
    </cfRule>
  </conditionalFormatting>
  <conditionalFormatting sqref="I34">
    <cfRule type="cellIs" dxfId="1405" priority="1564" operator="lessThan">
      <formula>0</formula>
    </cfRule>
  </conditionalFormatting>
  <conditionalFormatting sqref="I34">
    <cfRule type="cellIs" dxfId="1404" priority="1563" operator="lessThan">
      <formula>0</formula>
    </cfRule>
  </conditionalFormatting>
  <conditionalFormatting sqref="I34">
    <cfRule type="cellIs" dxfId="1403" priority="1562" operator="lessThan">
      <formula>0</formula>
    </cfRule>
  </conditionalFormatting>
  <conditionalFormatting sqref="I34">
    <cfRule type="cellIs" dxfId="1402" priority="1561" operator="lessThan">
      <formula>0</formula>
    </cfRule>
  </conditionalFormatting>
  <conditionalFormatting sqref="I34">
    <cfRule type="cellIs" dxfId="1401" priority="1560" operator="lessThan">
      <formula>0</formula>
    </cfRule>
  </conditionalFormatting>
  <conditionalFormatting sqref="I34">
    <cfRule type="cellIs" dxfId="1400" priority="1559" operator="lessThan">
      <formula>0</formula>
    </cfRule>
  </conditionalFormatting>
  <conditionalFormatting sqref="I34">
    <cfRule type="cellIs" dxfId="1399" priority="1558" operator="lessThan">
      <formula>0</formula>
    </cfRule>
  </conditionalFormatting>
  <conditionalFormatting sqref="I34">
    <cfRule type="cellIs" dxfId="1398" priority="1557" operator="lessThan">
      <formula>0</formula>
    </cfRule>
  </conditionalFormatting>
  <conditionalFormatting sqref="I34">
    <cfRule type="cellIs" dxfId="1397" priority="1556" operator="lessThan">
      <formula>0</formula>
    </cfRule>
  </conditionalFormatting>
  <conditionalFormatting sqref="I34">
    <cfRule type="cellIs" dxfId="1396" priority="1555" operator="lessThan">
      <formula>0</formula>
    </cfRule>
  </conditionalFormatting>
  <conditionalFormatting sqref="I34">
    <cfRule type="cellIs" dxfId="1395" priority="1554" operator="lessThan">
      <formula>0</formula>
    </cfRule>
  </conditionalFormatting>
  <conditionalFormatting sqref="I34">
    <cfRule type="cellIs" dxfId="1394" priority="1553" operator="lessThan">
      <formula>0</formula>
    </cfRule>
  </conditionalFormatting>
  <conditionalFormatting sqref="I34">
    <cfRule type="cellIs" dxfId="1393" priority="1552" operator="lessThan">
      <formula>0</formula>
    </cfRule>
  </conditionalFormatting>
  <conditionalFormatting sqref="I34">
    <cfRule type="cellIs" dxfId="1392" priority="1551" operator="lessThan">
      <formula>0</formula>
    </cfRule>
  </conditionalFormatting>
  <conditionalFormatting sqref="I34">
    <cfRule type="cellIs" dxfId="1391" priority="1550" operator="lessThan">
      <formula>0</formula>
    </cfRule>
  </conditionalFormatting>
  <conditionalFormatting sqref="I34">
    <cfRule type="cellIs" dxfId="1390" priority="1549" operator="lessThan">
      <formula>0</formula>
    </cfRule>
  </conditionalFormatting>
  <conditionalFormatting sqref="I34">
    <cfRule type="cellIs" dxfId="1389" priority="1548" operator="lessThan">
      <formula>0</formula>
    </cfRule>
  </conditionalFormatting>
  <conditionalFormatting sqref="I34">
    <cfRule type="cellIs" dxfId="1388" priority="1547" operator="lessThan">
      <formula>0</formula>
    </cfRule>
  </conditionalFormatting>
  <conditionalFormatting sqref="I34">
    <cfRule type="cellIs" dxfId="1387" priority="1546" operator="lessThan">
      <formula>0</formula>
    </cfRule>
  </conditionalFormatting>
  <conditionalFormatting sqref="I34">
    <cfRule type="cellIs" dxfId="1386" priority="1545" operator="lessThan">
      <formula>0</formula>
    </cfRule>
  </conditionalFormatting>
  <conditionalFormatting sqref="I34">
    <cfRule type="cellIs" dxfId="1385" priority="1544" operator="lessThan">
      <formula>0</formula>
    </cfRule>
  </conditionalFormatting>
  <conditionalFormatting sqref="I34">
    <cfRule type="cellIs" dxfId="1384" priority="1543" operator="lessThan">
      <formula>0</formula>
    </cfRule>
  </conditionalFormatting>
  <conditionalFormatting sqref="I34">
    <cfRule type="cellIs" dxfId="1383" priority="1542" operator="lessThan">
      <formula>0</formula>
    </cfRule>
  </conditionalFormatting>
  <conditionalFormatting sqref="I34">
    <cfRule type="cellIs" dxfId="1382" priority="1541" operator="lessThan">
      <formula>0</formula>
    </cfRule>
  </conditionalFormatting>
  <conditionalFormatting sqref="I34">
    <cfRule type="cellIs" dxfId="1381" priority="1540" operator="lessThan">
      <formula>0</formula>
    </cfRule>
  </conditionalFormatting>
  <conditionalFormatting sqref="I34">
    <cfRule type="cellIs" dxfId="1380" priority="1539" operator="lessThan">
      <formula>0</formula>
    </cfRule>
  </conditionalFormatting>
  <conditionalFormatting sqref="I34">
    <cfRule type="cellIs" dxfId="1379" priority="1538" operator="lessThan">
      <formula>0</formula>
    </cfRule>
  </conditionalFormatting>
  <conditionalFormatting sqref="I34">
    <cfRule type="cellIs" dxfId="1378" priority="1537" operator="lessThan">
      <formula>0</formula>
    </cfRule>
  </conditionalFormatting>
  <conditionalFormatting sqref="I34">
    <cfRule type="cellIs" dxfId="1377" priority="1536" operator="lessThan">
      <formula>0</formula>
    </cfRule>
  </conditionalFormatting>
  <conditionalFormatting sqref="I34">
    <cfRule type="cellIs" dxfId="1376" priority="1535" operator="lessThan">
      <formula>0</formula>
    </cfRule>
  </conditionalFormatting>
  <conditionalFormatting sqref="I34">
    <cfRule type="cellIs" dxfId="1375" priority="1534" operator="lessThan">
      <formula>0</formula>
    </cfRule>
  </conditionalFormatting>
  <conditionalFormatting sqref="I34">
    <cfRule type="cellIs" dxfId="1374" priority="1533" operator="lessThan">
      <formula>0</formula>
    </cfRule>
  </conditionalFormatting>
  <conditionalFormatting sqref="I34">
    <cfRule type="cellIs" dxfId="1373" priority="1532" operator="lessThan">
      <formula>0</formula>
    </cfRule>
  </conditionalFormatting>
  <conditionalFormatting sqref="I34">
    <cfRule type="cellIs" dxfId="1372" priority="1531" operator="lessThan">
      <formula>0</formula>
    </cfRule>
  </conditionalFormatting>
  <conditionalFormatting sqref="I34">
    <cfRule type="cellIs" dxfId="1371" priority="1530" operator="lessThan">
      <formula>0</formula>
    </cfRule>
  </conditionalFormatting>
  <conditionalFormatting sqref="I34">
    <cfRule type="cellIs" dxfId="1370" priority="1529" operator="lessThan">
      <formula>0</formula>
    </cfRule>
  </conditionalFormatting>
  <conditionalFormatting sqref="I34">
    <cfRule type="cellIs" dxfId="1369" priority="1528" operator="lessThan">
      <formula>0</formula>
    </cfRule>
  </conditionalFormatting>
  <conditionalFormatting sqref="I34">
    <cfRule type="cellIs" dxfId="1368" priority="1527" operator="lessThan">
      <formula>0</formula>
    </cfRule>
  </conditionalFormatting>
  <conditionalFormatting sqref="I34">
    <cfRule type="cellIs" dxfId="1367" priority="1526" operator="lessThan">
      <formula>0</formula>
    </cfRule>
  </conditionalFormatting>
  <conditionalFormatting sqref="I34">
    <cfRule type="cellIs" dxfId="1366" priority="1525" operator="lessThan">
      <formula>0</formula>
    </cfRule>
  </conditionalFormatting>
  <conditionalFormatting sqref="I34">
    <cfRule type="cellIs" dxfId="1365" priority="1524" operator="lessThan">
      <formula>0</formula>
    </cfRule>
  </conditionalFormatting>
  <conditionalFormatting sqref="I34">
    <cfRule type="cellIs" dxfId="1364" priority="1523" operator="lessThan">
      <formula>0</formula>
    </cfRule>
  </conditionalFormatting>
  <conditionalFormatting sqref="I34">
    <cfRule type="cellIs" dxfId="1363" priority="1522" operator="lessThan">
      <formula>0</formula>
    </cfRule>
  </conditionalFormatting>
  <conditionalFormatting sqref="I34">
    <cfRule type="cellIs" dxfId="1362" priority="1521" operator="lessThan">
      <formula>0</formula>
    </cfRule>
  </conditionalFormatting>
  <conditionalFormatting sqref="I34">
    <cfRule type="cellIs" dxfId="1361" priority="1520" operator="lessThan">
      <formula>0</formula>
    </cfRule>
  </conditionalFormatting>
  <conditionalFormatting sqref="I34">
    <cfRule type="cellIs" dxfId="1360" priority="1519" operator="lessThan">
      <formula>0</formula>
    </cfRule>
  </conditionalFormatting>
  <conditionalFormatting sqref="I34">
    <cfRule type="cellIs" dxfId="1359" priority="1518" operator="lessThan">
      <formula>0</formula>
    </cfRule>
  </conditionalFormatting>
  <conditionalFormatting sqref="I34">
    <cfRule type="cellIs" dxfId="1358" priority="1517" operator="lessThan">
      <formula>0</formula>
    </cfRule>
  </conditionalFormatting>
  <conditionalFormatting sqref="I34">
    <cfRule type="cellIs" dxfId="1357" priority="1516" operator="lessThan">
      <formula>0</formula>
    </cfRule>
  </conditionalFormatting>
  <conditionalFormatting sqref="I34">
    <cfRule type="cellIs" dxfId="1356" priority="1515" operator="lessThan">
      <formula>0</formula>
    </cfRule>
  </conditionalFormatting>
  <conditionalFormatting sqref="I34">
    <cfRule type="cellIs" dxfId="1355" priority="1514" operator="lessThan">
      <formula>0</formula>
    </cfRule>
  </conditionalFormatting>
  <conditionalFormatting sqref="I34">
    <cfRule type="cellIs" dxfId="1354" priority="1513" operator="lessThan">
      <formula>0</formula>
    </cfRule>
  </conditionalFormatting>
  <conditionalFormatting sqref="I34">
    <cfRule type="cellIs" dxfId="1353" priority="1512" operator="lessThan">
      <formula>0</formula>
    </cfRule>
  </conditionalFormatting>
  <conditionalFormatting sqref="I34">
    <cfRule type="cellIs" dxfId="1352" priority="1511" operator="lessThan">
      <formula>0</formula>
    </cfRule>
  </conditionalFormatting>
  <conditionalFormatting sqref="I34">
    <cfRule type="cellIs" dxfId="1351" priority="1510" operator="lessThan">
      <formula>0</formula>
    </cfRule>
  </conditionalFormatting>
  <conditionalFormatting sqref="I34">
    <cfRule type="cellIs" dxfId="1350" priority="1509" operator="lessThan">
      <formula>0</formula>
    </cfRule>
  </conditionalFormatting>
  <conditionalFormatting sqref="I34">
    <cfRule type="cellIs" dxfId="1349" priority="1508" operator="lessThan">
      <formula>0</formula>
    </cfRule>
  </conditionalFormatting>
  <conditionalFormatting sqref="I34">
    <cfRule type="cellIs" dxfId="1348" priority="1507" operator="lessThan">
      <formula>0</formula>
    </cfRule>
  </conditionalFormatting>
  <conditionalFormatting sqref="I34">
    <cfRule type="cellIs" dxfId="1347" priority="1506" operator="lessThan">
      <formula>0</formula>
    </cfRule>
  </conditionalFormatting>
  <conditionalFormatting sqref="I34">
    <cfRule type="cellIs" dxfId="1346" priority="1505" operator="lessThan">
      <formula>0</formula>
    </cfRule>
  </conditionalFormatting>
  <conditionalFormatting sqref="I34">
    <cfRule type="cellIs" dxfId="1345" priority="1504" operator="lessThan">
      <formula>0</formula>
    </cfRule>
  </conditionalFormatting>
  <conditionalFormatting sqref="I34">
    <cfRule type="cellIs" dxfId="1344" priority="1503" operator="lessThan">
      <formula>0</formula>
    </cfRule>
  </conditionalFormatting>
  <conditionalFormatting sqref="I34">
    <cfRule type="cellIs" dxfId="1343" priority="1502" operator="lessThan">
      <formula>0</formula>
    </cfRule>
  </conditionalFormatting>
  <conditionalFormatting sqref="I34">
    <cfRule type="cellIs" dxfId="1342" priority="1501" operator="lessThan">
      <formula>0</formula>
    </cfRule>
  </conditionalFormatting>
  <conditionalFormatting sqref="I34">
    <cfRule type="cellIs" dxfId="1341" priority="1500" operator="lessThan">
      <formula>0</formula>
    </cfRule>
  </conditionalFormatting>
  <conditionalFormatting sqref="I34">
    <cfRule type="cellIs" dxfId="1340" priority="1499" operator="lessThan">
      <formula>0</formula>
    </cfRule>
  </conditionalFormatting>
  <conditionalFormatting sqref="I34">
    <cfRule type="cellIs" dxfId="1339" priority="1498" operator="lessThan">
      <formula>0</formula>
    </cfRule>
  </conditionalFormatting>
  <conditionalFormatting sqref="I34">
    <cfRule type="cellIs" dxfId="1338" priority="1497" operator="lessThan">
      <formula>0</formula>
    </cfRule>
  </conditionalFormatting>
  <conditionalFormatting sqref="I34">
    <cfRule type="cellIs" dxfId="1337" priority="1496" operator="lessThan">
      <formula>0</formula>
    </cfRule>
  </conditionalFormatting>
  <conditionalFormatting sqref="I34">
    <cfRule type="cellIs" dxfId="1336" priority="1495" operator="lessThan">
      <formula>0</formula>
    </cfRule>
  </conditionalFormatting>
  <conditionalFormatting sqref="I34">
    <cfRule type="cellIs" dxfId="1335" priority="1494" operator="lessThan">
      <formula>0</formula>
    </cfRule>
  </conditionalFormatting>
  <conditionalFormatting sqref="I34">
    <cfRule type="cellIs" dxfId="1334" priority="1493" operator="lessThan">
      <formula>0</formula>
    </cfRule>
  </conditionalFormatting>
  <conditionalFormatting sqref="I34">
    <cfRule type="cellIs" dxfId="1333" priority="1492" operator="lessThan">
      <formula>0</formula>
    </cfRule>
  </conditionalFormatting>
  <conditionalFormatting sqref="I34">
    <cfRule type="cellIs" dxfId="1332" priority="1491" operator="lessThan">
      <formula>0</formula>
    </cfRule>
  </conditionalFormatting>
  <conditionalFormatting sqref="I34">
    <cfRule type="cellIs" dxfId="1331" priority="1490" operator="lessThan">
      <formula>0</formula>
    </cfRule>
  </conditionalFormatting>
  <conditionalFormatting sqref="I34">
    <cfRule type="cellIs" dxfId="1330" priority="1489" operator="lessThan">
      <formula>0</formula>
    </cfRule>
  </conditionalFormatting>
  <conditionalFormatting sqref="I34">
    <cfRule type="cellIs" dxfId="1329" priority="1488" operator="lessThan">
      <formula>0</formula>
    </cfRule>
  </conditionalFormatting>
  <conditionalFormatting sqref="I34">
    <cfRule type="cellIs" dxfId="1328" priority="1487" operator="lessThan">
      <formula>0</formula>
    </cfRule>
  </conditionalFormatting>
  <conditionalFormatting sqref="I34">
    <cfRule type="cellIs" dxfId="1327" priority="1486" operator="lessThan">
      <formula>0</formula>
    </cfRule>
  </conditionalFormatting>
  <conditionalFormatting sqref="I34">
    <cfRule type="cellIs" dxfId="1326" priority="1485" operator="lessThan">
      <formula>0</formula>
    </cfRule>
  </conditionalFormatting>
  <conditionalFormatting sqref="I34">
    <cfRule type="cellIs" dxfId="1325" priority="1484" operator="lessThan">
      <formula>0</formula>
    </cfRule>
  </conditionalFormatting>
  <conditionalFormatting sqref="I34">
    <cfRule type="cellIs" dxfId="1324" priority="1483" operator="lessThan">
      <formula>0</formula>
    </cfRule>
  </conditionalFormatting>
  <conditionalFormatting sqref="I34">
    <cfRule type="cellIs" dxfId="1323" priority="1482" operator="lessThan">
      <formula>0</formula>
    </cfRule>
  </conditionalFormatting>
  <conditionalFormatting sqref="I34">
    <cfRule type="cellIs" dxfId="1322" priority="1481" operator="lessThan">
      <formula>0</formula>
    </cfRule>
  </conditionalFormatting>
  <conditionalFormatting sqref="I34">
    <cfRule type="cellIs" dxfId="1321" priority="1480" operator="lessThan">
      <formula>0</formula>
    </cfRule>
  </conditionalFormatting>
  <conditionalFormatting sqref="I34">
    <cfRule type="cellIs" dxfId="1320" priority="1479" operator="lessThan">
      <formula>0</formula>
    </cfRule>
  </conditionalFormatting>
  <conditionalFormatting sqref="I34">
    <cfRule type="cellIs" dxfId="1319" priority="1478" operator="lessThan">
      <formula>0</formula>
    </cfRule>
  </conditionalFormatting>
  <conditionalFormatting sqref="I34">
    <cfRule type="cellIs" dxfId="1318" priority="1477" operator="lessThan">
      <formula>0</formula>
    </cfRule>
  </conditionalFormatting>
  <conditionalFormatting sqref="I34">
    <cfRule type="cellIs" dxfId="1317" priority="1476" operator="lessThan">
      <formula>0</formula>
    </cfRule>
  </conditionalFormatting>
  <conditionalFormatting sqref="I34">
    <cfRule type="cellIs" dxfId="1316" priority="1475" operator="lessThan">
      <formula>0</formula>
    </cfRule>
  </conditionalFormatting>
  <conditionalFormatting sqref="I34">
    <cfRule type="cellIs" dxfId="1315" priority="1474" operator="lessThan">
      <formula>0</formula>
    </cfRule>
  </conditionalFormatting>
  <conditionalFormatting sqref="I34">
    <cfRule type="cellIs" dxfId="1314" priority="1473" operator="lessThan">
      <formula>0</formula>
    </cfRule>
  </conditionalFormatting>
  <conditionalFormatting sqref="I34">
    <cfRule type="cellIs" dxfId="1313" priority="1472" operator="lessThan">
      <formula>0</formula>
    </cfRule>
  </conditionalFormatting>
  <conditionalFormatting sqref="I34">
    <cfRule type="cellIs" dxfId="1312" priority="1471" operator="lessThan">
      <formula>0</formula>
    </cfRule>
  </conditionalFormatting>
  <conditionalFormatting sqref="I34">
    <cfRule type="cellIs" dxfId="1311" priority="1470" operator="lessThan">
      <formula>0</formula>
    </cfRule>
  </conditionalFormatting>
  <conditionalFormatting sqref="I34">
    <cfRule type="cellIs" dxfId="1310" priority="1469" operator="lessThan">
      <formula>0</formula>
    </cfRule>
  </conditionalFormatting>
  <conditionalFormatting sqref="I34">
    <cfRule type="cellIs" dxfId="1309" priority="1468" operator="lessThan">
      <formula>0</formula>
    </cfRule>
  </conditionalFormatting>
  <conditionalFormatting sqref="I34">
    <cfRule type="cellIs" dxfId="1308" priority="1467" operator="lessThan">
      <formula>0</formula>
    </cfRule>
  </conditionalFormatting>
  <conditionalFormatting sqref="I34">
    <cfRule type="cellIs" dxfId="1307" priority="1466" operator="lessThan">
      <formula>0</formula>
    </cfRule>
  </conditionalFormatting>
  <conditionalFormatting sqref="I34">
    <cfRule type="cellIs" dxfId="1306" priority="1465" operator="lessThan">
      <formula>0</formula>
    </cfRule>
  </conditionalFormatting>
  <conditionalFormatting sqref="I34">
    <cfRule type="cellIs" dxfId="1305" priority="1464" operator="lessThan">
      <formula>0</formula>
    </cfRule>
  </conditionalFormatting>
  <conditionalFormatting sqref="I34">
    <cfRule type="cellIs" dxfId="1304" priority="1463" operator="lessThan">
      <formula>0</formula>
    </cfRule>
  </conditionalFormatting>
  <conditionalFormatting sqref="I34">
    <cfRule type="cellIs" dxfId="1303" priority="1462" operator="lessThan">
      <formula>0</formula>
    </cfRule>
  </conditionalFormatting>
  <conditionalFormatting sqref="I34">
    <cfRule type="cellIs" dxfId="1302" priority="1461" operator="lessThan">
      <formula>0</formula>
    </cfRule>
  </conditionalFormatting>
  <conditionalFormatting sqref="I34">
    <cfRule type="cellIs" dxfId="1301" priority="1460" operator="lessThan">
      <formula>0</formula>
    </cfRule>
  </conditionalFormatting>
  <conditionalFormatting sqref="I34">
    <cfRule type="cellIs" dxfId="1300" priority="1459" operator="lessThan">
      <formula>0</formula>
    </cfRule>
  </conditionalFormatting>
  <conditionalFormatting sqref="I34">
    <cfRule type="cellIs" dxfId="1299" priority="1458" operator="lessThan">
      <formula>0</formula>
    </cfRule>
  </conditionalFormatting>
  <conditionalFormatting sqref="I34">
    <cfRule type="cellIs" dxfId="1298" priority="1457" operator="lessThan">
      <formula>0</formula>
    </cfRule>
  </conditionalFormatting>
  <conditionalFormatting sqref="I34">
    <cfRule type="cellIs" dxfId="1297" priority="1456" operator="lessThan">
      <formula>0</formula>
    </cfRule>
  </conditionalFormatting>
  <conditionalFormatting sqref="I34">
    <cfRule type="cellIs" dxfId="1296" priority="1455" operator="lessThan">
      <formula>0</formula>
    </cfRule>
  </conditionalFormatting>
  <conditionalFormatting sqref="I34">
    <cfRule type="cellIs" dxfId="1295" priority="1454" operator="lessThan">
      <formula>0</formula>
    </cfRule>
  </conditionalFormatting>
  <conditionalFormatting sqref="I34">
    <cfRule type="cellIs" dxfId="1294" priority="1453" operator="lessThan">
      <formula>0</formula>
    </cfRule>
  </conditionalFormatting>
  <conditionalFormatting sqref="I34">
    <cfRule type="cellIs" dxfId="1293" priority="1452" operator="lessThan">
      <formula>0</formula>
    </cfRule>
  </conditionalFormatting>
  <conditionalFormatting sqref="I34">
    <cfRule type="cellIs" dxfId="1292" priority="1451" operator="lessThan">
      <formula>0</formula>
    </cfRule>
  </conditionalFormatting>
  <conditionalFormatting sqref="I34">
    <cfRule type="cellIs" dxfId="1291" priority="1450" operator="lessThan">
      <formula>0</formula>
    </cfRule>
  </conditionalFormatting>
  <conditionalFormatting sqref="I34">
    <cfRule type="cellIs" dxfId="1290" priority="1449" operator="lessThan">
      <formula>0</formula>
    </cfRule>
  </conditionalFormatting>
  <conditionalFormatting sqref="I34">
    <cfRule type="cellIs" dxfId="1289" priority="1448" operator="lessThan">
      <formula>0</formula>
    </cfRule>
  </conditionalFormatting>
  <conditionalFormatting sqref="I34">
    <cfRule type="cellIs" dxfId="1288" priority="1447" operator="lessThan">
      <formula>0</formula>
    </cfRule>
  </conditionalFormatting>
  <conditionalFormatting sqref="I34">
    <cfRule type="cellIs" dxfId="1287" priority="1446" operator="lessThan">
      <formula>0</formula>
    </cfRule>
  </conditionalFormatting>
  <conditionalFormatting sqref="I34">
    <cfRule type="cellIs" dxfId="1286" priority="1445" operator="lessThan">
      <formula>0</formula>
    </cfRule>
  </conditionalFormatting>
  <conditionalFormatting sqref="I34">
    <cfRule type="cellIs" dxfId="1285" priority="1444" operator="lessThan">
      <formula>0</formula>
    </cfRule>
  </conditionalFormatting>
  <conditionalFormatting sqref="I34">
    <cfRule type="cellIs" dxfId="1284" priority="1443" operator="lessThan">
      <formula>0</formula>
    </cfRule>
  </conditionalFormatting>
  <conditionalFormatting sqref="I34">
    <cfRule type="cellIs" dxfId="1283" priority="1442" operator="lessThan">
      <formula>0</formula>
    </cfRule>
  </conditionalFormatting>
  <conditionalFormatting sqref="I34">
    <cfRule type="cellIs" dxfId="1282" priority="1441" operator="lessThan">
      <formula>0</formula>
    </cfRule>
  </conditionalFormatting>
  <conditionalFormatting sqref="I34">
    <cfRule type="cellIs" dxfId="1281" priority="1440" operator="lessThan">
      <formula>0</formula>
    </cfRule>
  </conditionalFormatting>
  <conditionalFormatting sqref="I34">
    <cfRule type="cellIs" dxfId="1280" priority="1439" operator="lessThan">
      <formula>0</formula>
    </cfRule>
  </conditionalFormatting>
  <conditionalFormatting sqref="I34">
    <cfRule type="cellIs" dxfId="1279" priority="1438" operator="lessThan">
      <formula>0</formula>
    </cfRule>
  </conditionalFormatting>
  <conditionalFormatting sqref="I34">
    <cfRule type="cellIs" dxfId="1278" priority="1437" operator="lessThan">
      <formula>0</formula>
    </cfRule>
  </conditionalFormatting>
  <conditionalFormatting sqref="I34">
    <cfRule type="cellIs" dxfId="1277" priority="1436" operator="lessThan">
      <formula>0</formula>
    </cfRule>
  </conditionalFormatting>
  <conditionalFormatting sqref="I34">
    <cfRule type="cellIs" dxfId="1276" priority="1435" operator="lessThan">
      <formula>0</formula>
    </cfRule>
  </conditionalFormatting>
  <conditionalFormatting sqref="I34">
    <cfRule type="cellIs" dxfId="1275" priority="1434" operator="lessThan">
      <formula>0</formula>
    </cfRule>
  </conditionalFormatting>
  <conditionalFormatting sqref="I34">
    <cfRule type="cellIs" dxfId="1274" priority="1433" operator="lessThan">
      <formula>0</formula>
    </cfRule>
  </conditionalFormatting>
  <conditionalFormatting sqref="I34">
    <cfRule type="cellIs" dxfId="1273" priority="1432" operator="lessThan">
      <formula>0</formula>
    </cfRule>
  </conditionalFormatting>
  <conditionalFormatting sqref="I34">
    <cfRule type="cellIs" dxfId="1272" priority="1431" operator="lessThan">
      <formula>0</formula>
    </cfRule>
  </conditionalFormatting>
  <conditionalFormatting sqref="I34">
    <cfRule type="cellIs" dxfId="1271" priority="1430" operator="lessThan">
      <formula>0</formula>
    </cfRule>
  </conditionalFormatting>
  <conditionalFormatting sqref="I34">
    <cfRule type="cellIs" dxfId="1270" priority="1429" operator="lessThan">
      <formula>0</formula>
    </cfRule>
  </conditionalFormatting>
  <conditionalFormatting sqref="I34">
    <cfRule type="cellIs" dxfId="1269" priority="1428" operator="lessThan">
      <formula>0</formula>
    </cfRule>
  </conditionalFormatting>
  <conditionalFormatting sqref="I34">
    <cfRule type="cellIs" dxfId="1268" priority="1427" operator="lessThan">
      <formula>0</formula>
    </cfRule>
  </conditionalFormatting>
  <conditionalFormatting sqref="I34">
    <cfRule type="cellIs" dxfId="1267" priority="1426" operator="lessThan">
      <formula>0</formula>
    </cfRule>
  </conditionalFormatting>
  <conditionalFormatting sqref="I34">
    <cfRule type="cellIs" dxfId="1266" priority="1425" operator="lessThan">
      <formula>0</formula>
    </cfRule>
  </conditionalFormatting>
  <conditionalFormatting sqref="I34">
    <cfRule type="cellIs" dxfId="1265" priority="1424" operator="lessThan">
      <formula>0</formula>
    </cfRule>
  </conditionalFormatting>
  <conditionalFormatting sqref="I34">
    <cfRule type="cellIs" dxfId="1264" priority="1423" operator="lessThan">
      <formula>0</formula>
    </cfRule>
  </conditionalFormatting>
  <conditionalFormatting sqref="I34">
    <cfRule type="cellIs" dxfId="1263" priority="1422" operator="lessThan">
      <formula>0</formula>
    </cfRule>
  </conditionalFormatting>
  <conditionalFormatting sqref="I34">
    <cfRule type="cellIs" dxfId="1262" priority="1421" operator="lessThan">
      <formula>0</formula>
    </cfRule>
  </conditionalFormatting>
  <conditionalFormatting sqref="I34">
    <cfRule type="cellIs" dxfId="1261" priority="1420" operator="lessThan">
      <formula>0</formula>
    </cfRule>
  </conditionalFormatting>
  <conditionalFormatting sqref="I34">
    <cfRule type="cellIs" dxfId="1260" priority="1419" operator="lessThan">
      <formula>0</formula>
    </cfRule>
  </conditionalFormatting>
  <conditionalFormatting sqref="I34">
    <cfRule type="cellIs" dxfId="1259" priority="1418" operator="lessThan">
      <formula>0</formula>
    </cfRule>
  </conditionalFormatting>
  <conditionalFormatting sqref="I34">
    <cfRule type="cellIs" dxfId="1258" priority="1417" operator="lessThan">
      <formula>0</formula>
    </cfRule>
  </conditionalFormatting>
  <conditionalFormatting sqref="I34">
    <cfRule type="cellIs" dxfId="1257" priority="1416" operator="lessThan">
      <formula>0</formula>
    </cfRule>
  </conditionalFormatting>
  <conditionalFormatting sqref="I34">
    <cfRule type="cellIs" dxfId="1256" priority="1415" operator="lessThan">
      <formula>0</formula>
    </cfRule>
  </conditionalFormatting>
  <conditionalFormatting sqref="I34">
    <cfRule type="cellIs" dxfId="1255" priority="1414" operator="lessThan">
      <formula>0</formula>
    </cfRule>
  </conditionalFormatting>
  <conditionalFormatting sqref="I34">
    <cfRule type="cellIs" dxfId="1254" priority="1413" operator="lessThan">
      <formula>0</formula>
    </cfRule>
  </conditionalFormatting>
  <conditionalFormatting sqref="I34">
    <cfRule type="cellIs" dxfId="1253" priority="1412" operator="lessThan">
      <formula>0</formula>
    </cfRule>
  </conditionalFormatting>
  <conditionalFormatting sqref="I34">
    <cfRule type="cellIs" dxfId="1252" priority="1411" operator="lessThan">
      <formula>0</formula>
    </cfRule>
  </conditionalFormatting>
  <conditionalFormatting sqref="I34">
    <cfRule type="cellIs" dxfId="1251" priority="1410" operator="lessThan">
      <formula>0</formula>
    </cfRule>
  </conditionalFormatting>
  <conditionalFormatting sqref="I34">
    <cfRule type="cellIs" dxfId="1250" priority="1409" operator="lessThan">
      <formula>0</formula>
    </cfRule>
  </conditionalFormatting>
  <conditionalFormatting sqref="I34">
    <cfRule type="cellIs" dxfId="1249" priority="1408" operator="lessThan">
      <formula>0</formula>
    </cfRule>
  </conditionalFormatting>
  <conditionalFormatting sqref="I34">
    <cfRule type="cellIs" dxfId="1248" priority="1407" operator="lessThan">
      <formula>0</formula>
    </cfRule>
  </conditionalFormatting>
  <conditionalFormatting sqref="I34">
    <cfRule type="cellIs" dxfId="1247" priority="1406" operator="lessThan">
      <formula>0</formula>
    </cfRule>
  </conditionalFormatting>
  <conditionalFormatting sqref="I34">
    <cfRule type="cellIs" dxfId="1246" priority="1405" operator="lessThan">
      <formula>0</formula>
    </cfRule>
  </conditionalFormatting>
  <conditionalFormatting sqref="I34">
    <cfRule type="cellIs" dxfId="1245" priority="1404" operator="lessThan">
      <formula>0</formula>
    </cfRule>
  </conditionalFormatting>
  <conditionalFormatting sqref="I34">
    <cfRule type="cellIs" dxfId="1244" priority="1403" operator="lessThan">
      <formula>0</formula>
    </cfRule>
  </conditionalFormatting>
  <conditionalFormatting sqref="I34">
    <cfRule type="cellIs" dxfId="1243" priority="1402" operator="lessThan">
      <formula>0</formula>
    </cfRule>
  </conditionalFormatting>
  <conditionalFormatting sqref="I34">
    <cfRule type="cellIs" dxfId="1242" priority="1401" operator="lessThan">
      <formula>0</formula>
    </cfRule>
  </conditionalFormatting>
  <conditionalFormatting sqref="I34">
    <cfRule type="cellIs" dxfId="1241" priority="1400" operator="lessThan">
      <formula>0</formula>
    </cfRule>
  </conditionalFormatting>
  <conditionalFormatting sqref="I34">
    <cfRule type="cellIs" dxfId="1240" priority="1399" operator="lessThan">
      <formula>0</formula>
    </cfRule>
  </conditionalFormatting>
  <conditionalFormatting sqref="I34">
    <cfRule type="cellIs" dxfId="1239" priority="1398" operator="lessThan">
      <formula>0</formula>
    </cfRule>
  </conditionalFormatting>
  <conditionalFormatting sqref="I34">
    <cfRule type="cellIs" dxfId="1238" priority="1397" operator="lessThan">
      <formula>0</formula>
    </cfRule>
  </conditionalFormatting>
  <conditionalFormatting sqref="I34">
    <cfRule type="cellIs" dxfId="1237" priority="1396" operator="lessThan">
      <formula>0</formula>
    </cfRule>
  </conditionalFormatting>
  <conditionalFormatting sqref="I34">
    <cfRule type="cellIs" dxfId="1236" priority="1395" operator="lessThan">
      <formula>0</formula>
    </cfRule>
  </conditionalFormatting>
  <conditionalFormatting sqref="I34">
    <cfRule type="cellIs" dxfId="1235" priority="1394" operator="lessThan">
      <formula>0</formula>
    </cfRule>
  </conditionalFormatting>
  <conditionalFormatting sqref="I34">
    <cfRule type="cellIs" dxfId="1234" priority="1393" operator="lessThan">
      <formula>0</formula>
    </cfRule>
  </conditionalFormatting>
  <conditionalFormatting sqref="I34">
    <cfRule type="cellIs" dxfId="1233" priority="1392" operator="lessThan">
      <formula>0</formula>
    </cfRule>
  </conditionalFormatting>
  <conditionalFormatting sqref="I34">
    <cfRule type="cellIs" dxfId="1232" priority="1391" operator="lessThan">
      <formula>0</formula>
    </cfRule>
  </conditionalFormatting>
  <conditionalFormatting sqref="I34">
    <cfRule type="cellIs" dxfId="1231" priority="1390" operator="lessThan">
      <formula>0</formula>
    </cfRule>
  </conditionalFormatting>
  <conditionalFormatting sqref="I34">
    <cfRule type="cellIs" dxfId="1230" priority="1389" operator="lessThan">
      <formula>0</formula>
    </cfRule>
  </conditionalFormatting>
  <conditionalFormatting sqref="I34">
    <cfRule type="cellIs" dxfId="1229" priority="1388" operator="lessThan">
      <formula>0</formula>
    </cfRule>
  </conditionalFormatting>
  <conditionalFormatting sqref="I34">
    <cfRule type="cellIs" dxfId="1228" priority="1387" operator="lessThan">
      <formula>0</formula>
    </cfRule>
  </conditionalFormatting>
  <conditionalFormatting sqref="I34">
    <cfRule type="cellIs" dxfId="1227" priority="1386" operator="lessThan">
      <formula>0</formula>
    </cfRule>
  </conditionalFormatting>
  <conditionalFormatting sqref="I34">
    <cfRule type="cellIs" dxfId="1226" priority="1385" operator="lessThan">
      <formula>0</formula>
    </cfRule>
  </conditionalFormatting>
  <conditionalFormatting sqref="I34">
    <cfRule type="cellIs" dxfId="1225" priority="1384" operator="lessThan">
      <formula>0</formula>
    </cfRule>
  </conditionalFormatting>
  <conditionalFormatting sqref="I34">
    <cfRule type="cellIs" dxfId="1224" priority="1383" operator="lessThan">
      <formula>0</formula>
    </cfRule>
  </conditionalFormatting>
  <conditionalFormatting sqref="I34">
    <cfRule type="cellIs" dxfId="1223" priority="1382" operator="lessThan">
      <formula>0</formula>
    </cfRule>
  </conditionalFormatting>
  <conditionalFormatting sqref="I34">
    <cfRule type="cellIs" dxfId="1222" priority="1381" operator="lessThan">
      <formula>0</formula>
    </cfRule>
  </conditionalFormatting>
  <conditionalFormatting sqref="I34">
    <cfRule type="cellIs" dxfId="1221" priority="1380" operator="lessThan">
      <formula>0</formula>
    </cfRule>
  </conditionalFormatting>
  <conditionalFormatting sqref="I34">
    <cfRule type="cellIs" dxfId="1220" priority="1379" operator="lessThan">
      <formula>0</formula>
    </cfRule>
  </conditionalFormatting>
  <conditionalFormatting sqref="I34">
    <cfRule type="cellIs" dxfId="1219" priority="1378" operator="lessThan">
      <formula>0</formula>
    </cfRule>
  </conditionalFormatting>
  <conditionalFormatting sqref="I34">
    <cfRule type="cellIs" dxfId="1218" priority="1377" operator="lessThan">
      <formula>0</formula>
    </cfRule>
  </conditionalFormatting>
  <conditionalFormatting sqref="I34">
    <cfRule type="cellIs" dxfId="1217" priority="1376" operator="lessThan">
      <formula>0</formula>
    </cfRule>
  </conditionalFormatting>
  <conditionalFormatting sqref="I34">
    <cfRule type="cellIs" dxfId="1216" priority="1375" operator="lessThan">
      <formula>0</formula>
    </cfRule>
  </conditionalFormatting>
  <conditionalFormatting sqref="I34">
    <cfRule type="cellIs" dxfId="1215" priority="1374" operator="lessThan">
      <formula>0</formula>
    </cfRule>
  </conditionalFormatting>
  <conditionalFormatting sqref="I34">
    <cfRule type="cellIs" dxfId="1214" priority="1373" operator="lessThan">
      <formula>0</formula>
    </cfRule>
  </conditionalFormatting>
  <conditionalFormatting sqref="I34">
    <cfRule type="cellIs" dxfId="1213" priority="1372" operator="lessThan">
      <formula>0</formula>
    </cfRule>
  </conditionalFormatting>
  <conditionalFormatting sqref="I34">
    <cfRule type="cellIs" dxfId="1212" priority="1371" operator="lessThan">
      <formula>0</formula>
    </cfRule>
  </conditionalFormatting>
  <conditionalFormatting sqref="I34">
    <cfRule type="cellIs" dxfId="1211" priority="1370" operator="lessThan">
      <formula>0</formula>
    </cfRule>
  </conditionalFormatting>
  <conditionalFormatting sqref="I34">
    <cfRule type="cellIs" dxfId="1210" priority="1369" operator="lessThan">
      <formula>0</formula>
    </cfRule>
  </conditionalFormatting>
  <conditionalFormatting sqref="I34">
    <cfRule type="cellIs" dxfId="1209" priority="1368" operator="lessThan">
      <formula>0</formula>
    </cfRule>
  </conditionalFormatting>
  <conditionalFormatting sqref="I34">
    <cfRule type="cellIs" dxfId="1208" priority="1367" operator="lessThan">
      <formula>0</formula>
    </cfRule>
  </conditionalFormatting>
  <conditionalFormatting sqref="I34">
    <cfRule type="cellIs" dxfId="1207" priority="1366" operator="lessThan">
      <formula>0</formula>
    </cfRule>
  </conditionalFormatting>
  <conditionalFormatting sqref="I34">
    <cfRule type="cellIs" dxfId="1206" priority="1365" operator="lessThan">
      <formula>0</formula>
    </cfRule>
  </conditionalFormatting>
  <conditionalFormatting sqref="I34">
    <cfRule type="cellIs" dxfId="1205" priority="1364" operator="lessThan">
      <formula>0</formula>
    </cfRule>
  </conditionalFormatting>
  <conditionalFormatting sqref="I34">
    <cfRule type="cellIs" dxfId="1204" priority="1363" operator="lessThan">
      <formula>0</formula>
    </cfRule>
  </conditionalFormatting>
  <conditionalFormatting sqref="I34">
    <cfRule type="cellIs" dxfId="1203" priority="1362" operator="lessThan">
      <formula>0</formula>
    </cfRule>
  </conditionalFormatting>
  <conditionalFormatting sqref="I34">
    <cfRule type="cellIs" dxfId="1202" priority="1361" operator="lessThan">
      <formula>0</formula>
    </cfRule>
  </conditionalFormatting>
  <conditionalFormatting sqref="I34">
    <cfRule type="cellIs" dxfId="1201" priority="1360" operator="lessThan">
      <formula>0</formula>
    </cfRule>
  </conditionalFormatting>
  <conditionalFormatting sqref="I34">
    <cfRule type="cellIs" dxfId="1200" priority="1359" operator="lessThan">
      <formula>0</formula>
    </cfRule>
  </conditionalFormatting>
  <conditionalFormatting sqref="I34">
    <cfRule type="cellIs" dxfId="1199" priority="1358" operator="lessThan">
      <formula>0</formula>
    </cfRule>
  </conditionalFormatting>
  <conditionalFormatting sqref="I34">
    <cfRule type="cellIs" dxfId="1198" priority="1357" operator="lessThan">
      <formula>0</formula>
    </cfRule>
  </conditionalFormatting>
  <conditionalFormatting sqref="I34">
    <cfRule type="cellIs" dxfId="1197" priority="1356" operator="lessThan">
      <formula>0</formula>
    </cfRule>
  </conditionalFormatting>
  <conditionalFormatting sqref="I34">
    <cfRule type="cellIs" dxfId="1196" priority="1355" operator="lessThan">
      <formula>0</formula>
    </cfRule>
  </conditionalFormatting>
  <conditionalFormatting sqref="I34">
    <cfRule type="cellIs" dxfId="1195" priority="1354" operator="lessThan">
      <formula>0</formula>
    </cfRule>
  </conditionalFormatting>
  <conditionalFormatting sqref="I34">
    <cfRule type="cellIs" dxfId="1194" priority="1353" operator="lessThan">
      <formula>0</formula>
    </cfRule>
  </conditionalFormatting>
  <conditionalFormatting sqref="I34">
    <cfRule type="cellIs" dxfId="1193" priority="1352" operator="lessThan">
      <formula>0</formula>
    </cfRule>
  </conditionalFormatting>
  <conditionalFormatting sqref="I34">
    <cfRule type="cellIs" dxfId="1192" priority="1351" operator="lessThan">
      <formula>0</formula>
    </cfRule>
  </conditionalFormatting>
  <conditionalFormatting sqref="I34">
    <cfRule type="cellIs" dxfId="1191" priority="1350" operator="lessThan">
      <formula>0</formula>
    </cfRule>
  </conditionalFormatting>
  <conditionalFormatting sqref="I34">
    <cfRule type="cellIs" dxfId="1190" priority="1349" operator="lessThan">
      <formula>0</formula>
    </cfRule>
  </conditionalFormatting>
  <conditionalFormatting sqref="I34">
    <cfRule type="cellIs" dxfId="1189" priority="1348" operator="lessThan">
      <formula>0</formula>
    </cfRule>
  </conditionalFormatting>
  <conditionalFormatting sqref="I34">
    <cfRule type="cellIs" dxfId="1188" priority="1347" operator="lessThan">
      <formula>0</formula>
    </cfRule>
  </conditionalFormatting>
  <conditionalFormatting sqref="I34">
    <cfRule type="cellIs" dxfId="1187" priority="1346" operator="lessThan">
      <formula>0</formula>
    </cfRule>
  </conditionalFormatting>
  <conditionalFormatting sqref="I34">
    <cfRule type="cellIs" dxfId="1186" priority="1345" operator="lessThan">
      <formula>0</formula>
    </cfRule>
  </conditionalFormatting>
  <conditionalFormatting sqref="I34">
    <cfRule type="cellIs" dxfId="1185" priority="1344" operator="lessThan">
      <formula>0</formula>
    </cfRule>
  </conditionalFormatting>
  <conditionalFormatting sqref="I34">
    <cfRule type="cellIs" dxfId="1184" priority="1343" operator="lessThan">
      <formula>0</formula>
    </cfRule>
  </conditionalFormatting>
  <conditionalFormatting sqref="I34">
    <cfRule type="cellIs" dxfId="1183" priority="1342" operator="lessThan">
      <formula>0</formula>
    </cfRule>
  </conditionalFormatting>
  <conditionalFormatting sqref="I34">
    <cfRule type="cellIs" dxfId="1182" priority="1341" operator="lessThan">
      <formula>0</formula>
    </cfRule>
  </conditionalFormatting>
  <conditionalFormatting sqref="I34">
    <cfRule type="cellIs" dxfId="1181" priority="1340" operator="lessThan">
      <formula>0</formula>
    </cfRule>
  </conditionalFormatting>
  <conditionalFormatting sqref="I34">
    <cfRule type="cellIs" dxfId="1180" priority="1339" operator="lessThan">
      <formula>0</formula>
    </cfRule>
  </conditionalFormatting>
  <conditionalFormatting sqref="I34">
    <cfRule type="cellIs" dxfId="1179" priority="1338" operator="lessThan">
      <formula>0</formula>
    </cfRule>
  </conditionalFormatting>
  <conditionalFormatting sqref="I34">
    <cfRule type="cellIs" dxfId="1178" priority="1337" operator="lessThan">
      <formula>0</formula>
    </cfRule>
  </conditionalFormatting>
  <conditionalFormatting sqref="I34">
    <cfRule type="cellIs" dxfId="1177" priority="1336" operator="lessThan">
      <formula>0</formula>
    </cfRule>
  </conditionalFormatting>
  <conditionalFormatting sqref="I34">
    <cfRule type="cellIs" dxfId="1176" priority="1335" operator="lessThan">
      <formula>0</formula>
    </cfRule>
  </conditionalFormatting>
  <conditionalFormatting sqref="I34">
    <cfRule type="cellIs" dxfId="1175" priority="1334" operator="lessThan">
      <formula>0</formula>
    </cfRule>
  </conditionalFormatting>
  <conditionalFormatting sqref="I34">
    <cfRule type="cellIs" dxfId="1174" priority="1333" operator="lessThan">
      <formula>0</formula>
    </cfRule>
  </conditionalFormatting>
  <conditionalFormatting sqref="I34">
    <cfRule type="cellIs" dxfId="1173" priority="1332" operator="lessThan">
      <formula>0</formula>
    </cfRule>
  </conditionalFormatting>
  <conditionalFormatting sqref="I34">
    <cfRule type="cellIs" dxfId="1172" priority="1331" operator="lessThan">
      <formula>0</formula>
    </cfRule>
  </conditionalFormatting>
  <conditionalFormatting sqref="I34">
    <cfRule type="cellIs" dxfId="1171" priority="1330" operator="lessThan">
      <formula>0</formula>
    </cfRule>
  </conditionalFormatting>
  <conditionalFormatting sqref="I34">
    <cfRule type="cellIs" dxfId="1170" priority="1329" operator="lessThan">
      <formula>0</formula>
    </cfRule>
  </conditionalFormatting>
  <conditionalFormatting sqref="I34">
    <cfRule type="cellIs" dxfId="1169" priority="1328" operator="lessThan">
      <formula>0</formula>
    </cfRule>
  </conditionalFormatting>
  <conditionalFormatting sqref="I34">
    <cfRule type="cellIs" dxfId="1168" priority="1327" operator="lessThan">
      <formula>0</formula>
    </cfRule>
  </conditionalFormatting>
  <conditionalFormatting sqref="I34">
    <cfRule type="cellIs" dxfId="1167" priority="1326" operator="lessThan">
      <formula>0</formula>
    </cfRule>
  </conditionalFormatting>
  <conditionalFormatting sqref="I34">
    <cfRule type="cellIs" dxfId="1166" priority="1325" operator="lessThan">
      <formula>0</formula>
    </cfRule>
  </conditionalFormatting>
  <conditionalFormatting sqref="I34">
    <cfRule type="cellIs" dxfId="1165" priority="1324" operator="lessThan">
      <formula>0</formula>
    </cfRule>
  </conditionalFormatting>
  <conditionalFormatting sqref="I34">
    <cfRule type="cellIs" dxfId="1164" priority="1323" operator="lessThan">
      <formula>0</formula>
    </cfRule>
  </conditionalFormatting>
  <conditionalFormatting sqref="I34">
    <cfRule type="cellIs" dxfId="1163" priority="1322" operator="lessThan">
      <formula>0</formula>
    </cfRule>
  </conditionalFormatting>
  <conditionalFormatting sqref="I34">
    <cfRule type="cellIs" dxfId="1162" priority="1321" operator="lessThan">
      <formula>0</formula>
    </cfRule>
  </conditionalFormatting>
  <conditionalFormatting sqref="I34">
    <cfRule type="cellIs" dxfId="1161" priority="1320" operator="lessThan">
      <formula>0</formula>
    </cfRule>
  </conditionalFormatting>
  <conditionalFormatting sqref="I34">
    <cfRule type="cellIs" dxfId="1160" priority="1319" operator="lessThan">
      <formula>0</formula>
    </cfRule>
  </conditionalFormatting>
  <conditionalFormatting sqref="I34">
    <cfRule type="cellIs" dxfId="1159" priority="1318" operator="lessThan">
      <formula>0</formula>
    </cfRule>
  </conditionalFormatting>
  <conditionalFormatting sqref="I34">
    <cfRule type="cellIs" dxfId="1158" priority="1317" operator="lessThan">
      <formula>0</formula>
    </cfRule>
  </conditionalFormatting>
  <conditionalFormatting sqref="I34">
    <cfRule type="cellIs" dxfId="1157" priority="1316" operator="lessThan">
      <formula>0</formula>
    </cfRule>
  </conditionalFormatting>
  <conditionalFormatting sqref="I34">
    <cfRule type="cellIs" dxfId="1156" priority="1315" operator="lessThan">
      <formula>0</formula>
    </cfRule>
  </conditionalFormatting>
  <conditionalFormatting sqref="I34">
    <cfRule type="cellIs" dxfId="1155" priority="1314" operator="lessThan">
      <formula>0</formula>
    </cfRule>
  </conditionalFormatting>
  <conditionalFormatting sqref="I34">
    <cfRule type="cellIs" dxfId="1154" priority="1313" operator="lessThan">
      <formula>0</formula>
    </cfRule>
  </conditionalFormatting>
  <conditionalFormatting sqref="I34">
    <cfRule type="cellIs" dxfId="1153" priority="1312" operator="lessThan">
      <formula>0</formula>
    </cfRule>
  </conditionalFormatting>
  <conditionalFormatting sqref="I34">
    <cfRule type="cellIs" dxfId="1152" priority="1311" operator="lessThan">
      <formula>0</formula>
    </cfRule>
  </conditionalFormatting>
  <conditionalFormatting sqref="I34">
    <cfRule type="cellIs" dxfId="1151" priority="1310" operator="lessThan">
      <formula>0</formula>
    </cfRule>
  </conditionalFormatting>
  <conditionalFormatting sqref="I34">
    <cfRule type="cellIs" dxfId="1150" priority="1309" operator="lessThan">
      <formula>0</formula>
    </cfRule>
  </conditionalFormatting>
  <conditionalFormatting sqref="I34">
    <cfRule type="cellIs" dxfId="1149" priority="1308" operator="lessThan">
      <formula>0</formula>
    </cfRule>
  </conditionalFormatting>
  <conditionalFormatting sqref="I34">
    <cfRule type="cellIs" dxfId="1148" priority="1307" operator="lessThan">
      <formula>0</formula>
    </cfRule>
  </conditionalFormatting>
  <conditionalFormatting sqref="I34">
    <cfRule type="cellIs" dxfId="1147" priority="1306" operator="lessThan">
      <formula>0</formula>
    </cfRule>
  </conditionalFormatting>
  <conditionalFormatting sqref="I34">
    <cfRule type="cellIs" dxfId="1146" priority="1305" operator="lessThan">
      <formula>0</formula>
    </cfRule>
  </conditionalFormatting>
  <conditionalFormatting sqref="I34">
    <cfRule type="cellIs" dxfId="1145" priority="1304" operator="lessThan">
      <formula>0</formula>
    </cfRule>
  </conditionalFormatting>
  <conditionalFormatting sqref="I34">
    <cfRule type="cellIs" dxfId="1144" priority="1303" operator="lessThan">
      <formula>0</formula>
    </cfRule>
  </conditionalFormatting>
  <conditionalFormatting sqref="I34">
    <cfRule type="cellIs" dxfId="1143" priority="1302" operator="lessThan">
      <formula>0</formula>
    </cfRule>
  </conditionalFormatting>
  <conditionalFormatting sqref="I34">
    <cfRule type="cellIs" dxfId="1142" priority="1301" operator="lessThan">
      <formula>0</formula>
    </cfRule>
  </conditionalFormatting>
  <conditionalFormatting sqref="I34">
    <cfRule type="cellIs" dxfId="1141" priority="1300" operator="lessThan">
      <formula>0</formula>
    </cfRule>
  </conditionalFormatting>
  <conditionalFormatting sqref="I34">
    <cfRule type="cellIs" dxfId="1140" priority="1299" operator="lessThan">
      <formula>0</formula>
    </cfRule>
  </conditionalFormatting>
  <conditionalFormatting sqref="I34">
    <cfRule type="cellIs" dxfId="1139" priority="1298" operator="lessThan">
      <formula>0</formula>
    </cfRule>
  </conditionalFormatting>
  <conditionalFormatting sqref="I34">
    <cfRule type="cellIs" dxfId="1138" priority="1297" operator="lessThan">
      <formula>0</formula>
    </cfRule>
  </conditionalFormatting>
  <conditionalFormatting sqref="I34">
    <cfRule type="cellIs" dxfId="1137" priority="1296" operator="lessThan">
      <formula>0</formula>
    </cfRule>
  </conditionalFormatting>
  <conditionalFormatting sqref="I34">
    <cfRule type="cellIs" dxfId="1136" priority="1295" operator="lessThan">
      <formula>0</formula>
    </cfRule>
  </conditionalFormatting>
  <conditionalFormatting sqref="I34">
    <cfRule type="cellIs" dxfId="1135" priority="1294" operator="lessThan">
      <formula>0</formula>
    </cfRule>
  </conditionalFormatting>
  <conditionalFormatting sqref="I34">
    <cfRule type="cellIs" dxfId="1134" priority="1293" operator="lessThan">
      <formula>0</formula>
    </cfRule>
  </conditionalFormatting>
  <conditionalFormatting sqref="I34">
    <cfRule type="cellIs" dxfId="1133" priority="1292" operator="lessThan">
      <formula>0</formula>
    </cfRule>
  </conditionalFormatting>
  <conditionalFormatting sqref="I34">
    <cfRule type="cellIs" dxfId="1132" priority="1291" operator="lessThan">
      <formula>0</formula>
    </cfRule>
  </conditionalFormatting>
  <conditionalFormatting sqref="I34">
    <cfRule type="cellIs" dxfId="1131" priority="1290" operator="lessThan">
      <formula>0</formula>
    </cfRule>
  </conditionalFormatting>
  <conditionalFormatting sqref="I34">
    <cfRule type="cellIs" dxfId="1130" priority="1289" operator="lessThan">
      <formula>0</formula>
    </cfRule>
  </conditionalFormatting>
  <conditionalFormatting sqref="I34">
    <cfRule type="cellIs" dxfId="1129" priority="1288" operator="lessThan">
      <formula>0</formula>
    </cfRule>
  </conditionalFormatting>
  <conditionalFormatting sqref="I34">
    <cfRule type="cellIs" dxfId="1128" priority="1287" operator="lessThan">
      <formula>0</formula>
    </cfRule>
  </conditionalFormatting>
  <conditionalFormatting sqref="I34">
    <cfRule type="cellIs" dxfId="1127" priority="1286" operator="lessThan">
      <formula>0</formula>
    </cfRule>
  </conditionalFormatting>
  <conditionalFormatting sqref="I34">
    <cfRule type="cellIs" dxfId="1126" priority="1285" operator="lessThan">
      <formula>0</formula>
    </cfRule>
  </conditionalFormatting>
  <conditionalFormatting sqref="I34">
    <cfRule type="cellIs" dxfId="1125" priority="1284" operator="lessThan">
      <formula>0</formula>
    </cfRule>
  </conditionalFormatting>
  <conditionalFormatting sqref="I34">
    <cfRule type="cellIs" dxfId="1124" priority="1283" operator="lessThan">
      <formula>0</formula>
    </cfRule>
  </conditionalFormatting>
  <conditionalFormatting sqref="I34">
    <cfRule type="cellIs" dxfId="1123" priority="1282" operator="lessThan">
      <formula>0</formula>
    </cfRule>
  </conditionalFormatting>
  <conditionalFormatting sqref="I34">
    <cfRule type="cellIs" dxfId="1122" priority="1281" operator="lessThan">
      <formula>0</formula>
    </cfRule>
  </conditionalFormatting>
  <conditionalFormatting sqref="I34">
    <cfRule type="cellIs" dxfId="1121" priority="1280" operator="lessThan">
      <formula>0</formula>
    </cfRule>
  </conditionalFormatting>
  <conditionalFormatting sqref="I34">
    <cfRule type="cellIs" dxfId="1120" priority="1279" operator="lessThan">
      <formula>0</formula>
    </cfRule>
  </conditionalFormatting>
  <conditionalFormatting sqref="I34">
    <cfRule type="cellIs" dxfId="1119" priority="1278" operator="lessThan">
      <formula>0</formula>
    </cfRule>
  </conditionalFormatting>
  <conditionalFormatting sqref="I34">
    <cfRule type="cellIs" dxfId="1118" priority="1277" operator="lessThan">
      <formula>0</formula>
    </cfRule>
  </conditionalFormatting>
  <conditionalFormatting sqref="I34">
    <cfRule type="cellIs" dxfId="1117" priority="1276" operator="lessThan">
      <formula>0</formula>
    </cfRule>
  </conditionalFormatting>
  <conditionalFormatting sqref="I34">
    <cfRule type="cellIs" dxfId="1116" priority="1275" operator="lessThan">
      <formula>0</formula>
    </cfRule>
  </conditionalFormatting>
  <conditionalFormatting sqref="I34">
    <cfRule type="cellIs" dxfId="1115" priority="1274" operator="lessThan">
      <formula>0</formula>
    </cfRule>
  </conditionalFormatting>
  <conditionalFormatting sqref="I34">
    <cfRule type="cellIs" dxfId="1114" priority="1273" operator="lessThan">
      <formula>0</formula>
    </cfRule>
  </conditionalFormatting>
  <conditionalFormatting sqref="I34">
    <cfRule type="cellIs" dxfId="1113" priority="1272" operator="lessThan">
      <formula>0</formula>
    </cfRule>
  </conditionalFormatting>
  <conditionalFormatting sqref="I34">
    <cfRule type="cellIs" dxfId="1112" priority="1271" operator="lessThan">
      <formula>0</formula>
    </cfRule>
  </conditionalFormatting>
  <conditionalFormatting sqref="I34">
    <cfRule type="cellIs" dxfId="1111" priority="1270" operator="lessThan">
      <formula>0</formula>
    </cfRule>
  </conditionalFormatting>
  <conditionalFormatting sqref="I34">
    <cfRule type="cellIs" dxfId="1110" priority="1269" operator="lessThan">
      <formula>0</formula>
    </cfRule>
  </conditionalFormatting>
  <conditionalFormatting sqref="I34">
    <cfRule type="cellIs" dxfId="1109" priority="1268" operator="lessThan">
      <formula>0</formula>
    </cfRule>
  </conditionalFormatting>
  <conditionalFormatting sqref="I34">
    <cfRule type="cellIs" dxfId="1108" priority="1267" operator="lessThan">
      <formula>0</formula>
    </cfRule>
  </conditionalFormatting>
  <conditionalFormatting sqref="I34">
    <cfRule type="cellIs" dxfId="1107" priority="1266" operator="lessThan">
      <formula>0</formula>
    </cfRule>
  </conditionalFormatting>
  <conditionalFormatting sqref="I34">
    <cfRule type="cellIs" dxfId="1106" priority="1265" operator="lessThan">
      <formula>0</formula>
    </cfRule>
  </conditionalFormatting>
  <conditionalFormatting sqref="I34">
    <cfRule type="cellIs" dxfId="1105" priority="1264" operator="lessThan">
      <formula>0</formula>
    </cfRule>
  </conditionalFormatting>
  <conditionalFormatting sqref="I34">
    <cfRule type="cellIs" dxfId="1104" priority="1263" operator="lessThan">
      <formula>0</formula>
    </cfRule>
  </conditionalFormatting>
  <conditionalFormatting sqref="I34">
    <cfRule type="cellIs" dxfId="1103" priority="1262" operator="lessThan">
      <formula>0</formula>
    </cfRule>
  </conditionalFormatting>
  <conditionalFormatting sqref="I34">
    <cfRule type="cellIs" dxfId="1102" priority="1261" operator="lessThan">
      <formula>0</formula>
    </cfRule>
  </conditionalFormatting>
  <conditionalFormatting sqref="I34">
    <cfRule type="cellIs" dxfId="1101" priority="1260" operator="lessThan">
      <formula>0</formula>
    </cfRule>
  </conditionalFormatting>
  <conditionalFormatting sqref="I34">
    <cfRule type="cellIs" dxfId="1100" priority="1259" operator="lessThan">
      <formula>0</formula>
    </cfRule>
  </conditionalFormatting>
  <conditionalFormatting sqref="I34">
    <cfRule type="cellIs" dxfId="1099" priority="1258" operator="lessThan">
      <formula>0</formula>
    </cfRule>
  </conditionalFormatting>
  <conditionalFormatting sqref="I34">
    <cfRule type="cellIs" dxfId="1098" priority="1257" operator="lessThan">
      <formula>0</formula>
    </cfRule>
  </conditionalFormatting>
  <conditionalFormatting sqref="I34">
    <cfRule type="cellIs" dxfId="1097" priority="1256" operator="lessThan">
      <formula>0</formula>
    </cfRule>
  </conditionalFormatting>
  <conditionalFormatting sqref="I34">
    <cfRule type="cellIs" dxfId="1096" priority="1255" operator="lessThan">
      <formula>0</formula>
    </cfRule>
  </conditionalFormatting>
  <conditionalFormatting sqref="I34">
    <cfRule type="cellIs" dxfId="1095" priority="1254" operator="lessThan">
      <formula>0</formula>
    </cfRule>
  </conditionalFormatting>
  <conditionalFormatting sqref="I34">
    <cfRule type="cellIs" dxfId="1094" priority="1253" operator="lessThan">
      <formula>0</formula>
    </cfRule>
  </conditionalFormatting>
  <conditionalFormatting sqref="I34">
    <cfRule type="cellIs" dxfId="1093" priority="1252" operator="lessThan">
      <formula>0</formula>
    </cfRule>
  </conditionalFormatting>
  <conditionalFormatting sqref="I34">
    <cfRule type="cellIs" dxfId="1092" priority="1251" operator="lessThan">
      <formula>0</formula>
    </cfRule>
  </conditionalFormatting>
  <conditionalFormatting sqref="I34">
    <cfRule type="cellIs" dxfId="1091" priority="1250" operator="lessThan">
      <formula>0</formula>
    </cfRule>
  </conditionalFormatting>
  <conditionalFormatting sqref="I34">
    <cfRule type="cellIs" dxfId="1090" priority="1249" operator="lessThan">
      <formula>0</formula>
    </cfRule>
  </conditionalFormatting>
  <conditionalFormatting sqref="I34">
    <cfRule type="cellIs" dxfId="1089" priority="1248" operator="lessThan">
      <formula>0</formula>
    </cfRule>
  </conditionalFormatting>
  <conditionalFormatting sqref="I34">
    <cfRule type="cellIs" dxfId="1088" priority="1247" operator="lessThan">
      <formula>0</formula>
    </cfRule>
  </conditionalFormatting>
  <conditionalFormatting sqref="I34">
    <cfRule type="cellIs" dxfId="1087" priority="1246" operator="lessThan">
      <formula>0</formula>
    </cfRule>
  </conditionalFormatting>
  <conditionalFormatting sqref="I34">
    <cfRule type="cellIs" dxfId="1086" priority="1245" operator="lessThan">
      <formula>0</formula>
    </cfRule>
  </conditionalFormatting>
  <conditionalFormatting sqref="I34">
    <cfRule type="cellIs" dxfId="1085" priority="1244" operator="lessThan">
      <formula>0</formula>
    </cfRule>
  </conditionalFormatting>
  <conditionalFormatting sqref="I34">
    <cfRule type="cellIs" dxfId="1084" priority="1243" operator="lessThan">
      <formula>0</formula>
    </cfRule>
  </conditionalFormatting>
  <conditionalFormatting sqref="I34">
    <cfRule type="cellIs" dxfId="1083" priority="1242" operator="lessThan">
      <formula>0</formula>
    </cfRule>
  </conditionalFormatting>
  <conditionalFormatting sqref="I34">
    <cfRule type="cellIs" dxfId="1082" priority="1241" operator="lessThan">
      <formula>0</formula>
    </cfRule>
  </conditionalFormatting>
  <conditionalFormatting sqref="I34">
    <cfRule type="cellIs" dxfId="1081" priority="1240" operator="lessThan">
      <formula>0</formula>
    </cfRule>
  </conditionalFormatting>
  <conditionalFormatting sqref="I34">
    <cfRule type="cellIs" dxfId="1080" priority="1239" operator="lessThan">
      <formula>0</formula>
    </cfRule>
  </conditionalFormatting>
  <conditionalFormatting sqref="I34">
    <cfRule type="cellIs" dxfId="1079" priority="1238" operator="lessThan">
      <formula>0</formula>
    </cfRule>
  </conditionalFormatting>
  <conditionalFormatting sqref="I34">
    <cfRule type="cellIs" dxfId="1078" priority="1237" operator="lessThan">
      <formula>0</formula>
    </cfRule>
  </conditionalFormatting>
  <conditionalFormatting sqref="I34">
    <cfRule type="cellIs" dxfId="1077" priority="1236" operator="lessThan">
      <formula>0</formula>
    </cfRule>
  </conditionalFormatting>
  <conditionalFormatting sqref="I34">
    <cfRule type="cellIs" dxfId="1076" priority="1235" operator="lessThan">
      <formula>0</formula>
    </cfRule>
  </conditionalFormatting>
  <conditionalFormatting sqref="I34">
    <cfRule type="cellIs" dxfId="1075" priority="1234" operator="lessThan">
      <formula>0</formula>
    </cfRule>
  </conditionalFormatting>
  <conditionalFormatting sqref="I34">
    <cfRule type="cellIs" dxfId="1074" priority="1233" operator="lessThan">
      <formula>0</formula>
    </cfRule>
  </conditionalFormatting>
  <conditionalFormatting sqref="I34">
    <cfRule type="cellIs" dxfId="1073" priority="1232" operator="lessThan">
      <formula>0</formula>
    </cfRule>
  </conditionalFormatting>
  <conditionalFormatting sqref="I34">
    <cfRule type="cellIs" dxfId="1072" priority="1231" operator="lessThan">
      <formula>0</formula>
    </cfRule>
  </conditionalFormatting>
  <conditionalFormatting sqref="I34">
    <cfRule type="cellIs" dxfId="1071" priority="1230" operator="lessThan">
      <formula>0</formula>
    </cfRule>
  </conditionalFormatting>
  <conditionalFormatting sqref="I34">
    <cfRule type="cellIs" dxfId="1070" priority="1229" operator="lessThan">
      <formula>0</formula>
    </cfRule>
  </conditionalFormatting>
  <conditionalFormatting sqref="I34">
    <cfRule type="cellIs" dxfId="1069" priority="1228" operator="lessThan">
      <formula>0</formula>
    </cfRule>
  </conditionalFormatting>
  <conditionalFormatting sqref="I34">
    <cfRule type="cellIs" dxfId="1068" priority="1227" operator="lessThan">
      <formula>0</formula>
    </cfRule>
  </conditionalFormatting>
  <conditionalFormatting sqref="I34">
    <cfRule type="cellIs" dxfId="1067" priority="1226" operator="lessThan">
      <formula>0</formula>
    </cfRule>
  </conditionalFormatting>
  <conditionalFormatting sqref="I34">
    <cfRule type="cellIs" dxfId="1066" priority="1225" operator="lessThan">
      <formula>0</formula>
    </cfRule>
  </conditionalFormatting>
  <conditionalFormatting sqref="I34">
    <cfRule type="cellIs" dxfId="1065" priority="1224" operator="lessThan">
      <formula>0</formula>
    </cfRule>
  </conditionalFormatting>
  <conditionalFormatting sqref="I34">
    <cfRule type="cellIs" dxfId="1064" priority="1223" operator="lessThan">
      <formula>0</formula>
    </cfRule>
  </conditionalFormatting>
  <conditionalFormatting sqref="I34">
    <cfRule type="cellIs" dxfId="1063" priority="1222" operator="lessThan">
      <formula>0</formula>
    </cfRule>
  </conditionalFormatting>
  <conditionalFormatting sqref="I34">
    <cfRule type="cellIs" dxfId="1062" priority="1221" operator="lessThan">
      <formula>0</formula>
    </cfRule>
  </conditionalFormatting>
  <conditionalFormatting sqref="I34">
    <cfRule type="cellIs" dxfId="1061" priority="1220" operator="lessThan">
      <formula>0</formula>
    </cfRule>
  </conditionalFormatting>
  <conditionalFormatting sqref="I34">
    <cfRule type="cellIs" dxfId="1060" priority="1219" operator="lessThan">
      <formula>0</formula>
    </cfRule>
  </conditionalFormatting>
  <conditionalFormatting sqref="I34">
    <cfRule type="cellIs" dxfId="1059" priority="1218" operator="lessThan">
      <formula>0</formula>
    </cfRule>
  </conditionalFormatting>
  <conditionalFormatting sqref="I34">
    <cfRule type="cellIs" dxfId="1058" priority="1217" operator="lessThan">
      <formula>0</formula>
    </cfRule>
  </conditionalFormatting>
  <conditionalFormatting sqref="I34">
    <cfRule type="cellIs" dxfId="1057" priority="1216" operator="lessThan">
      <formula>0</formula>
    </cfRule>
  </conditionalFormatting>
  <conditionalFormatting sqref="I34">
    <cfRule type="cellIs" dxfId="1056" priority="1215" operator="lessThan">
      <formula>0</formula>
    </cfRule>
  </conditionalFormatting>
  <conditionalFormatting sqref="I34">
    <cfRule type="cellIs" dxfId="1055" priority="1214" operator="lessThan">
      <formula>0</formula>
    </cfRule>
  </conditionalFormatting>
  <conditionalFormatting sqref="I34">
    <cfRule type="cellIs" dxfId="1054" priority="1213" operator="lessThan">
      <formula>0</formula>
    </cfRule>
  </conditionalFormatting>
  <conditionalFormatting sqref="I34">
    <cfRule type="cellIs" dxfId="1053" priority="1212" operator="lessThan">
      <formula>0</formula>
    </cfRule>
  </conditionalFormatting>
  <conditionalFormatting sqref="I34">
    <cfRule type="cellIs" dxfId="1052" priority="1211" operator="lessThan">
      <formula>0</formula>
    </cfRule>
  </conditionalFormatting>
  <conditionalFormatting sqref="I34">
    <cfRule type="cellIs" dxfId="1051" priority="1210" operator="lessThan">
      <formula>0</formula>
    </cfRule>
  </conditionalFormatting>
  <conditionalFormatting sqref="I34">
    <cfRule type="cellIs" dxfId="1050" priority="1209" operator="lessThan">
      <formula>0</formula>
    </cfRule>
  </conditionalFormatting>
  <conditionalFormatting sqref="I34">
    <cfRule type="cellIs" dxfId="1049" priority="1208" operator="lessThan">
      <formula>0</formula>
    </cfRule>
  </conditionalFormatting>
  <conditionalFormatting sqref="I34">
    <cfRule type="cellIs" dxfId="1048" priority="1207" operator="lessThan">
      <formula>0</formula>
    </cfRule>
  </conditionalFormatting>
  <conditionalFormatting sqref="I34">
    <cfRule type="cellIs" dxfId="1047" priority="1206" operator="lessThan">
      <formula>0</formula>
    </cfRule>
  </conditionalFormatting>
  <conditionalFormatting sqref="I34">
    <cfRule type="cellIs" dxfId="1046" priority="1205" operator="lessThan">
      <formula>0</formula>
    </cfRule>
  </conditionalFormatting>
  <conditionalFormatting sqref="I34">
    <cfRule type="cellIs" dxfId="1045" priority="1204" operator="lessThan">
      <formula>0</formula>
    </cfRule>
  </conditionalFormatting>
  <conditionalFormatting sqref="I34">
    <cfRule type="cellIs" dxfId="1044" priority="1203" operator="lessThan">
      <formula>0</formula>
    </cfRule>
  </conditionalFormatting>
  <conditionalFormatting sqref="I34">
    <cfRule type="cellIs" dxfId="1043" priority="1202" operator="lessThan">
      <formula>0</formula>
    </cfRule>
  </conditionalFormatting>
  <conditionalFormatting sqref="I34">
    <cfRule type="cellIs" dxfId="1042" priority="1201" operator="lessThan">
      <formula>0</formula>
    </cfRule>
  </conditionalFormatting>
  <conditionalFormatting sqref="I34">
    <cfRule type="cellIs" dxfId="1041" priority="1200" operator="lessThan">
      <formula>0</formula>
    </cfRule>
  </conditionalFormatting>
  <conditionalFormatting sqref="I34">
    <cfRule type="cellIs" dxfId="1040" priority="1199" operator="lessThan">
      <formula>0</formula>
    </cfRule>
  </conditionalFormatting>
  <conditionalFormatting sqref="I34">
    <cfRule type="cellIs" dxfId="1039" priority="1198" operator="lessThan">
      <formula>0</formula>
    </cfRule>
  </conditionalFormatting>
  <conditionalFormatting sqref="I34">
    <cfRule type="cellIs" dxfId="1038" priority="1197" operator="lessThan">
      <formula>0</formula>
    </cfRule>
  </conditionalFormatting>
  <conditionalFormatting sqref="I34">
    <cfRule type="cellIs" dxfId="1037" priority="1196" operator="lessThan">
      <formula>0</formula>
    </cfRule>
  </conditionalFormatting>
  <conditionalFormatting sqref="I34">
    <cfRule type="cellIs" dxfId="1036" priority="1195" operator="lessThan">
      <formula>0</formula>
    </cfRule>
  </conditionalFormatting>
  <conditionalFormatting sqref="I34">
    <cfRule type="cellIs" dxfId="1035" priority="1194" operator="lessThan">
      <formula>0</formula>
    </cfRule>
  </conditionalFormatting>
  <conditionalFormatting sqref="I34">
    <cfRule type="cellIs" dxfId="1034" priority="1193" operator="lessThan">
      <formula>0</formula>
    </cfRule>
  </conditionalFormatting>
  <conditionalFormatting sqref="I34">
    <cfRule type="cellIs" dxfId="1033" priority="1192" operator="lessThan">
      <formula>0</formula>
    </cfRule>
  </conditionalFormatting>
  <conditionalFormatting sqref="I34">
    <cfRule type="cellIs" dxfId="1032" priority="1191" operator="lessThan">
      <formula>0</formula>
    </cfRule>
  </conditionalFormatting>
  <conditionalFormatting sqref="I34">
    <cfRule type="cellIs" dxfId="1031" priority="1190" operator="lessThan">
      <formula>0</formula>
    </cfRule>
  </conditionalFormatting>
  <conditionalFormatting sqref="I34">
    <cfRule type="cellIs" dxfId="1030" priority="1189" operator="lessThan">
      <formula>0</formula>
    </cfRule>
  </conditionalFormatting>
  <conditionalFormatting sqref="I34">
    <cfRule type="cellIs" dxfId="1029" priority="1188" operator="lessThan">
      <formula>0</formula>
    </cfRule>
  </conditionalFormatting>
  <conditionalFormatting sqref="I34">
    <cfRule type="cellIs" dxfId="1028" priority="1187" operator="lessThan">
      <formula>0</formula>
    </cfRule>
  </conditionalFormatting>
  <conditionalFormatting sqref="I34">
    <cfRule type="cellIs" dxfId="1027" priority="1186" operator="lessThan">
      <formula>0</formula>
    </cfRule>
  </conditionalFormatting>
  <conditionalFormatting sqref="I34">
    <cfRule type="cellIs" dxfId="1026" priority="1185" operator="lessThan">
      <formula>0</formula>
    </cfRule>
  </conditionalFormatting>
  <conditionalFormatting sqref="I34">
    <cfRule type="cellIs" dxfId="1025" priority="1184" operator="lessThan">
      <formula>0</formula>
    </cfRule>
  </conditionalFormatting>
  <conditionalFormatting sqref="I34">
    <cfRule type="cellIs" dxfId="1024" priority="1183" operator="lessThan">
      <formula>0</formula>
    </cfRule>
  </conditionalFormatting>
  <conditionalFormatting sqref="I34">
    <cfRule type="cellIs" dxfId="1023" priority="1182" operator="lessThan">
      <formula>0</formula>
    </cfRule>
  </conditionalFormatting>
  <conditionalFormatting sqref="I34">
    <cfRule type="cellIs" dxfId="1022" priority="1181" operator="lessThan">
      <formula>0</formula>
    </cfRule>
  </conditionalFormatting>
  <conditionalFormatting sqref="I34">
    <cfRule type="cellIs" dxfId="1021" priority="1180" operator="lessThan">
      <formula>0</formula>
    </cfRule>
  </conditionalFormatting>
  <conditionalFormatting sqref="I34">
    <cfRule type="cellIs" dxfId="1020" priority="1179" operator="lessThan">
      <formula>0</formula>
    </cfRule>
  </conditionalFormatting>
  <conditionalFormatting sqref="I34">
    <cfRule type="cellIs" dxfId="1019" priority="1178" operator="lessThan">
      <formula>0</formula>
    </cfRule>
  </conditionalFormatting>
  <conditionalFormatting sqref="I34">
    <cfRule type="cellIs" dxfId="1018" priority="1177" operator="lessThan">
      <formula>0</formula>
    </cfRule>
  </conditionalFormatting>
  <conditionalFormatting sqref="I34">
    <cfRule type="cellIs" dxfId="1017" priority="1176" operator="lessThan">
      <formula>0</formula>
    </cfRule>
  </conditionalFormatting>
  <conditionalFormatting sqref="I34">
    <cfRule type="cellIs" dxfId="1016" priority="1175" operator="lessThan">
      <formula>0</formula>
    </cfRule>
  </conditionalFormatting>
  <conditionalFormatting sqref="I34">
    <cfRule type="cellIs" dxfId="1015" priority="1174" operator="lessThan">
      <formula>0</formula>
    </cfRule>
  </conditionalFormatting>
  <conditionalFormatting sqref="I34">
    <cfRule type="cellIs" dxfId="1014" priority="1173" operator="lessThan">
      <formula>0</formula>
    </cfRule>
  </conditionalFormatting>
  <conditionalFormatting sqref="I34">
    <cfRule type="cellIs" dxfId="1013" priority="1172" operator="lessThan">
      <formula>0</formula>
    </cfRule>
  </conditionalFormatting>
  <conditionalFormatting sqref="I34">
    <cfRule type="cellIs" dxfId="1012" priority="1171" operator="lessThan">
      <formula>0</formula>
    </cfRule>
  </conditionalFormatting>
  <conditionalFormatting sqref="I34">
    <cfRule type="cellIs" dxfId="1011" priority="1170" operator="lessThan">
      <formula>0</formula>
    </cfRule>
  </conditionalFormatting>
  <conditionalFormatting sqref="I34">
    <cfRule type="cellIs" dxfId="1010" priority="1169" operator="lessThan">
      <formula>0</formula>
    </cfRule>
  </conditionalFormatting>
  <conditionalFormatting sqref="I34">
    <cfRule type="cellIs" dxfId="1009" priority="1168" operator="lessThan">
      <formula>0</formula>
    </cfRule>
  </conditionalFormatting>
  <conditionalFormatting sqref="I34">
    <cfRule type="cellIs" dxfId="1008" priority="1167" operator="lessThan">
      <formula>0</formula>
    </cfRule>
  </conditionalFormatting>
  <conditionalFormatting sqref="I34">
    <cfRule type="cellIs" dxfId="1007" priority="1166" operator="lessThan">
      <formula>0</formula>
    </cfRule>
  </conditionalFormatting>
  <conditionalFormatting sqref="I34">
    <cfRule type="cellIs" dxfId="1006" priority="1165" operator="lessThan">
      <formula>0</formula>
    </cfRule>
  </conditionalFormatting>
  <conditionalFormatting sqref="I34">
    <cfRule type="cellIs" dxfId="1005" priority="1164" operator="lessThan">
      <formula>0</formula>
    </cfRule>
  </conditionalFormatting>
  <conditionalFormatting sqref="I34">
    <cfRule type="cellIs" dxfId="1004" priority="1163" operator="lessThan">
      <formula>0</formula>
    </cfRule>
  </conditionalFormatting>
  <conditionalFormatting sqref="I34">
    <cfRule type="cellIs" dxfId="1003" priority="1162" operator="lessThan">
      <formula>0</formula>
    </cfRule>
  </conditionalFormatting>
  <conditionalFormatting sqref="I34">
    <cfRule type="cellIs" dxfId="1002" priority="1161" operator="lessThan">
      <formula>0</formula>
    </cfRule>
  </conditionalFormatting>
  <conditionalFormatting sqref="I34">
    <cfRule type="cellIs" dxfId="1001" priority="1160" operator="lessThan">
      <formula>0</formula>
    </cfRule>
  </conditionalFormatting>
  <conditionalFormatting sqref="I34">
    <cfRule type="cellIs" dxfId="1000" priority="1159" operator="lessThan">
      <formula>0</formula>
    </cfRule>
  </conditionalFormatting>
  <conditionalFormatting sqref="I34">
    <cfRule type="cellIs" dxfId="999" priority="1158" operator="lessThan">
      <formula>0</formula>
    </cfRule>
  </conditionalFormatting>
  <conditionalFormatting sqref="I34">
    <cfRule type="cellIs" dxfId="998" priority="1157" operator="lessThan">
      <formula>0</formula>
    </cfRule>
  </conditionalFormatting>
  <conditionalFormatting sqref="I34">
    <cfRule type="cellIs" dxfId="997" priority="1156" operator="lessThan">
      <formula>0</formula>
    </cfRule>
  </conditionalFormatting>
  <conditionalFormatting sqref="I34">
    <cfRule type="cellIs" dxfId="996" priority="1155" operator="lessThan">
      <formula>0</formula>
    </cfRule>
  </conditionalFormatting>
  <conditionalFormatting sqref="I34">
    <cfRule type="cellIs" dxfId="995" priority="1154" operator="lessThan">
      <formula>0</formula>
    </cfRule>
  </conditionalFormatting>
  <conditionalFormatting sqref="I34">
    <cfRule type="cellIs" dxfId="994" priority="1153" operator="lessThan">
      <formula>0</formula>
    </cfRule>
  </conditionalFormatting>
  <conditionalFormatting sqref="I34">
    <cfRule type="cellIs" dxfId="993" priority="1152" operator="lessThan">
      <formula>0</formula>
    </cfRule>
  </conditionalFormatting>
  <conditionalFormatting sqref="I34">
    <cfRule type="cellIs" dxfId="992" priority="1151" operator="lessThan">
      <formula>0</formula>
    </cfRule>
  </conditionalFormatting>
  <conditionalFormatting sqref="I34">
    <cfRule type="cellIs" dxfId="991" priority="1150" operator="lessThan">
      <formula>0</formula>
    </cfRule>
  </conditionalFormatting>
  <conditionalFormatting sqref="I34">
    <cfRule type="cellIs" dxfId="990" priority="1149" operator="lessThan">
      <formula>0</formula>
    </cfRule>
  </conditionalFormatting>
  <conditionalFormatting sqref="I34">
    <cfRule type="cellIs" dxfId="989" priority="1148" operator="lessThan">
      <formula>0</formula>
    </cfRule>
  </conditionalFormatting>
  <conditionalFormatting sqref="I34">
    <cfRule type="cellIs" dxfId="988" priority="1147" operator="lessThan">
      <formula>0</formula>
    </cfRule>
  </conditionalFormatting>
  <conditionalFormatting sqref="I34">
    <cfRule type="cellIs" dxfId="987" priority="1146" operator="lessThan">
      <formula>0</formula>
    </cfRule>
  </conditionalFormatting>
  <conditionalFormatting sqref="I34">
    <cfRule type="cellIs" dxfId="986" priority="1145" operator="lessThan">
      <formula>0</formula>
    </cfRule>
  </conditionalFormatting>
  <conditionalFormatting sqref="I34">
    <cfRule type="cellIs" dxfId="985" priority="1144" operator="lessThan">
      <formula>0</formula>
    </cfRule>
  </conditionalFormatting>
  <conditionalFormatting sqref="I34">
    <cfRule type="cellIs" dxfId="984" priority="1143" operator="lessThan">
      <formula>0</formula>
    </cfRule>
  </conditionalFormatting>
  <conditionalFormatting sqref="I34">
    <cfRule type="cellIs" dxfId="983" priority="1142" operator="lessThan">
      <formula>0</formula>
    </cfRule>
  </conditionalFormatting>
  <conditionalFormatting sqref="I34">
    <cfRule type="cellIs" dxfId="982" priority="1141" operator="lessThan">
      <formula>0</formula>
    </cfRule>
  </conditionalFormatting>
  <conditionalFormatting sqref="I34">
    <cfRule type="cellIs" dxfId="981" priority="1140" operator="lessThan">
      <formula>0</formula>
    </cfRule>
  </conditionalFormatting>
  <conditionalFormatting sqref="I34">
    <cfRule type="cellIs" dxfId="980" priority="1139" operator="lessThan">
      <formula>0</formula>
    </cfRule>
  </conditionalFormatting>
  <conditionalFormatting sqref="I34">
    <cfRule type="cellIs" dxfId="979" priority="1138" operator="lessThan">
      <formula>0</formula>
    </cfRule>
  </conditionalFormatting>
  <conditionalFormatting sqref="I34">
    <cfRule type="cellIs" dxfId="978" priority="1137" operator="lessThan">
      <formula>0</formula>
    </cfRule>
  </conditionalFormatting>
  <conditionalFormatting sqref="I34">
    <cfRule type="cellIs" dxfId="977" priority="1136" operator="lessThan">
      <formula>0</formula>
    </cfRule>
  </conditionalFormatting>
  <conditionalFormatting sqref="I34">
    <cfRule type="cellIs" dxfId="976" priority="1135" operator="lessThan">
      <formula>0</formula>
    </cfRule>
  </conditionalFormatting>
  <conditionalFormatting sqref="I34">
    <cfRule type="cellIs" dxfId="975" priority="1134" operator="lessThan">
      <formula>0</formula>
    </cfRule>
  </conditionalFormatting>
  <conditionalFormatting sqref="I34">
    <cfRule type="cellIs" dxfId="974" priority="1133" operator="lessThan">
      <formula>0</formula>
    </cfRule>
  </conditionalFormatting>
  <conditionalFormatting sqref="I34">
    <cfRule type="cellIs" dxfId="973" priority="1132" operator="lessThan">
      <formula>0</formula>
    </cfRule>
  </conditionalFormatting>
  <conditionalFormatting sqref="I34">
    <cfRule type="cellIs" dxfId="972" priority="1131" operator="lessThan">
      <formula>0</formula>
    </cfRule>
  </conditionalFormatting>
  <conditionalFormatting sqref="I34">
    <cfRule type="cellIs" dxfId="971" priority="1130" operator="lessThan">
      <formula>0</formula>
    </cfRule>
  </conditionalFormatting>
  <conditionalFormatting sqref="I34">
    <cfRule type="cellIs" dxfId="970" priority="1129" operator="lessThan">
      <formula>0</formula>
    </cfRule>
  </conditionalFormatting>
  <conditionalFormatting sqref="I34">
    <cfRule type="cellIs" dxfId="969" priority="1128" operator="lessThan">
      <formula>0</formula>
    </cfRule>
  </conditionalFormatting>
  <conditionalFormatting sqref="I34">
    <cfRule type="cellIs" dxfId="968" priority="1127" operator="lessThan">
      <formula>0</formula>
    </cfRule>
  </conditionalFormatting>
  <conditionalFormatting sqref="I34">
    <cfRule type="cellIs" dxfId="967" priority="1126" operator="lessThan">
      <formula>0</formula>
    </cfRule>
  </conditionalFormatting>
  <conditionalFormatting sqref="I34">
    <cfRule type="cellIs" dxfId="966" priority="1125" operator="lessThan">
      <formula>0</formula>
    </cfRule>
  </conditionalFormatting>
  <conditionalFormatting sqref="I34">
    <cfRule type="cellIs" dxfId="965" priority="1124" operator="lessThan">
      <formula>0</formula>
    </cfRule>
  </conditionalFormatting>
  <conditionalFormatting sqref="I34">
    <cfRule type="cellIs" dxfId="964" priority="1123" operator="lessThan">
      <formula>0</formula>
    </cfRule>
  </conditionalFormatting>
  <conditionalFormatting sqref="I34">
    <cfRule type="cellIs" dxfId="963" priority="1122" operator="lessThan">
      <formula>0</formula>
    </cfRule>
  </conditionalFormatting>
  <conditionalFormatting sqref="I34">
    <cfRule type="cellIs" dxfId="962" priority="1121" operator="lessThan">
      <formula>0</formula>
    </cfRule>
  </conditionalFormatting>
  <conditionalFormatting sqref="I34">
    <cfRule type="cellIs" dxfId="961" priority="1120" operator="lessThan">
      <formula>0</formula>
    </cfRule>
  </conditionalFormatting>
  <conditionalFormatting sqref="I34">
    <cfRule type="cellIs" dxfId="960" priority="1119" operator="lessThan">
      <formula>0</formula>
    </cfRule>
  </conditionalFormatting>
  <conditionalFormatting sqref="I34">
    <cfRule type="cellIs" dxfId="959" priority="1118" operator="lessThan">
      <formula>0</formula>
    </cfRule>
  </conditionalFormatting>
  <conditionalFormatting sqref="I34">
    <cfRule type="cellIs" dxfId="958" priority="1117" operator="lessThan">
      <formula>0</formula>
    </cfRule>
  </conditionalFormatting>
  <conditionalFormatting sqref="I34">
    <cfRule type="cellIs" dxfId="957" priority="1116" operator="lessThan">
      <formula>0</formula>
    </cfRule>
  </conditionalFormatting>
  <conditionalFormatting sqref="I34">
    <cfRule type="cellIs" dxfId="956" priority="1115" operator="lessThan">
      <formula>0</formula>
    </cfRule>
  </conditionalFormatting>
  <conditionalFormatting sqref="I34">
    <cfRule type="cellIs" dxfId="955" priority="1114" operator="lessThan">
      <formula>0</formula>
    </cfRule>
  </conditionalFormatting>
  <conditionalFormatting sqref="I34">
    <cfRule type="cellIs" dxfId="954" priority="1113" operator="lessThan">
      <formula>0</formula>
    </cfRule>
  </conditionalFormatting>
  <conditionalFormatting sqref="I34">
    <cfRule type="cellIs" dxfId="953" priority="1112" operator="lessThan">
      <formula>0</formula>
    </cfRule>
  </conditionalFormatting>
  <conditionalFormatting sqref="I34">
    <cfRule type="cellIs" dxfId="952" priority="1111" operator="lessThan">
      <formula>0</formula>
    </cfRule>
  </conditionalFormatting>
  <conditionalFormatting sqref="I34">
    <cfRule type="cellIs" dxfId="951" priority="1110" operator="lessThan">
      <formula>0</formula>
    </cfRule>
  </conditionalFormatting>
  <conditionalFormatting sqref="I34">
    <cfRule type="cellIs" dxfId="950" priority="1109" operator="lessThan">
      <formula>0</formula>
    </cfRule>
  </conditionalFormatting>
  <conditionalFormatting sqref="I34">
    <cfRule type="cellIs" dxfId="949" priority="1108" operator="lessThan">
      <formula>0</formula>
    </cfRule>
  </conditionalFormatting>
  <conditionalFormatting sqref="I34">
    <cfRule type="cellIs" dxfId="948" priority="1107" operator="lessThan">
      <formula>0</formula>
    </cfRule>
  </conditionalFormatting>
  <conditionalFormatting sqref="I34">
    <cfRule type="cellIs" dxfId="947" priority="1106" operator="lessThan">
      <formula>0</formula>
    </cfRule>
  </conditionalFormatting>
  <conditionalFormatting sqref="I34">
    <cfRule type="cellIs" dxfId="946" priority="1105" operator="lessThan">
      <formula>0</formula>
    </cfRule>
  </conditionalFormatting>
  <conditionalFormatting sqref="I34">
    <cfRule type="cellIs" dxfId="945" priority="1104" operator="lessThan">
      <formula>0</formula>
    </cfRule>
  </conditionalFormatting>
  <conditionalFormatting sqref="I34">
    <cfRule type="cellIs" dxfId="944" priority="1103" operator="lessThan">
      <formula>0</formula>
    </cfRule>
  </conditionalFormatting>
  <conditionalFormatting sqref="I34">
    <cfRule type="cellIs" dxfId="943" priority="1102" operator="lessThan">
      <formula>0</formula>
    </cfRule>
  </conditionalFormatting>
  <conditionalFormatting sqref="I34">
    <cfRule type="cellIs" dxfId="942" priority="1101" operator="lessThan">
      <formula>0</formula>
    </cfRule>
  </conditionalFormatting>
  <conditionalFormatting sqref="I34">
    <cfRule type="cellIs" dxfId="941" priority="1100" operator="lessThan">
      <formula>0</formula>
    </cfRule>
  </conditionalFormatting>
  <conditionalFormatting sqref="I34">
    <cfRule type="cellIs" dxfId="940" priority="1099" operator="lessThan">
      <formula>0</formula>
    </cfRule>
  </conditionalFormatting>
  <conditionalFormatting sqref="I34">
    <cfRule type="cellIs" dxfId="939" priority="1098" operator="lessThan">
      <formula>0</formula>
    </cfRule>
  </conditionalFormatting>
  <conditionalFormatting sqref="I34">
    <cfRule type="cellIs" dxfId="938" priority="1097" operator="lessThan">
      <formula>0</formula>
    </cfRule>
  </conditionalFormatting>
  <conditionalFormatting sqref="I34">
    <cfRule type="cellIs" dxfId="937" priority="1096" operator="lessThan">
      <formula>0</formula>
    </cfRule>
  </conditionalFormatting>
  <conditionalFormatting sqref="I34">
    <cfRule type="cellIs" dxfId="936" priority="1095" operator="lessThan">
      <formula>0</formula>
    </cfRule>
  </conditionalFormatting>
  <conditionalFormatting sqref="I34">
    <cfRule type="cellIs" dxfId="935" priority="1094" operator="lessThan">
      <formula>0</formula>
    </cfRule>
  </conditionalFormatting>
  <conditionalFormatting sqref="I34">
    <cfRule type="cellIs" dxfId="934" priority="1093" operator="lessThan">
      <formula>0</formula>
    </cfRule>
  </conditionalFormatting>
  <conditionalFormatting sqref="I34">
    <cfRule type="cellIs" dxfId="933" priority="1092" operator="lessThan">
      <formula>0</formula>
    </cfRule>
  </conditionalFormatting>
  <conditionalFormatting sqref="I34">
    <cfRule type="cellIs" dxfId="932" priority="1091" operator="lessThan">
      <formula>0</formula>
    </cfRule>
  </conditionalFormatting>
  <conditionalFormatting sqref="I34">
    <cfRule type="cellIs" dxfId="931" priority="1090" operator="lessThan">
      <formula>0</formula>
    </cfRule>
  </conditionalFormatting>
  <conditionalFormatting sqref="I34">
    <cfRule type="cellIs" dxfId="930" priority="1089" operator="lessThan">
      <formula>0</formula>
    </cfRule>
  </conditionalFormatting>
  <conditionalFormatting sqref="I34">
    <cfRule type="cellIs" dxfId="929" priority="1088" operator="lessThan">
      <formula>0</formula>
    </cfRule>
  </conditionalFormatting>
  <conditionalFormatting sqref="I34">
    <cfRule type="cellIs" dxfId="928" priority="1087" operator="lessThan">
      <formula>0</formula>
    </cfRule>
  </conditionalFormatting>
  <conditionalFormatting sqref="I34">
    <cfRule type="cellIs" dxfId="927" priority="1086" operator="lessThan">
      <formula>0</formula>
    </cfRule>
  </conditionalFormatting>
  <conditionalFormatting sqref="I34">
    <cfRule type="cellIs" dxfId="926" priority="1085" operator="lessThan">
      <formula>0</formula>
    </cfRule>
  </conditionalFormatting>
  <conditionalFormatting sqref="I22:I29">
    <cfRule type="cellIs" dxfId="925" priority="1084" operator="lessThan">
      <formula>0</formula>
    </cfRule>
  </conditionalFormatting>
  <conditionalFormatting sqref="I22:I29">
    <cfRule type="cellIs" dxfId="924" priority="1083" operator="lessThan">
      <formula>0</formula>
    </cfRule>
  </conditionalFormatting>
  <conditionalFormatting sqref="I22:I29">
    <cfRule type="cellIs" dxfId="923" priority="1082" operator="lessThan">
      <formula>0</formula>
    </cfRule>
  </conditionalFormatting>
  <conditionalFormatting sqref="I22:I29">
    <cfRule type="cellIs" dxfId="922" priority="1081" operator="lessThan">
      <formula>0</formula>
    </cfRule>
  </conditionalFormatting>
  <conditionalFormatting sqref="I22:I29">
    <cfRule type="cellIs" dxfId="921" priority="1080" operator="lessThan">
      <formula>0</formula>
    </cfRule>
  </conditionalFormatting>
  <conditionalFormatting sqref="I22:I29">
    <cfRule type="cellIs" dxfId="920" priority="1079" operator="lessThan">
      <formula>0</formula>
    </cfRule>
  </conditionalFormatting>
  <conditionalFormatting sqref="I22:I29">
    <cfRule type="cellIs" dxfId="919" priority="1078" operator="lessThan">
      <formula>0</formula>
    </cfRule>
  </conditionalFormatting>
  <conditionalFormatting sqref="I22:I29">
    <cfRule type="cellIs" dxfId="918" priority="1077" operator="lessThan">
      <formula>0</formula>
    </cfRule>
  </conditionalFormatting>
  <conditionalFormatting sqref="I22:I29">
    <cfRule type="cellIs" dxfId="917" priority="1076" operator="lessThan">
      <formula>0</formula>
    </cfRule>
  </conditionalFormatting>
  <conditionalFormatting sqref="I22:I29">
    <cfRule type="cellIs" dxfId="916" priority="1075" operator="lessThan">
      <formula>0</formula>
    </cfRule>
  </conditionalFormatting>
  <conditionalFormatting sqref="I22:I29">
    <cfRule type="cellIs" dxfId="915" priority="1074" operator="lessThan">
      <formula>0</formula>
    </cfRule>
  </conditionalFormatting>
  <conditionalFormatting sqref="I22:I29">
    <cfRule type="cellIs" dxfId="914" priority="1073" operator="lessThan">
      <formula>0</formula>
    </cfRule>
  </conditionalFormatting>
  <conditionalFormatting sqref="I22:I29">
    <cfRule type="cellIs" dxfId="913" priority="1072" operator="lessThan">
      <formula>0</formula>
    </cfRule>
  </conditionalFormatting>
  <conditionalFormatting sqref="I22:I29">
    <cfRule type="cellIs" dxfId="912" priority="1071" operator="lessThan">
      <formula>0</formula>
    </cfRule>
  </conditionalFormatting>
  <conditionalFormatting sqref="I22:I29">
    <cfRule type="cellIs" dxfId="911" priority="1070" operator="lessThan">
      <formula>0</formula>
    </cfRule>
  </conditionalFormatting>
  <conditionalFormatting sqref="I22:I29">
    <cfRule type="cellIs" dxfId="910" priority="1069" operator="lessThan">
      <formula>0</formula>
    </cfRule>
  </conditionalFormatting>
  <conditionalFormatting sqref="I22:I29">
    <cfRule type="cellIs" dxfId="909" priority="1068" operator="lessThan">
      <formula>0</formula>
    </cfRule>
  </conditionalFormatting>
  <conditionalFormatting sqref="I22:I29">
    <cfRule type="cellIs" dxfId="908" priority="1067" operator="lessThan">
      <formula>0</formula>
    </cfRule>
  </conditionalFormatting>
  <conditionalFormatting sqref="I22:I29">
    <cfRule type="cellIs" dxfId="907" priority="1066" operator="lessThan">
      <formula>0</formula>
    </cfRule>
  </conditionalFormatting>
  <conditionalFormatting sqref="I22:I29">
    <cfRule type="cellIs" dxfId="906" priority="1065" operator="lessThan">
      <formula>0</formula>
    </cfRule>
  </conditionalFormatting>
  <conditionalFormatting sqref="I22:I29">
    <cfRule type="cellIs" dxfId="905" priority="1064" operator="lessThan">
      <formula>0</formula>
    </cfRule>
  </conditionalFormatting>
  <conditionalFormatting sqref="I22:I29">
    <cfRule type="cellIs" dxfId="904" priority="1063" operator="lessThan">
      <formula>0</formula>
    </cfRule>
  </conditionalFormatting>
  <conditionalFormatting sqref="I22:I29">
    <cfRule type="cellIs" dxfId="903" priority="1062" operator="lessThan">
      <formula>0</formula>
    </cfRule>
  </conditionalFormatting>
  <conditionalFormatting sqref="I22:I29">
    <cfRule type="cellIs" dxfId="902" priority="1061" operator="lessThan">
      <formula>0</formula>
    </cfRule>
  </conditionalFormatting>
  <conditionalFormatting sqref="I22:I29">
    <cfRule type="cellIs" dxfId="901" priority="1060" operator="lessThan">
      <formula>0</formula>
    </cfRule>
  </conditionalFormatting>
  <conditionalFormatting sqref="I22:I29">
    <cfRule type="cellIs" dxfId="900" priority="1059" operator="lessThan">
      <formula>0</formula>
    </cfRule>
  </conditionalFormatting>
  <conditionalFormatting sqref="I22:I29">
    <cfRule type="cellIs" dxfId="899" priority="1058" operator="lessThan">
      <formula>0</formula>
    </cfRule>
  </conditionalFormatting>
  <conditionalFormatting sqref="I22:I29">
    <cfRule type="cellIs" dxfId="898" priority="1057" operator="lessThan">
      <formula>0</formula>
    </cfRule>
  </conditionalFormatting>
  <conditionalFormatting sqref="I22:I29">
    <cfRule type="cellIs" dxfId="897" priority="1056" operator="lessThan">
      <formula>0</formula>
    </cfRule>
  </conditionalFormatting>
  <conditionalFormatting sqref="I22:I29">
    <cfRule type="cellIs" dxfId="896" priority="1055" operator="lessThan">
      <formula>0</formula>
    </cfRule>
  </conditionalFormatting>
  <conditionalFormatting sqref="I22:I29">
    <cfRule type="cellIs" dxfId="895" priority="1054" operator="lessThan">
      <formula>0</formula>
    </cfRule>
  </conditionalFormatting>
  <conditionalFormatting sqref="I22:I29">
    <cfRule type="cellIs" dxfId="894" priority="1053" operator="lessThan">
      <formula>0</formula>
    </cfRule>
  </conditionalFormatting>
  <conditionalFormatting sqref="I22:I29">
    <cfRule type="cellIs" dxfId="893" priority="1052" operator="lessThan">
      <formula>0</formula>
    </cfRule>
  </conditionalFormatting>
  <conditionalFormatting sqref="I22:I29">
    <cfRule type="cellIs" dxfId="892" priority="1051" operator="lessThan">
      <formula>0</formula>
    </cfRule>
  </conditionalFormatting>
  <conditionalFormatting sqref="I22:I29">
    <cfRule type="cellIs" dxfId="891" priority="1050" operator="lessThan">
      <formula>0</formula>
    </cfRule>
  </conditionalFormatting>
  <conditionalFormatting sqref="I22:I29">
    <cfRule type="cellIs" dxfId="890" priority="1049" operator="lessThan">
      <formula>0</formula>
    </cfRule>
  </conditionalFormatting>
  <conditionalFormatting sqref="I22:I29">
    <cfRule type="cellIs" dxfId="889" priority="1048" operator="lessThan">
      <formula>0</formula>
    </cfRule>
  </conditionalFormatting>
  <conditionalFormatting sqref="I22:I29">
    <cfRule type="cellIs" dxfId="888" priority="1047" operator="lessThan">
      <formula>0</formula>
    </cfRule>
  </conditionalFormatting>
  <conditionalFormatting sqref="I22:I29">
    <cfRule type="cellIs" dxfId="887" priority="1046" operator="lessThan">
      <formula>0</formula>
    </cfRule>
  </conditionalFormatting>
  <conditionalFormatting sqref="I22:I29">
    <cfRule type="cellIs" dxfId="886" priority="1045" operator="lessThan">
      <formula>0</formula>
    </cfRule>
  </conditionalFormatting>
  <conditionalFormatting sqref="I22:I29">
    <cfRule type="cellIs" dxfId="885" priority="1044" operator="lessThan">
      <formula>0</formula>
    </cfRule>
  </conditionalFormatting>
  <conditionalFormatting sqref="I22:I29">
    <cfRule type="cellIs" dxfId="884" priority="1043" operator="lessThan">
      <formula>0</formula>
    </cfRule>
  </conditionalFormatting>
  <conditionalFormatting sqref="I22:I29">
    <cfRule type="cellIs" dxfId="883" priority="1042" operator="lessThan">
      <formula>0</formula>
    </cfRule>
  </conditionalFormatting>
  <conditionalFormatting sqref="I22:I29">
    <cfRule type="cellIs" dxfId="882" priority="1041" operator="lessThan">
      <formula>0</formula>
    </cfRule>
  </conditionalFormatting>
  <conditionalFormatting sqref="I22:I29">
    <cfRule type="cellIs" dxfId="881" priority="1040" operator="lessThan">
      <formula>0</formula>
    </cfRule>
  </conditionalFormatting>
  <conditionalFormatting sqref="I22:I29">
    <cfRule type="cellIs" dxfId="880" priority="1039" operator="lessThan">
      <formula>0</formula>
    </cfRule>
  </conditionalFormatting>
  <conditionalFormatting sqref="I22:I29">
    <cfRule type="cellIs" dxfId="879" priority="1038" operator="lessThan">
      <formula>0</formula>
    </cfRule>
  </conditionalFormatting>
  <conditionalFormatting sqref="I22:I29">
    <cfRule type="cellIs" dxfId="878" priority="1037" operator="lessThan">
      <formula>0</formula>
    </cfRule>
  </conditionalFormatting>
  <conditionalFormatting sqref="I22:I29">
    <cfRule type="cellIs" dxfId="877" priority="1036" operator="lessThan">
      <formula>0</formula>
    </cfRule>
  </conditionalFormatting>
  <conditionalFormatting sqref="I22:I29">
    <cfRule type="cellIs" dxfId="876" priority="1035" operator="lessThan">
      <formula>0</formula>
    </cfRule>
  </conditionalFormatting>
  <conditionalFormatting sqref="I22:I29">
    <cfRule type="cellIs" dxfId="875" priority="1034" operator="lessThan">
      <formula>0</formula>
    </cfRule>
  </conditionalFormatting>
  <conditionalFormatting sqref="I22:I29">
    <cfRule type="cellIs" dxfId="874" priority="1033" operator="lessThan">
      <formula>0</formula>
    </cfRule>
  </conditionalFormatting>
  <conditionalFormatting sqref="I22:I29">
    <cfRule type="cellIs" dxfId="873" priority="1032" operator="lessThan">
      <formula>0</formula>
    </cfRule>
  </conditionalFormatting>
  <conditionalFormatting sqref="I22:I29">
    <cfRule type="cellIs" dxfId="872" priority="1031" operator="lessThan">
      <formula>0</formula>
    </cfRule>
  </conditionalFormatting>
  <conditionalFormatting sqref="I22:I29">
    <cfRule type="cellIs" dxfId="871" priority="1030" operator="lessThan">
      <formula>0</formula>
    </cfRule>
  </conditionalFormatting>
  <conditionalFormatting sqref="I22:I29">
    <cfRule type="cellIs" dxfId="870" priority="1029" operator="lessThan">
      <formula>0</formula>
    </cfRule>
  </conditionalFormatting>
  <conditionalFormatting sqref="I22:I29">
    <cfRule type="cellIs" dxfId="869" priority="1028" operator="lessThan">
      <formula>0</formula>
    </cfRule>
  </conditionalFormatting>
  <conditionalFormatting sqref="I22:I29">
    <cfRule type="cellIs" dxfId="868" priority="1027" operator="lessThan">
      <formula>0</formula>
    </cfRule>
  </conditionalFormatting>
  <conditionalFormatting sqref="I22:I29">
    <cfRule type="cellIs" dxfId="867" priority="1026" operator="lessThan">
      <formula>0</formula>
    </cfRule>
  </conditionalFormatting>
  <conditionalFormatting sqref="I22:I29">
    <cfRule type="cellIs" dxfId="866" priority="1025" operator="lessThan">
      <formula>0</formula>
    </cfRule>
  </conditionalFormatting>
  <conditionalFormatting sqref="I22:I29">
    <cfRule type="cellIs" dxfId="865" priority="1024" operator="lessThan">
      <formula>0</formula>
    </cfRule>
  </conditionalFormatting>
  <conditionalFormatting sqref="I22:I29">
    <cfRule type="cellIs" dxfId="864" priority="1023" operator="lessThan">
      <formula>0</formula>
    </cfRule>
  </conditionalFormatting>
  <conditionalFormatting sqref="I22:I29">
    <cfRule type="cellIs" dxfId="863" priority="1022" operator="lessThan">
      <formula>0</formula>
    </cfRule>
  </conditionalFormatting>
  <conditionalFormatting sqref="I22:I29">
    <cfRule type="cellIs" dxfId="862" priority="1021" operator="lessThan">
      <formula>0</formula>
    </cfRule>
  </conditionalFormatting>
  <conditionalFormatting sqref="I22:I29">
    <cfRule type="cellIs" dxfId="861" priority="1020" operator="lessThan">
      <formula>0</formula>
    </cfRule>
  </conditionalFormatting>
  <conditionalFormatting sqref="I22:I29">
    <cfRule type="cellIs" dxfId="860" priority="1019" operator="lessThan">
      <formula>0</formula>
    </cfRule>
  </conditionalFormatting>
  <conditionalFormatting sqref="I22:I29">
    <cfRule type="cellIs" dxfId="859" priority="1018" operator="lessThan">
      <formula>0</formula>
    </cfRule>
  </conditionalFormatting>
  <conditionalFormatting sqref="I22:I29">
    <cfRule type="cellIs" dxfId="858" priority="1017" operator="lessThan">
      <formula>0</formula>
    </cfRule>
  </conditionalFormatting>
  <conditionalFormatting sqref="I22:I29">
    <cfRule type="cellIs" dxfId="857" priority="1016" operator="lessThan">
      <formula>0</formula>
    </cfRule>
  </conditionalFormatting>
  <conditionalFormatting sqref="I22:I29">
    <cfRule type="cellIs" dxfId="856" priority="1015" operator="lessThan">
      <formula>0</formula>
    </cfRule>
  </conditionalFormatting>
  <conditionalFormatting sqref="I22:I29">
    <cfRule type="cellIs" dxfId="855" priority="1014" operator="lessThan">
      <formula>0</formula>
    </cfRule>
  </conditionalFormatting>
  <conditionalFormatting sqref="I22:I29">
    <cfRule type="cellIs" dxfId="854" priority="1013" operator="lessThan">
      <formula>0</formula>
    </cfRule>
  </conditionalFormatting>
  <conditionalFormatting sqref="I22:I29">
    <cfRule type="cellIs" dxfId="853" priority="1012" operator="lessThan">
      <formula>0</formula>
    </cfRule>
  </conditionalFormatting>
  <conditionalFormatting sqref="I22:I29">
    <cfRule type="cellIs" dxfId="852" priority="1011" operator="lessThan">
      <formula>0</formula>
    </cfRule>
  </conditionalFormatting>
  <conditionalFormatting sqref="I22:I29">
    <cfRule type="cellIs" dxfId="851" priority="1010" operator="lessThan">
      <formula>0</formula>
    </cfRule>
  </conditionalFormatting>
  <conditionalFormatting sqref="I22:I29">
    <cfRule type="cellIs" dxfId="850" priority="1009" operator="lessThan">
      <formula>0</formula>
    </cfRule>
  </conditionalFormatting>
  <conditionalFormatting sqref="I22:I29">
    <cfRule type="cellIs" dxfId="849" priority="1008" operator="lessThan">
      <formula>0</formula>
    </cfRule>
  </conditionalFormatting>
  <conditionalFormatting sqref="I22:I29">
    <cfRule type="cellIs" dxfId="848" priority="1007" operator="lessThan">
      <formula>0</formula>
    </cfRule>
  </conditionalFormatting>
  <conditionalFormatting sqref="I22:I29">
    <cfRule type="cellIs" dxfId="847" priority="1006" operator="lessThan">
      <formula>0</formula>
    </cfRule>
  </conditionalFormatting>
  <conditionalFormatting sqref="I22:I29">
    <cfRule type="cellIs" dxfId="846" priority="1005" operator="lessThan">
      <formula>0</formula>
    </cfRule>
  </conditionalFormatting>
  <conditionalFormatting sqref="I22:I29">
    <cfRule type="cellIs" dxfId="845" priority="1004" operator="lessThan">
      <formula>0</formula>
    </cfRule>
  </conditionalFormatting>
  <conditionalFormatting sqref="I22:I29">
    <cfRule type="cellIs" dxfId="844" priority="1003" operator="lessThan">
      <formula>0</formula>
    </cfRule>
  </conditionalFormatting>
  <conditionalFormatting sqref="I22:I29">
    <cfRule type="cellIs" dxfId="843" priority="1002" operator="lessThan">
      <formula>0</formula>
    </cfRule>
  </conditionalFormatting>
  <conditionalFormatting sqref="I22:I29">
    <cfRule type="cellIs" dxfId="842" priority="1001" operator="lessThan">
      <formula>0</formula>
    </cfRule>
  </conditionalFormatting>
  <conditionalFormatting sqref="I22:I29">
    <cfRule type="cellIs" dxfId="841" priority="1000" operator="lessThan">
      <formula>0</formula>
    </cfRule>
  </conditionalFormatting>
  <conditionalFormatting sqref="I22:I29">
    <cfRule type="cellIs" dxfId="840" priority="999" operator="lessThan">
      <formula>0</formula>
    </cfRule>
  </conditionalFormatting>
  <conditionalFormatting sqref="I22:I29">
    <cfRule type="cellIs" dxfId="839" priority="998" operator="lessThan">
      <formula>0</formula>
    </cfRule>
  </conditionalFormatting>
  <conditionalFormatting sqref="I22:I29">
    <cfRule type="cellIs" dxfId="838" priority="997" operator="lessThan">
      <formula>0</formula>
    </cfRule>
  </conditionalFormatting>
  <conditionalFormatting sqref="I22:I29">
    <cfRule type="cellIs" dxfId="837" priority="996" operator="lessThan">
      <formula>0</formula>
    </cfRule>
  </conditionalFormatting>
  <conditionalFormatting sqref="I22:I29">
    <cfRule type="cellIs" dxfId="836" priority="995" operator="lessThan">
      <formula>0</formula>
    </cfRule>
  </conditionalFormatting>
  <conditionalFormatting sqref="I22:I29">
    <cfRule type="cellIs" dxfId="835" priority="994" operator="lessThan">
      <formula>0</formula>
    </cfRule>
  </conditionalFormatting>
  <conditionalFormatting sqref="I22:I29">
    <cfRule type="cellIs" dxfId="834" priority="993" operator="lessThan">
      <formula>0</formula>
    </cfRule>
  </conditionalFormatting>
  <conditionalFormatting sqref="I22:I29">
    <cfRule type="cellIs" dxfId="833" priority="992" operator="lessThan">
      <formula>0</formula>
    </cfRule>
  </conditionalFormatting>
  <conditionalFormatting sqref="I22:I29">
    <cfRule type="cellIs" dxfId="832" priority="991" operator="lessThan">
      <formula>0</formula>
    </cfRule>
  </conditionalFormatting>
  <conditionalFormatting sqref="I22:I29">
    <cfRule type="cellIs" dxfId="831" priority="990" operator="lessThan">
      <formula>0</formula>
    </cfRule>
  </conditionalFormatting>
  <conditionalFormatting sqref="I22:I29">
    <cfRule type="cellIs" dxfId="830" priority="989" operator="lessThan">
      <formula>0</formula>
    </cfRule>
  </conditionalFormatting>
  <conditionalFormatting sqref="I22:I29">
    <cfRule type="cellIs" dxfId="829" priority="988" operator="lessThan">
      <formula>0</formula>
    </cfRule>
  </conditionalFormatting>
  <conditionalFormatting sqref="I22:I29">
    <cfRule type="cellIs" dxfId="828" priority="987" operator="lessThan">
      <formula>0</formula>
    </cfRule>
  </conditionalFormatting>
  <conditionalFormatting sqref="I22:I29">
    <cfRule type="cellIs" dxfId="827" priority="986" operator="lessThan">
      <formula>0</formula>
    </cfRule>
  </conditionalFormatting>
  <conditionalFormatting sqref="I22:I29">
    <cfRule type="cellIs" dxfId="826" priority="985" operator="lessThan">
      <formula>0</formula>
    </cfRule>
  </conditionalFormatting>
  <conditionalFormatting sqref="I22:I29">
    <cfRule type="cellIs" dxfId="825" priority="984" operator="lessThan">
      <formula>0</formula>
    </cfRule>
  </conditionalFormatting>
  <conditionalFormatting sqref="I22:I29">
    <cfRule type="cellIs" dxfId="824" priority="983" operator="lessThan">
      <formula>0</formula>
    </cfRule>
  </conditionalFormatting>
  <conditionalFormatting sqref="I22:I29">
    <cfRule type="cellIs" dxfId="823" priority="982" operator="lessThan">
      <formula>0</formula>
    </cfRule>
  </conditionalFormatting>
  <conditionalFormatting sqref="I22:I29">
    <cfRule type="cellIs" dxfId="822" priority="981" operator="lessThan">
      <formula>0</formula>
    </cfRule>
  </conditionalFormatting>
  <conditionalFormatting sqref="I22:I29">
    <cfRule type="cellIs" dxfId="821" priority="980" operator="lessThan">
      <formula>0</formula>
    </cfRule>
  </conditionalFormatting>
  <conditionalFormatting sqref="I22:I29">
    <cfRule type="cellIs" dxfId="820" priority="979" operator="lessThan">
      <formula>0</formula>
    </cfRule>
  </conditionalFormatting>
  <conditionalFormatting sqref="I22:I29">
    <cfRule type="cellIs" dxfId="819" priority="978" operator="lessThan">
      <formula>0</formula>
    </cfRule>
  </conditionalFormatting>
  <conditionalFormatting sqref="I22:I29">
    <cfRule type="cellIs" dxfId="818" priority="977" operator="lessThan">
      <formula>0</formula>
    </cfRule>
  </conditionalFormatting>
  <conditionalFormatting sqref="I22:I29">
    <cfRule type="cellIs" dxfId="817" priority="976" operator="lessThan">
      <formula>0</formula>
    </cfRule>
  </conditionalFormatting>
  <conditionalFormatting sqref="I22:I29">
    <cfRule type="cellIs" dxfId="816" priority="975" operator="lessThan">
      <formula>0</formula>
    </cfRule>
  </conditionalFormatting>
  <conditionalFormatting sqref="I22:I29">
    <cfRule type="cellIs" dxfId="815" priority="974" operator="lessThan">
      <formula>0</formula>
    </cfRule>
  </conditionalFormatting>
  <conditionalFormatting sqref="I22:I29">
    <cfRule type="cellIs" dxfId="814" priority="973" operator="lessThan">
      <formula>0</formula>
    </cfRule>
  </conditionalFormatting>
  <conditionalFormatting sqref="I22:I29">
    <cfRule type="cellIs" dxfId="813" priority="972" operator="lessThan">
      <formula>0</formula>
    </cfRule>
  </conditionalFormatting>
  <conditionalFormatting sqref="I22:I29">
    <cfRule type="cellIs" dxfId="812" priority="971" operator="lessThan">
      <formula>0</formula>
    </cfRule>
  </conditionalFormatting>
  <conditionalFormatting sqref="I22:I29">
    <cfRule type="cellIs" dxfId="811" priority="970" operator="lessThan">
      <formula>0</formula>
    </cfRule>
  </conditionalFormatting>
  <conditionalFormatting sqref="I22:I29">
    <cfRule type="cellIs" dxfId="810" priority="969" operator="lessThan">
      <formula>0</formula>
    </cfRule>
  </conditionalFormatting>
  <conditionalFormatting sqref="I22:I29">
    <cfRule type="cellIs" dxfId="809" priority="968" operator="lessThan">
      <formula>0</formula>
    </cfRule>
  </conditionalFormatting>
  <conditionalFormatting sqref="I22:I29">
    <cfRule type="cellIs" dxfId="808" priority="967" operator="lessThan">
      <formula>0</formula>
    </cfRule>
  </conditionalFormatting>
  <conditionalFormatting sqref="I22:I29">
    <cfRule type="cellIs" dxfId="807" priority="966" operator="lessThan">
      <formula>0</formula>
    </cfRule>
  </conditionalFormatting>
  <conditionalFormatting sqref="I22:I29">
    <cfRule type="cellIs" dxfId="806" priority="965" operator="lessThan">
      <formula>0</formula>
    </cfRule>
  </conditionalFormatting>
  <conditionalFormatting sqref="I22:I29">
    <cfRule type="cellIs" dxfId="805" priority="964" operator="lessThan">
      <formula>0</formula>
    </cfRule>
  </conditionalFormatting>
  <conditionalFormatting sqref="I22:I29">
    <cfRule type="cellIs" dxfId="804" priority="963" operator="lessThan">
      <formula>0</formula>
    </cfRule>
  </conditionalFormatting>
  <conditionalFormatting sqref="I22:I29">
    <cfRule type="cellIs" dxfId="803" priority="962" operator="lessThan">
      <formula>0</formula>
    </cfRule>
  </conditionalFormatting>
  <conditionalFormatting sqref="I22:I29">
    <cfRule type="cellIs" dxfId="802" priority="961" operator="lessThan">
      <formula>0</formula>
    </cfRule>
  </conditionalFormatting>
  <conditionalFormatting sqref="I22:I29">
    <cfRule type="cellIs" dxfId="801" priority="960" operator="lessThan">
      <formula>0</formula>
    </cfRule>
  </conditionalFormatting>
  <conditionalFormatting sqref="I22:I29">
    <cfRule type="cellIs" dxfId="800" priority="959" operator="lessThan">
      <formula>0</formula>
    </cfRule>
  </conditionalFormatting>
  <conditionalFormatting sqref="I22:I29">
    <cfRule type="cellIs" dxfId="799" priority="958" operator="lessThan">
      <formula>0</formula>
    </cfRule>
  </conditionalFormatting>
  <conditionalFormatting sqref="I22:I29">
    <cfRule type="cellIs" dxfId="798" priority="957" operator="lessThan">
      <formula>0</formula>
    </cfRule>
  </conditionalFormatting>
  <conditionalFormatting sqref="I22:I29">
    <cfRule type="cellIs" dxfId="797" priority="956" operator="lessThan">
      <formula>0</formula>
    </cfRule>
  </conditionalFormatting>
  <conditionalFormatting sqref="I22:I29">
    <cfRule type="cellIs" dxfId="796" priority="955" operator="lessThan">
      <formula>0</formula>
    </cfRule>
  </conditionalFormatting>
  <conditionalFormatting sqref="I22:I29">
    <cfRule type="cellIs" dxfId="795" priority="954" operator="lessThan">
      <formula>0</formula>
    </cfRule>
  </conditionalFormatting>
  <conditionalFormatting sqref="I22:I29">
    <cfRule type="cellIs" dxfId="794" priority="953" operator="lessThan">
      <formula>0</formula>
    </cfRule>
  </conditionalFormatting>
  <conditionalFormatting sqref="I22:I29">
    <cfRule type="cellIs" dxfId="793" priority="952" operator="lessThan">
      <formula>0</formula>
    </cfRule>
  </conditionalFormatting>
  <conditionalFormatting sqref="I22:I29">
    <cfRule type="cellIs" dxfId="792" priority="951" operator="lessThan">
      <formula>0</formula>
    </cfRule>
  </conditionalFormatting>
  <conditionalFormatting sqref="I22:I29">
    <cfRule type="cellIs" dxfId="791" priority="950" operator="lessThan">
      <formula>0</formula>
    </cfRule>
  </conditionalFormatting>
  <conditionalFormatting sqref="I22:I29">
    <cfRule type="cellIs" dxfId="790" priority="949" operator="lessThan">
      <formula>0</formula>
    </cfRule>
  </conditionalFormatting>
  <conditionalFormatting sqref="I22:I29">
    <cfRule type="cellIs" dxfId="789" priority="948" operator="lessThan">
      <formula>0</formula>
    </cfRule>
  </conditionalFormatting>
  <conditionalFormatting sqref="I22:I29">
    <cfRule type="cellIs" dxfId="788" priority="947" operator="lessThan">
      <formula>0</formula>
    </cfRule>
  </conditionalFormatting>
  <conditionalFormatting sqref="I22:I29">
    <cfRule type="cellIs" dxfId="787" priority="946" operator="lessThan">
      <formula>0</formula>
    </cfRule>
  </conditionalFormatting>
  <conditionalFormatting sqref="I22:I29">
    <cfRule type="cellIs" dxfId="786" priority="945" operator="lessThan">
      <formula>0</formula>
    </cfRule>
  </conditionalFormatting>
  <conditionalFormatting sqref="I22:I29">
    <cfRule type="cellIs" dxfId="785" priority="944" operator="lessThan">
      <formula>0</formula>
    </cfRule>
  </conditionalFormatting>
  <conditionalFormatting sqref="I22:I29">
    <cfRule type="cellIs" dxfId="784" priority="943" operator="lessThan">
      <formula>0</formula>
    </cfRule>
  </conditionalFormatting>
  <conditionalFormatting sqref="I22:I29">
    <cfRule type="cellIs" dxfId="783" priority="942" operator="lessThan">
      <formula>0</formula>
    </cfRule>
  </conditionalFormatting>
  <conditionalFormatting sqref="I22:I29">
    <cfRule type="cellIs" dxfId="782" priority="941" operator="lessThan">
      <formula>0</formula>
    </cfRule>
  </conditionalFormatting>
  <conditionalFormatting sqref="I22:I29">
    <cfRule type="cellIs" dxfId="781" priority="940" operator="lessThan">
      <formula>0</formula>
    </cfRule>
  </conditionalFormatting>
  <conditionalFormatting sqref="I22:I29">
    <cfRule type="cellIs" dxfId="780" priority="939" operator="lessThan">
      <formula>0</formula>
    </cfRule>
  </conditionalFormatting>
  <conditionalFormatting sqref="I22:I29">
    <cfRule type="cellIs" dxfId="779" priority="938" operator="lessThan">
      <formula>0</formula>
    </cfRule>
  </conditionalFormatting>
  <conditionalFormatting sqref="I22:I29">
    <cfRule type="cellIs" dxfId="778" priority="937" operator="lessThan">
      <formula>0</formula>
    </cfRule>
  </conditionalFormatting>
  <conditionalFormatting sqref="I22:I29">
    <cfRule type="cellIs" dxfId="777" priority="936" operator="lessThan">
      <formula>0</formula>
    </cfRule>
  </conditionalFormatting>
  <conditionalFormatting sqref="I22:I29">
    <cfRule type="cellIs" dxfId="776" priority="935" operator="lessThan">
      <formula>0</formula>
    </cfRule>
  </conditionalFormatting>
  <conditionalFormatting sqref="I22:I29">
    <cfRule type="cellIs" dxfId="775" priority="934" operator="lessThan">
      <formula>0</formula>
    </cfRule>
  </conditionalFormatting>
  <conditionalFormatting sqref="I22:I29">
    <cfRule type="cellIs" dxfId="774" priority="933" operator="lessThan">
      <formula>0</formula>
    </cfRule>
  </conditionalFormatting>
  <conditionalFormatting sqref="I22:I29">
    <cfRule type="cellIs" dxfId="773" priority="932" operator="lessThan">
      <formula>0</formula>
    </cfRule>
  </conditionalFormatting>
  <conditionalFormatting sqref="I22:I29">
    <cfRule type="cellIs" dxfId="772" priority="931" operator="lessThan">
      <formula>0</formula>
    </cfRule>
  </conditionalFormatting>
  <conditionalFormatting sqref="I22:I29">
    <cfRule type="cellIs" dxfId="771" priority="930" operator="lessThan">
      <formula>0</formula>
    </cfRule>
  </conditionalFormatting>
  <conditionalFormatting sqref="I22:I29">
    <cfRule type="cellIs" dxfId="770" priority="929" operator="lessThan">
      <formula>0</formula>
    </cfRule>
  </conditionalFormatting>
  <conditionalFormatting sqref="I22:I29">
    <cfRule type="cellIs" dxfId="769" priority="928" operator="lessThan">
      <formula>0</formula>
    </cfRule>
  </conditionalFormatting>
  <conditionalFormatting sqref="I22:I29">
    <cfRule type="cellIs" dxfId="768" priority="927" operator="lessThan">
      <formula>0</formula>
    </cfRule>
  </conditionalFormatting>
  <conditionalFormatting sqref="I22:I29">
    <cfRule type="cellIs" dxfId="767" priority="926" operator="lessThan">
      <formula>0</formula>
    </cfRule>
  </conditionalFormatting>
  <conditionalFormatting sqref="I22:I29">
    <cfRule type="cellIs" dxfId="766" priority="925" operator="lessThan">
      <formula>0</formula>
    </cfRule>
  </conditionalFormatting>
  <conditionalFormatting sqref="I22:I29">
    <cfRule type="cellIs" dxfId="765" priority="924" operator="lessThan">
      <formula>0</formula>
    </cfRule>
  </conditionalFormatting>
  <conditionalFormatting sqref="I22:I29">
    <cfRule type="cellIs" dxfId="764" priority="923" operator="lessThan">
      <formula>0</formula>
    </cfRule>
  </conditionalFormatting>
  <conditionalFormatting sqref="I22:I29">
    <cfRule type="cellIs" dxfId="763" priority="922" operator="lessThan">
      <formula>0</formula>
    </cfRule>
  </conditionalFormatting>
  <conditionalFormatting sqref="I22:I29">
    <cfRule type="cellIs" dxfId="762" priority="921" operator="lessThan">
      <formula>0</formula>
    </cfRule>
  </conditionalFormatting>
  <conditionalFormatting sqref="I22:I29">
    <cfRule type="cellIs" dxfId="761" priority="920" operator="lessThan">
      <formula>0</formula>
    </cfRule>
  </conditionalFormatting>
  <conditionalFormatting sqref="I22:I29">
    <cfRule type="cellIs" dxfId="760" priority="919" operator="lessThan">
      <formula>0</formula>
    </cfRule>
  </conditionalFormatting>
  <conditionalFormatting sqref="I22:I29">
    <cfRule type="cellIs" dxfId="759" priority="918" operator="lessThan">
      <formula>0</formula>
    </cfRule>
  </conditionalFormatting>
  <conditionalFormatting sqref="I22:I29">
    <cfRule type="cellIs" dxfId="758" priority="917" operator="lessThan">
      <formula>0</formula>
    </cfRule>
  </conditionalFormatting>
  <conditionalFormatting sqref="I22:I29">
    <cfRule type="cellIs" dxfId="757" priority="916" operator="lessThan">
      <formula>0</formula>
    </cfRule>
  </conditionalFormatting>
  <conditionalFormatting sqref="I22:I29">
    <cfRule type="cellIs" dxfId="756" priority="915" operator="lessThan">
      <formula>0</formula>
    </cfRule>
  </conditionalFormatting>
  <conditionalFormatting sqref="I22:I29">
    <cfRule type="cellIs" dxfId="755" priority="914" operator="lessThan">
      <formula>0</formula>
    </cfRule>
  </conditionalFormatting>
  <conditionalFormatting sqref="I22:I29">
    <cfRule type="cellIs" dxfId="754" priority="913" operator="lessThan">
      <formula>0</formula>
    </cfRule>
  </conditionalFormatting>
  <conditionalFormatting sqref="I22:I29">
    <cfRule type="cellIs" dxfId="753" priority="912" operator="lessThan">
      <formula>0</formula>
    </cfRule>
  </conditionalFormatting>
  <conditionalFormatting sqref="I22:I29">
    <cfRule type="cellIs" dxfId="752" priority="911" operator="lessThan">
      <formula>0</formula>
    </cfRule>
  </conditionalFormatting>
  <conditionalFormatting sqref="I22:I29">
    <cfRule type="cellIs" dxfId="751" priority="910" operator="lessThan">
      <formula>0</formula>
    </cfRule>
  </conditionalFormatting>
  <conditionalFormatting sqref="I22:I29">
    <cfRule type="cellIs" dxfId="750" priority="909" operator="lessThan">
      <formula>0</formula>
    </cfRule>
  </conditionalFormatting>
  <conditionalFormatting sqref="I22:I29">
    <cfRule type="cellIs" dxfId="749" priority="908" operator="lessThan">
      <formula>0</formula>
    </cfRule>
  </conditionalFormatting>
  <conditionalFormatting sqref="I22:I29">
    <cfRule type="cellIs" dxfId="748" priority="907" operator="lessThan">
      <formula>0</formula>
    </cfRule>
  </conditionalFormatting>
  <conditionalFormatting sqref="I22:I29">
    <cfRule type="cellIs" dxfId="747" priority="906" operator="lessThan">
      <formula>0</formula>
    </cfRule>
  </conditionalFormatting>
  <conditionalFormatting sqref="I22:I29">
    <cfRule type="cellIs" dxfId="746" priority="905" operator="lessThan">
      <formula>0</formula>
    </cfRule>
  </conditionalFormatting>
  <conditionalFormatting sqref="I22:I29">
    <cfRule type="cellIs" dxfId="745" priority="904" operator="lessThan">
      <formula>0</formula>
    </cfRule>
  </conditionalFormatting>
  <conditionalFormatting sqref="I22:I29">
    <cfRule type="cellIs" dxfId="744" priority="903" operator="lessThan">
      <formula>0</formula>
    </cfRule>
  </conditionalFormatting>
  <conditionalFormatting sqref="I22:I29">
    <cfRule type="cellIs" dxfId="743" priority="902" operator="lessThan">
      <formula>0</formula>
    </cfRule>
  </conditionalFormatting>
  <conditionalFormatting sqref="I22:I29">
    <cfRule type="cellIs" dxfId="742" priority="901" operator="lessThan">
      <formula>0</formula>
    </cfRule>
  </conditionalFormatting>
  <conditionalFormatting sqref="I22:I29">
    <cfRule type="cellIs" dxfId="741" priority="900" operator="lessThan">
      <formula>0</formula>
    </cfRule>
  </conditionalFormatting>
  <conditionalFormatting sqref="I22:I29">
    <cfRule type="cellIs" dxfId="740" priority="899" operator="lessThan">
      <formula>0</formula>
    </cfRule>
  </conditionalFormatting>
  <conditionalFormatting sqref="I22:I29">
    <cfRule type="cellIs" dxfId="739" priority="898" operator="lessThan">
      <formula>0</formula>
    </cfRule>
  </conditionalFormatting>
  <conditionalFormatting sqref="I22:I29">
    <cfRule type="cellIs" dxfId="738" priority="897" operator="lessThan">
      <formula>0</formula>
    </cfRule>
  </conditionalFormatting>
  <conditionalFormatting sqref="I22:I29">
    <cfRule type="cellIs" dxfId="737" priority="896" operator="lessThan">
      <formula>0</formula>
    </cfRule>
  </conditionalFormatting>
  <conditionalFormatting sqref="I22:I29">
    <cfRule type="cellIs" dxfId="736" priority="895" operator="lessThan">
      <formula>0</formula>
    </cfRule>
  </conditionalFormatting>
  <conditionalFormatting sqref="I22:I29">
    <cfRule type="cellIs" dxfId="735" priority="894" operator="lessThan">
      <formula>0</formula>
    </cfRule>
  </conditionalFormatting>
  <conditionalFormatting sqref="I22:I29">
    <cfRule type="cellIs" dxfId="734" priority="893" operator="lessThan">
      <formula>0</formula>
    </cfRule>
  </conditionalFormatting>
  <conditionalFormatting sqref="I22:I29">
    <cfRule type="cellIs" dxfId="733" priority="892" operator="lessThan">
      <formula>0</formula>
    </cfRule>
  </conditionalFormatting>
  <conditionalFormatting sqref="I22:I29">
    <cfRule type="cellIs" dxfId="732" priority="891" operator="lessThan">
      <formula>0</formula>
    </cfRule>
  </conditionalFormatting>
  <conditionalFormatting sqref="I22:I29">
    <cfRule type="cellIs" dxfId="731" priority="890" operator="lessThan">
      <formula>0</formula>
    </cfRule>
  </conditionalFormatting>
  <conditionalFormatting sqref="I22:I29">
    <cfRule type="cellIs" dxfId="730" priority="889" operator="lessThan">
      <formula>0</formula>
    </cfRule>
  </conditionalFormatting>
  <conditionalFormatting sqref="I22:I29">
    <cfRule type="cellIs" dxfId="729" priority="888" operator="lessThan">
      <formula>0</formula>
    </cfRule>
  </conditionalFormatting>
  <conditionalFormatting sqref="I22:I29">
    <cfRule type="cellIs" dxfId="728" priority="887" operator="lessThan">
      <formula>0</formula>
    </cfRule>
  </conditionalFormatting>
  <conditionalFormatting sqref="I22:I29">
    <cfRule type="cellIs" dxfId="727" priority="886" operator="lessThan">
      <formula>0</formula>
    </cfRule>
  </conditionalFormatting>
  <conditionalFormatting sqref="I22:I29">
    <cfRule type="cellIs" dxfId="726" priority="885" operator="lessThan">
      <formula>0</formula>
    </cfRule>
  </conditionalFormatting>
  <conditionalFormatting sqref="I22:I29">
    <cfRule type="cellIs" dxfId="725" priority="884" operator="lessThan">
      <formula>0</formula>
    </cfRule>
  </conditionalFormatting>
  <conditionalFormatting sqref="I22:I29">
    <cfRule type="cellIs" dxfId="724" priority="883" operator="lessThan">
      <formula>0</formula>
    </cfRule>
  </conditionalFormatting>
  <conditionalFormatting sqref="I22:I29">
    <cfRule type="cellIs" dxfId="723" priority="882" operator="lessThan">
      <formula>0</formula>
    </cfRule>
  </conditionalFormatting>
  <conditionalFormatting sqref="I22:I29">
    <cfRule type="cellIs" dxfId="722" priority="881" operator="lessThan">
      <formula>0</formula>
    </cfRule>
  </conditionalFormatting>
  <conditionalFormatting sqref="I22:I29">
    <cfRule type="cellIs" dxfId="721" priority="880" operator="lessThan">
      <formula>0</formula>
    </cfRule>
  </conditionalFormatting>
  <conditionalFormatting sqref="I22:I29">
    <cfRule type="cellIs" dxfId="720" priority="879" operator="lessThan">
      <formula>0</formula>
    </cfRule>
  </conditionalFormatting>
  <conditionalFormatting sqref="I22:I29">
    <cfRule type="cellIs" dxfId="719" priority="878" operator="lessThan">
      <formula>0</formula>
    </cfRule>
  </conditionalFormatting>
  <conditionalFormatting sqref="I22:I29">
    <cfRule type="cellIs" dxfId="718" priority="877" operator="lessThan">
      <formula>0</formula>
    </cfRule>
  </conditionalFormatting>
  <conditionalFormatting sqref="I22:I29">
    <cfRule type="cellIs" dxfId="717" priority="876" operator="lessThan">
      <formula>0</formula>
    </cfRule>
  </conditionalFormatting>
  <conditionalFormatting sqref="I22:I29">
    <cfRule type="cellIs" dxfId="716" priority="875" operator="lessThan">
      <formula>0</formula>
    </cfRule>
  </conditionalFormatting>
  <conditionalFormatting sqref="I22:I29">
    <cfRule type="cellIs" dxfId="715" priority="874" operator="lessThan">
      <formula>0</formula>
    </cfRule>
  </conditionalFormatting>
  <conditionalFormatting sqref="I22:I29">
    <cfRule type="cellIs" dxfId="714" priority="873" operator="lessThan">
      <formula>0</formula>
    </cfRule>
  </conditionalFormatting>
  <conditionalFormatting sqref="I22:I29">
    <cfRule type="cellIs" dxfId="713" priority="872" operator="lessThan">
      <formula>0</formula>
    </cfRule>
  </conditionalFormatting>
  <conditionalFormatting sqref="I22:I29">
    <cfRule type="cellIs" dxfId="712" priority="871" operator="lessThan">
      <formula>0</formula>
    </cfRule>
  </conditionalFormatting>
  <conditionalFormatting sqref="I22:I29">
    <cfRule type="cellIs" dxfId="711" priority="870" operator="lessThan">
      <formula>0</formula>
    </cfRule>
  </conditionalFormatting>
  <conditionalFormatting sqref="I22:I29">
    <cfRule type="cellIs" dxfId="710" priority="869" operator="lessThan">
      <formula>0</formula>
    </cfRule>
  </conditionalFormatting>
  <conditionalFormatting sqref="I22:I29">
    <cfRule type="cellIs" dxfId="709" priority="868" operator="lessThan">
      <formula>0</formula>
    </cfRule>
  </conditionalFormatting>
  <conditionalFormatting sqref="I22:I29">
    <cfRule type="cellIs" dxfId="708" priority="867" operator="lessThan">
      <formula>0</formula>
    </cfRule>
  </conditionalFormatting>
  <conditionalFormatting sqref="I22:I29">
    <cfRule type="cellIs" dxfId="707" priority="866" operator="lessThan">
      <formula>0</formula>
    </cfRule>
  </conditionalFormatting>
  <conditionalFormatting sqref="I22:I29">
    <cfRule type="cellIs" dxfId="706" priority="865" operator="lessThan">
      <formula>0</formula>
    </cfRule>
  </conditionalFormatting>
  <conditionalFormatting sqref="I22:I29">
    <cfRule type="cellIs" dxfId="705" priority="864" operator="lessThan">
      <formula>0</formula>
    </cfRule>
  </conditionalFormatting>
  <conditionalFormatting sqref="I22:I29">
    <cfRule type="cellIs" dxfId="704" priority="863" operator="lessThan">
      <formula>0</formula>
    </cfRule>
  </conditionalFormatting>
  <conditionalFormatting sqref="I22:I29">
    <cfRule type="cellIs" dxfId="703" priority="862" operator="lessThan">
      <formula>0</formula>
    </cfRule>
  </conditionalFormatting>
  <conditionalFormatting sqref="I22:I29">
    <cfRule type="cellIs" dxfId="702" priority="861" operator="lessThan">
      <formula>0</formula>
    </cfRule>
  </conditionalFormatting>
  <conditionalFormatting sqref="I22:I29">
    <cfRule type="cellIs" dxfId="701" priority="860" operator="lessThan">
      <formula>0</formula>
    </cfRule>
  </conditionalFormatting>
  <conditionalFormatting sqref="I22:I29">
    <cfRule type="cellIs" dxfId="700" priority="859" operator="lessThan">
      <formula>0</formula>
    </cfRule>
  </conditionalFormatting>
  <conditionalFormatting sqref="I22:I29">
    <cfRule type="cellIs" dxfId="699" priority="858" operator="lessThan">
      <formula>0</formula>
    </cfRule>
  </conditionalFormatting>
  <conditionalFormatting sqref="I22:I29">
    <cfRule type="cellIs" dxfId="698" priority="857" operator="lessThan">
      <formula>0</formula>
    </cfRule>
  </conditionalFormatting>
  <conditionalFormatting sqref="I22:I29">
    <cfRule type="cellIs" dxfId="697" priority="856" operator="lessThan">
      <formula>0</formula>
    </cfRule>
  </conditionalFormatting>
  <conditionalFormatting sqref="I22:I29">
    <cfRule type="cellIs" dxfId="696" priority="855" operator="lessThan">
      <formula>0</formula>
    </cfRule>
  </conditionalFormatting>
  <conditionalFormatting sqref="I22:I29">
    <cfRule type="cellIs" dxfId="695" priority="854" operator="lessThan">
      <formula>0</formula>
    </cfRule>
  </conditionalFormatting>
  <conditionalFormatting sqref="I22:I29">
    <cfRule type="cellIs" dxfId="694" priority="853" operator="lessThan">
      <formula>0</formula>
    </cfRule>
  </conditionalFormatting>
  <conditionalFormatting sqref="I22:I29">
    <cfRule type="cellIs" dxfId="693" priority="852" operator="lessThan">
      <formula>0</formula>
    </cfRule>
  </conditionalFormatting>
  <conditionalFormatting sqref="I22:I29">
    <cfRule type="cellIs" dxfId="692" priority="851" operator="lessThan">
      <formula>0</formula>
    </cfRule>
  </conditionalFormatting>
  <conditionalFormatting sqref="I22:I29">
    <cfRule type="cellIs" dxfId="691" priority="850" operator="lessThan">
      <formula>0</formula>
    </cfRule>
  </conditionalFormatting>
  <conditionalFormatting sqref="I22:I29">
    <cfRule type="cellIs" dxfId="690" priority="849" operator="lessThan">
      <formula>0</formula>
    </cfRule>
  </conditionalFormatting>
  <conditionalFormatting sqref="I22:I29">
    <cfRule type="cellIs" dxfId="689" priority="848" operator="lessThan">
      <formula>0</formula>
    </cfRule>
  </conditionalFormatting>
  <conditionalFormatting sqref="I22:I29">
    <cfRule type="cellIs" dxfId="688" priority="847" operator="lessThan">
      <formula>0</formula>
    </cfRule>
  </conditionalFormatting>
  <conditionalFormatting sqref="I22:I29">
    <cfRule type="cellIs" dxfId="687" priority="846" operator="lessThan">
      <formula>0</formula>
    </cfRule>
  </conditionalFormatting>
  <conditionalFormatting sqref="I22:I29">
    <cfRule type="cellIs" dxfId="686" priority="845" operator="lessThan">
      <formula>0</formula>
    </cfRule>
  </conditionalFormatting>
  <conditionalFormatting sqref="I22:I29">
    <cfRule type="cellIs" dxfId="685" priority="844" operator="lessThan">
      <formula>0</formula>
    </cfRule>
  </conditionalFormatting>
  <conditionalFormatting sqref="I22:I29">
    <cfRule type="cellIs" dxfId="684" priority="843" operator="lessThan">
      <formula>0</formula>
    </cfRule>
  </conditionalFormatting>
  <conditionalFormatting sqref="I22:I29">
    <cfRule type="cellIs" dxfId="683" priority="842" operator="lessThan">
      <formula>0</formula>
    </cfRule>
  </conditionalFormatting>
  <conditionalFormatting sqref="I22:I29">
    <cfRule type="cellIs" dxfId="682" priority="841" operator="lessThan">
      <formula>0</formula>
    </cfRule>
  </conditionalFormatting>
  <conditionalFormatting sqref="I22:I29">
    <cfRule type="cellIs" dxfId="681" priority="840" operator="lessThan">
      <formula>0</formula>
    </cfRule>
  </conditionalFormatting>
  <conditionalFormatting sqref="I22:I29">
    <cfRule type="cellIs" dxfId="680" priority="839" operator="lessThan">
      <formula>0</formula>
    </cfRule>
  </conditionalFormatting>
  <conditionalFormatting sqref="I22:I29">
    <cfRule type="cellIs" dxfId="679" priority="838" operator="lessThan">
      <formula>0</formula>
    </cfRule>
  </conditionalFormatting>
  <conditionalFormatting sqref="I22:I29">
    <cfRule type="cellIs" dxfId="678" priority="837" operator="lessThan">
      <formula>0</formula>
    </cfRule>
  </conditionalFormatting>
  <conditionalFormatting sqref="I22:I29">
    <cfRule type="cellIs" dxfId="677" priority="836" operator="lessThan">
      <formula>0</formula>
    </cfRule>
  </conditionalFormatting>
  <conditionalFormatting sqref="I22:I29">
    <cfRule type="cellIs" dxfId="676" priority="835" operator="lessThan">
      <formula>0</formula>
    </cfRule>
  </conditionalFormatting>
  <conditionalFormatting sqref="I22:I29">
    <cfRule type="cellIs" dxfId="675" priority="834" operator="lessThan">
      <formula>0</formula>
    </cfRule>
  </conditionalFormatting>
  <conditionalFormatting sqref="I22:I29">
    <cfRule type="cellIs" dxfId="674" priority="833" operator="lessThan">
      <formula>0</formula>
    </cfRule>
  </conditionalFormatting>
  <conditionalFormatting sqref="I22:I29">
    <cfRule type="cellIs" dxfId="673" priority="832" operator="lessThan">
      <formula>0</formula>
    </cfRule>
  </conditionalFormatting>
  <conditionalFormatting sqref="I22:I29">
    <cfRule type="cellIs" dxfId="672" priority="831" operator="lessThan">
      <formula>0</formula>
    </cfRule>
  </conditionalFormatting>
  <conditionalFormatting sqref="I22:I29">
    <cfRule type="cellIs" dxfId="671" priority="830" operator="lessThan">
      <formula>0</formula>
    </cfRule>
  </conditionalFormatting>
  <conditionalFormatting sqref="I22:I29">
    <cfRule type="cellIs" dxfId="670" priority="829" operator="lessThan">
      <formula>0</formula>
    </cfRule>
  </conditionalFormatting>
  <conditionalFormatting sqref="I22:I29">
    <cfRule type="cellIs" dxfId="669" priority="828" operator="lessThan">
      <formula>0</formula>
    </cfRule>
  </conditionalFormatting>
  <conditionalFormatting sqref="I22:I29">
    <cfRule type="cellIs" dxfId="668" priority="827" operator="lessThan">
      <formula>0</formula>
    </cfRule>
  </conditionalFormatting>
  <conditionalFormatting sqref="I22:I29">
    <cfRule type="cellIs" dxfId="667" priority="826" operator="lessThan">
      <formula>0</formula>
    </cfRule>
  </conditionalFormatting>
  <conditionalFormatting sqref="I22:I29">
    <cfRule type="cellIs" dxfId="666" priority="825" operator="lessThan">
      <formula>0</formula>
    </cfRule>
  </conditionalFormatting>
  <conditionalFormatting sqref="I22:I29">
    <cfRule type="cellIs" dxfId="665" priority="824" operator="lessThan">
      <formula>0</formula>
    </cfRule>
  </conditionalFormatting>
  <conditionalFormatting sqref="I22:I29">
    <cfRule type="cellIs" dxfId="664" priority="823" operator="lessThan">
      <formula>0</formula>
    </cfRule>
  </conditionalFormatting>
  <conditionalFormatting sqref="I22:I29">
    <cfRule type="cellIs" dxfId="663" priority="822" operator="lessThan">
      <formula>0</formula>
    </cfRule>
  </conditionalFormatting>
  <conditionalFormatting sqref="I22:I29">
    <cfRule type="cellIs" dxfId="662" priority="821" operator="lessThan">
      <formula>0</formula>
    </cfRule>
  </conditionalFormatting>
  <conditionalFormatting sqref="I22:I29">
    <cfRule type="cellIs" dxfId="661" priority="820" operator="lessThan">
      <formula>0</formula>
    </cfRule>
  </conditionalFormatting>
  <conditionalFormatting sqref="I22:I29">
    <cfRule type="cellIs" dxfId="660" priority="819" operator="lessThan">
      <formula>0</formula>
    </cfRule>
  </conditionalFormatting>
  <conditionalFormatting sqref="I22:I29">
    <cfRule type="cellIs" dxfId="659" priority="818" operator="lessThan">
      <formula>0</formula>
    </cfRule>
  </conditionalFormatting>
  <conditionalFormatting sqref="I22:I29">
    <cfRule type="cellIs" dxfId="658" priority="817" operator="lessThan">
      <formula>0</formula>
    </cfRule>
  </conditionalFormatting>
  <conditionalFormatting sqref="I22:I29">
    <cfRule type="cellIs" dxfId="657" priority="816" operator="lessThan">
      <formula>0</formula>
    </cfRule>
  </conditionalFormatting>
  <conditionalFormatting sqref="I22:I29">
    <cfRule type="cellIs" dxfId="656" priority="815" operator="lessThan">
      <formula>0</formula>
    </cfRule>
  </conditionalFormatting>
  <conditionalFormatting sqref="I22:I29">
    <cfRule type="cellIs" dxfId="655" priority="814" operator="lessThan">
      <formula>0</formula>
    </cfRule>
  </conditionalFormatting>
  <conditionalFormatting sqref="I22:I29">
    <cfRule type="cellIs" dxfId="654" priority="813" operator="lessThan">
      <formula>0</formula>
    </cfRule>
  </conditionalFormatting>
  <conditionalFormatting sqref="I22:I29">
    <cfRule type="cellIs" dxfId="653" priority="812" operator="lessThan">
      <formula>0</formula>
    </cfRule>
  </conditionalFormatting>
  <conditionalFormatting sqref="I22:I29">
    <cfRule type="cellIs" dxfId="652" priority="811" operator="lessThan">
      <formula>0</formula>
    </cfRule>
  </conditionalFormatting>
  <conditionalFormatting sqref="I22:I29">
    <cfRule type="cellIs" dxfId="651" priority="810" operator="lessThan">
      <formula>0</formula>
    </cfRule>
  </conditionalFormatting>
  <conditionalFormatting sqref="I22:I29">
    <cfRule type="cellIs" dxfId="650" priority="809" operator="lessThan">
      <formula>0</formula>
    </cfRule>
  </conditionalFormatting>
  <conditionalFormatting sqref="I22:I29">
    <cfRule type="cellIs" dxfId="649" priority="808" operator="lessThan">
      <formula>0</formula>
    </cfRule>
  </conditionalFormatting>
  <conditionalFormatting sqref="I22:I29">
    <cfRule type="cellIs" dxfId="648" priority="807" operator="lessThan">
      <formula>0</formula>
    </cfRule>
  </conditionalFormatting>
  <conditionalFormatting sqref="I22:I29">
    <cfRule type="cellIs" dxfId="647" priority="806" operator="lessThan">
      <formula>0</formula>
    </cfRule>
  </conditionalFormatting>
  <conditionalFormatting sqref="I22:I29">
    <cfRule type="cellIs" dxfId="646" priority="805" operator="lessThan">
      <formula>0</formula>
    </cfRule>
  </conditionalFormatting>
  <conditionalFormatting sqref="I22:I29">
    <cfRule type="cellIs" dxfId="645" priority="804" operator="lessThan">
      <formula>0</formula>
    </cfRule>
  </conditionalFormatting>
  <conditionalFormatting sqref="I22:I29">
    <cfRule type="cellIs" dxfId="644" priority="803" operator="lessThan">
      <formula>0</formula>
    </cfRule>
  </conditionalFormatting>
  <conditionalFormatting sqref="I22:I29">
    <cfRule type="cellIs" dxfId="643" priority="802" operator="lessThan">
      <formula>0</formula>
    </cfRule>
  </conditionalFormatting>
  <conditionalFormatting sqref="I22:I29">
    <cfRule type="cellIs" dxfId="642" priority="801" operator="lessThan">
      <formula>0</formula>
    </cfRule>
  </conditionalFormatting>
  <conditionalFormatting sqref="I22:I29">
    <cfRule type="cellIs" dxfId="641" priority="800" operator="lessThan">
      <formula>0</formula>
    </cfRule>
  </conditionalFormatting>
  <conditionalFormatting sqref="I22:I29">
    <cfRule type="cellIs" dxfId="640" priority="799" operator="lessThan">
      <formula>0</formula>
    </cfRule>
  </conditionalFormatting>
  <conditionalFormatting sqref="I22:I29">
    <cfRule type="cellIs" dxfId="639" priority="798" operator="lessThan">
      <formula>0</formula>
    </cfRule>
  </conditionalFormatting>
  <conditionalFormatting sqref="I22:I29">
    <cfRule type="cellIs" dxfId="638" priority="797" operator="lessThan">
      <formula>0</formula>
    </cfRule>
  </conditionalFormatting>
  <conditionalFormatting sqref="I22:I29">
    <cfRule type="cellIs" dxfId="637" priority="796" operator="lessThan">
      <formula>0</formula>
    </cfRule>
  </conditionalFormatting>
  <conditionalFormatting sqref="I22:I29">
    <cfRule type="cellIs" dxfId="636" priority="795" operator="lessThan">
      <formula>0</formula>
    </cfRule>
  </conditionalFormatting>
  <conditionalFormatting sqref="I22:I29">
    <cfRule type="cellIs" dxfId="635" priority="794" operator="lessThan">
      <formula>0</formula>
    </cfRule>
  </conditionalFormatting>
  <conditionalFormatting sqref="I22:I29">
    <cfRule type="cellIs" dxfId="634" priority="793" operator="lessThan">
      <formula>0</formula>
    </cfRule>
  </conditionalFormatting>
  <conditionalFormatting sqref="I22:I29">
    <cfRule type="cellIs" dxfId="633" priority="792" operator="lessThan">
      <formula>0</formula>
    </cfRule>
  </conditionalFormatting>
  <conditionalFormatting sqref="I22:I29">
    <cfRule type="cellIs" dxfId="632" priority="791" operator="lessThan">
      <formula>0</formula>
    </cfRule>
  </conditionalFormatting>
  <conditionalFormatting sqref="I22:I29">
    <cfRule type="cellIs" dxfId="631" priority="790" operator="lessThan">
      <formula>0</formula>
    </cfRule>
  </conditionalFormatting>
  <conditionalFormatting sqref="I22:I29">
    <cfRule type="cellIs" dxfId="630" priority="789" operator="lessThan">
      <formula>0</formula>
    </cfRule>
  </conditionalFormatting>
  <conditionalFormatting sqref="I22:I29">
    <cfRule type="cellIs" dxfId="629" priority="788" operator="lessThan">
      <formula>0</formula>
    </cfRule>
  </conditionalFormatting>
  <conditionalFormatting sqref="I22:I29">
    <cfRule type="cellIs" dxfId="628" priority="787" operator="lessThan">
      <formula>0</formula>
    </cfRule>
  </conditionalFormatting>
  <conditionalFormatting sqref="I22:I29">
    <cfRule type="cellIs" dxfId="627" priority="786" operator="lessThan">
      <formula>0</formula>
    </cfRule>
  </conditionalFormatting>
  <conditionalFormatting sqref="I22:I29">
    <cfRule type="cellIs" dxfId="626" priority="785" operator="lessThan">
      <formula>0</formula>
    </cfRule>
  </conditionalFormatting>
  <conditionalFormatting sqref="I22:I29">
    <cfRule type="cellIs" dxfId="625" priority="784" operator="lessThan">
      <formula>0</formula>
    </cfRule>
  </conditionalFormatting>
  <conditionalFormatting sqref="I22:I29">
    <cfRule type="cellIs" dxfId="624" priority="783" operator="lessThan">
      <formula>0</formula>
    </cfRule>
  </conditionalFormatting>
  <conditionalFormatting sqref="I22:I29">
    <cfRule type="cellIs" dxfId="623" priority="782" operator="lessThan">
      <formula>0</formula>
    </cfRule>
  </conditionalFormatting>
  <conditionalFormatting sqref="I22:I29">
    <cfRule type="cellIs" dxfId="622" priority="781" operator="lessThan">
      <formula>0</formula>
    </cfRule>
  </conditionalFormatting>
  <conditionalFormatting sqref="I22:I29">
    <cfRule type="cellIs" dxfId="621" priority="780" operator="lessThan">
      <formula>0</formula>
    </cfRule>
  </conditionalFormatting>
  <conditionalFormatting sqref="I22:I29">
    <cfRule type="cellIs" dxfId="620" priority="779" operator="lessThan">
      <formula>0</formula>
    </cfRule>
  </conditionalFormatting>
  <conditionalFormatting sqref="I22:I29">
    <cfRule type="cellIs" dxfId="619" priority="778" operator="lessThan">
      <formula>0</formula>
    </cfRule>
  </conditionalFormatting>
  <conditionalFormatting sqref="I22:I29">
    <cfRule type="cellIs" dxfId="618" priority="777" operator="lessThan">
      <formula>0</formula>
    </cfRule>
  </conditionalFormatting>
  <conditionalFormatting sqref="I22:I29">
    <cfRule type="cellIs" dxfId="617" priority="776" operator="lessThan">
      <formula>0</formula>
    </cfRule>
  </conditionalFormatting>
  <conditionalFormatting sqref="I22:I29">
    <cfRule type="cellIs" dxfId="616" priority="775" operator="lessThan">
      <formula>0</formula>
    </cfRule>
  </conditionalFormatting>
  <conditionalFormatting sqref="I22:I29">
    <cfRule type="cellIs" dxfId="615" priority="774" operator="lessThan">
      <formula>0</formula>
    </cfRule>
  </conditionalFormatting>
  <conditionalFormatting sqref="I22:I29">
    <cfRule type="cellIs" dxfId="614" priority="773" operator="lessThan">
      <formula>0</formula>
    </cfRule>
  </conditionalFormatting>
  <conditionalFormatting sqref="I22:I29">
    <cfRule type="cellIs" dxfId="613" priority="772" operator="lessThan">
      <formula>0</formula>
    </cfRule>
  </conditionalFormatting>
  <conditionalFormatting sqref="I22:I29">
    <cfRule type="cellIs" dxfId="612" priority="771" operator="lessThan">
      <formula>0</formula>
    </cfRule>
  </conditionalFormatting>
  <conditionalFormatting sqref="I22:I29">
    <cfRule type="cellIs" dxfId="611" priority="770" operator="lessThan">
      <formula>0</formula>
    </cfRule>
  </conditionalFormatting>
  <conditionalFormatting sqref="I22:I29">
    <cfRule type="cellIs" dxfId="610" priority="769" operator="lessThan">
      <formula>0</formula>
    </cfRule>
  </conditionalFormatting>
  <conditionalFormatting sqref="I22:I29">
    <cfRule type="cellIs" dxfId="609" priority="768" operator="lessThan">
      <formula>0</formula>
    </cfRule>
  </conditionalFormatting>
  <conditionalFormatting sqref="I22:I29">
    <cfRule type="cellIs" dxfId="608" priority="767" operator="lessThan">
      <formula>0</formula>
    </cfRule>
  </conditionalFormatting>
  <conditionalFormatting sqref="I22:I29">
    <cfRule type="cellIs" dxfId="607" priority="766" operator="lessThan">
      <formula>0</formula>
    </cfRule>
  </conditionalFormatting>
  <conditionalFormatting sqref="I22:I29">
    <cfRule type="cellIs" dxfId="606" priority="765" operator="lessThan">
      <formula>0</formula>
    </cfRule>
  </conditionalFormatting>
  <conditionalFormatting sqref="I22:I29">
    <cfRule type="cellIs" dxfId="605" priority="764" operator="lessThan">
      <formula>0</formula>
    </cfRule>
  </conditionalFormatting>
  <conditionalFormatting sqref="I22:I29">
    <cfRule type="cellIs" dxfId="604" priority="763" operator="lessThan">
      <formula>0</formula>
    </cfRule>
  </conditionalFormatting>
  <conditionalFormatting sqref="I22:I29">
    <cfRule type="cellIs" dxfId="603" priority="762" operator="lessThan">
      <formula>0</formula>
    </cfRule>
  </conditionalFormatting>
  <conditionalFormatting sqref="I22:I29">
    <cfRule type="cellIs" dxfId="602" priority="761" operator="lessThan">
      <formula>0</formula>
    </cfRule>
  </conditionalFormatting>
  <conditionalFormatting sqref="I22:I29">
    <cfRule type="cellIs" dxfId="601" priority="760" operator="lessThan">
      <formula>0</formula>
    </cfRule>
  </conditionalFormatting>
  <conditionalFormatting sqref="I22:I29">
    <cfRule type="cellIs" dxfId="600" priority="759" operator="lessThan">
      <formula>0</formula>
    </cfRule>
  </conditionalFormatting>
  <conditionalFormatting sqref="I22:I29">
    <cfRule type="cellIs" dxfId="599" priority="758" operator="lessThan">
      <formula>0</formula>
    </cfRule>
  </conditionalFormatting>
  <conditionalFormatting sqref="I22:I29">
    <cfRule type="cellIs" dxfId="598" priority="757" operator="lessThan">
      <formula>0</formula>
    </cfRule>
  </conditionalFormatting>
  <conditionalFormatting sqref="I22:I29">
    <cfRule type="cellIs" dxfId="597" priority="756" operator="lessThan">
      <formula>0</formula>
    </cfRule>
  </conditionalFormatting>
  <conditionalFormatting sqref="I22:I29">
    <cfRule type="cellIs" dxfId="596" priority="755" operator="lessThan">
      <formula>0</formula>
    </cfRule>
  </conditionalFormatting>
  <conditionalFormatting sqref="I22:I29">
    <cfRule type="cellIs" dxfId="595" priority="754" operator="lessThan">
      <formula>0</formula>
    </cfRule>
  </conditionalFormatting>
  <conditionalFormatting sqref="I22:I29">
    <cfRule type="cellIs" dxfId="594" priority="753" operator="lessThan">
      <formula>0</formula>
    </cfRule>
  </conditionalFormatting>
  <conditionalFormatting sqref="I22:I29">
    <cfRule type="cellIs" dxfId="593" priority="752" operator="lessThan">
      <formula>0</formula>
    </cfRule>
  </conditionalFormatting>
  <conditionalFormatting sqref="I22:I29">
    <cfRule type="cellIs" dxfId="592" priority="751" operator="lessThan">
      <formula>0</formula>
    </cfRule>
  </conditionalFormatting>
  <conditionalFormatting sqref="I22:I29">
    <cfRule type="cellIs" dxfId="591" priority="750" operator="lessThan">
      <formula>0</formula>
    </cfRule>
  </conditionalFormatting>
  <conditionalFormatting sqref="I22:I29">
    <cfRule type="cellIs" dxfId="590" priority="749" operator="lessThan">
      <formula>0</formula>
    </cfRule>
  </conditionalFormatting>
  <conditionalFormatting sqref="I22:I29">
    <cfRule type="cellIs" dxfId="589" priority="748" operator="lessThan">
      <formula>0</formula>
    </cfRule>
  </conditionalFormatting>
  <conditionalFormatting sqref="I22:I29">
    <cfRule type="cellIs" dxfId="588" priority="747" operator="lessThan">
      <formula>0</formula>
    </cfRule>
  </conditionalFormatting>
  <conditionalFormatting sqref="I22:I29">
    <cfRule type="cellIs" dxfId="587" priority="746" operator="lessThan">
      <formula>0</formula>
    </cfRule>
  </conditionalFormatting>
  <conditionalFormatting sqref="I22:I29">
    <cfRule type="cellIs" dxfId="586" priority="745" operator="lessThan">
      <formula>0</formula>
    </cfRule>
  </conditionalFormatting>
  <conditionalFormatting sqref="I22:I29">
    <cfRule type="cellIs" dxfId="585" priority="744" operator="lessThan">
      <formula>0</formula>
    </cfRule>
  </conditionalFormatting>
  <conditionalFormatting sqref="I22:I29">
    <cfRule type="cellIs" dxfId="584" priority="743" operator="lessThan">
      <formula>0</formula>
    </cfRule>
  </conditionalFormatting>
  <conditionalFormatting sqref="I22:I29">
    <cfRule type="cellIs" dxfId="583" priority="742" operator="lessThan">
      <formula>0</formula>
    </cfRule>
  </conditionalFormatting>
  <conditionalFormatting sqref="I22:I29">
    <cfRule type="cellIs" dxfId="582" priority="741" operator="lessThan">
      <formula>0</formula>
    </cfRule>
  </conditionalFormatting>
  <conditionalFormatting sqref="I22:I29">
    <cfRule type="cellIs" dxfId="581" priority="740" operator="lessThan">
      <formula>0</formula>
    </cfRule>
  </conditionalFormatting>
  <conditionalFormatting sqref="I22:I29">
    <cfRule type="cellIs" dxfId="580" priority="739" operator="lessThan">
      <formula>0</formula>
    </cfRule>
  </conditionalFormatting>
  <conditionalFormatting sqref="I22:I29">
    <cfRule type="cellIs" dxfId="579" priority="738" operator="lessThan">
      <formula>0</formula>
    </cfRule>
  </conditionalFormatting>
  <conditionalFormatting sqref="I22:I29">
    <cfRule type="cellIs" dxfId="578" priority="737" operator="lessThan">
      <formula>0</formula>
    </cfRule>
  </conditionalFormatting>
  <conditionalFormatting sqref="I22:I29">
    <cfRule type="cellIs" dxfId="577" priority="736" operator="lessThan">
      <formula>0</formula>
    </cfRule>
  </conditionalFormatting>
  <conditionalFormatting sqref="I22:I29">
    <cfRule type="cellIs" dxfId="576" priority="735" operator="lessThan">
      <formula>0</formula>
    </cfRule>
  </conditionalFormatting>
  <conditionalFormatting sqref="I22:I29">
    <cfRule type="cellIs" dxfId="575" priority="734" operator="lessThan">
      <formula>0</formula>
    </cfRule>
  </conditionalFormatting>
  <conditionalFormatting sqref="I22:I29">
    <cfRule type="cellIs" dxfId="574" priority="733" operator="lessThan">
      <formula>0</formula>
    </cfRule>
  </conditionalFormatting>
  <conditionalFormatting sqref="I22:I29">
    <cfRule type="cellIs" dxfId="573" priority="732" operator="lessThan">
      <formula>0</formula>
    </cfRule>
  </conditionalFormatting>
  <conditionalFormatting sqref="I22:I29">
    <cfRule type="cellIs" dxfId="572" priority="731" operator="lessThan">
      <formula>0</formula>
    </cfRule>
  </conditionalFormatting>
  <conditionalFormatting sqref="I22:I29">
    <cfRule type="cellIs" dxfId="571" priority="730" operator="lessThan">
      <formula>0</formula>
    </cfRule>
  </conditionalFormatting>
  <conditionalFormatting sqref="I22:I29">
    <cfRule type="cellIs" dxfId="570" priority="729" operator="lessThan">
      <formula>0</formula>
    </cfRule>
  </conditionalFormatting>
  <conditionalFormatting sqref="I22:I29">
    <cfRule type="cellIs" dxfId="569" priority="728" operator="lessThan">
      <formula>0</formula>
    </cfRule>
  </conditionalFormatting>
  <conditionalFormatting sqref="I22:I29">
    <cfRule type="cellIs" dxfId="568" priority="727" operator="lessThan">
      <formula>0</formula>
    </cfRule>
  </conditionalFormatting>
  <conditionalFormatting sqref="I22:I29">
    <cfRule type="cellIs" dxfId="567" priority="726" operator="lessThan">
      <formula>0</formula>
    </cfRule>
  </conditionalFormatting>
  <conditionalFormatting sqref="I22:I29">
    <cfRule type="cellIs" dxfId="566" priority="725" operator="lessThan">
      <formula>0</formula>
    </cfRule>
  </conditionalFormatting>
  <conditionalFormatting sqref="I22:I29">
    <cfRule type="cellIs" dxfId="565" priority="724" operator="lessThan">
      <formula>0</formula>
    </cfRule>
  </conditionalFormatting>
  <conditionalFormatting sqref="I22:I29">
    <cfRule type="cellIs" dxfId="564" priority="723" operator="lessThan">
      <formula>0</formula>
    </cfRule>
  </conditionalFormatting>
  <conditionalFormatting sqref="I22:I29">
    <cfRule type="cellIs" dxfId="563" priority="722" operator="lessThan">
      <formula>0</formula>
    </cfRule>
  </conditionalFormatting>
  <conditionalFormatting sqref="I22:I29">
    <cfRule type="cellIs" dxfId="562" priority="721" operator="lessThan">
      <formula>0</formula>
    </cfRule>
  </conditionalFormatting>
  <conditionalFormatting sqref="I22:I29">
    <cfRule type="cellIs" dxfId="561" priority="720" operator="lessThan">
      <formula>0</formula>
    </cfRule>
  </conditionalFormatting>
  <conditionalFormatting sqref="I22:I29">
    <cfRule type="cellIs" dxfId="560" priority="719" operator="lessThan">
      <formula>0</formula>
    </cfRule>
  </conditionalFormatting>
  <conditionalFormatting sqref="I22:I29">
    <cfRule type="cellIs" dxfId="559" priority="718" operator="lessThan">
      <formula>0</formula>
    </cfRule>
  </conditionalFormatting>
  <conditionalFormatting sqref="I22:I29">
    <cfRule type="cellIs" dxfId="558" priority="717" operator="lessThan">
      <formula>0</formula>
    </cfRule>
  </conditionalFormatting>
  <conditionalFormatting sqref="I22:I29">
    <cfRule type="cellIs" dxfId="557" priority="716" operator="lessThan">
      <formula>0</formula>
    </cfRule>
  </conditionalFormatting>
  <conditionalFormatting sqref="I22:I29">
    <cfRule type="cellIs" dxfId="556" priority="715" operator="lessThan">
      <formula>0</formula>
    </cfRule>
  </conditionalFormatting>
  <conditionalFormatting sqref="I22:I29">
    <cfRule type="cellIs" dxfId="555" priority="714" operator="lessThan">
      <formula>0</formula>
    </cfRule>
  </conditionalFormatting>
  <conditionalFormatting sqref="I22:I29">
    <cfRule type="cellIs" dxfId="554" priority="713" operator="lessThan">
      <formula>0</formula>
    </cfRule>
  </conditionalFormatting>
  <conditionalFormatting sqref="I22:I29">
    <cfRule type="cellIs" dxfId="553" priority="712" operator="lessThan">
      <formula>0</formula>
    </cfRule>
  </conditionalFormatting>
  <conditionalFormatting sqref="I22:I29">
    <cfRule type="cellIs" dxfId="552" priority="711" operator="lessThan">
      <formula>0</formula>
    </cfRule>
  </conditionalFormatting>
  <conditionalFormatting sqref="I22:I29">
    <cfRule type="cellIs" dxfId="551" priority="710" operator="lessThan">
      <formula>0</formula>
    </cfRule>
  </conditionalFormatting>
  <conditionalFormatting sqref="I22:I29">
    <cfRule type="cellIs" dxfId="550" priority="709" operator="lessThan">
      <formula>0</formula>
    </cfRule>
  </conditionalFormatting>
  <conditionalFormatting sqref="I22:I29">
    <cfRule type="cellIs" dxfId="549" priority="708" operator="lessThan">
      <formula>0</formula>
    </cfRule>
  </conditionalFormatting>
  <conditionalFormatting sqref="I22:I29">
    <cfRule type="cellIs" dxfId="548" priority="707" operator="lessThan">
      <formula>0</formula>
    </cfRule>
  </conditionalFormatting>
  <conditionalFormatting sqref="I22:I29">
    <cfRule type="cellIs" dxfId="547" priority="706" operator="lessThan">
      <formula>0</formula>
    </cfRule>
  </conditionalFormatting>
  <conditionalFormatting sqref="I22:I29">
    <cfRule type="cellIs" dxfId="546" priority="705" operator="lessThan">
      <formula>0</formula>
    </cfRule>
  </conditionalFormatting>
  <conditionalFormatting sqref="I22:I29">
    <cfRule type="cellIs" dxfId="545" priority="704" operator="lessThan">
      <formula>0</formula>
    </cfRule>
  </conditionalFormatting>
  <conditionalFormatting sqref="I22:I29">
    <cfRule type="cellIs" dxfId="544" priority="703" operator="lessThan">
      <formula>0</formula>
    </cfRule>
  </conditionalFormatting>
  <conditionalFormatting sqref="I22:I29">
    <cfRule type="cellIs" dxfId="543" priority="702" operator="lessThan">
      <formula>0</formula>
    </cfRule>
  </conditionalFormatting>
  <conditionalFormatting sqref="I22:I29">
    <cfRule type="cellIs" dxfId="542" priority="701" operator="lessThan">
      <formula>0</formula>
    </cfRule>
  </conditionalFormatting>
  <conditionalFormatting sqref="I22:I29">
    <cfRule type="cellIs" dxfId="541" priority="700" operator="lessThan">
      <formula>0</formula>
    </cfRule>
  </conditionalFormatting>
  <conditionalFormatting sqref="I22:I29">
    <cfRule type="cellIs" dxfId="540" priority="699" operator="lessThan">
      <formula>0</formula>
    </cfRule>
  </conditionalFormatting>
  <conditionalFormatting sqref="I22:I29">
    <cfRule type="cellIs" dxfId="539" priority="698" operator="lessThan">
      <formula>0</formula>
    </cfRule>
  </conditionalFormatting>
  <conditionalFormatting sqref="I22:I29">
    <cfRule type="cellIs" dxfId="538" priority="697" operator="lessThan">
      <formula>0</formula>
    </cfRule>
  </conditionalFormatting>
  <conditionalFormatting sqref="I22:I29">
    <cfRule type="cellIs" dxfId="537" priority="696" operator="lessThan">
      <formula>0</formula>
    </cfRule>
  </conditionalFormatting>
  <conditionalFormatting sqref="I22:I29">
    <cfRule type="cellIs" dxfId="536" priority="695" operator="lessThan">
      <formula>0</formula>
    </cfRule>
  </conditionalFormatting>
  <conditionalFormatting sqref="I22:I29">
    <cfRule type="cellIs" dxfId="535" priority="694" operator="lessThan">
      <formula>0</formula>
    </cfRule>
  </conditionalFormatting>
  <conditionalFormatting sqref="I22:I29">
    <cfRule type="cellIs" dxfId="534" priority="693" operator="lessThan">
      <formula>0</formula>
    </cfRule>
  </conditionalFormatting>
  <conditionalFormatting sqref="I22:I29">
    <cfRule type="cellIs" dxfId="533" priority="692" operator="lessThan">
      <formula>0</formula>
    </cfRule>
  </conditionalFormatting>
  <conditionalFormatting sqref="I22:I29">
    <cfRule type="cellIs" dxfId="532" priority="691" operator="lessThan">
      <formula>0</formula>
    </cfRule>
  </conditionalFormatting>
  <conditionalFormatting sqref="I22:I29">
    <cfRule type="cellIs" dxfId="531" priority="690" operator="lessThan">
      <formula>0</formula>
    </cfRule>
  </conditionalFormatting>
  <conditionalFormatting sqref="I22:I29">
    <cfRule type="cellIs" dxfId="530" priority="689" operator="lessThan">
      <formula>0</formula>
    </cfRule>
  </conditionalFormatting>
  <conditionalFormatting sqref="I22:I29">
    <cfRule type="cellIs" dxfId="529" priority="688" operator="lessThan">
      <formula>0</formula>
    </cfRule>
  </conditionalFormatting>
  <conditionalFormatting sqref="I22:I29">
    <cfRule type="cellIs" dxfId="528" priority="687" operator="lessThan">
      <formula>0</formula>
    </cfRule>
  </conditionalFormatting>
  <conditionalFormatting sqref="I22:I29">
    <cfRule type="cellIs" dxfId="527" priority="686" operator="lessThan">
      <formula>0</formula>
    </cfRule>
  </conditionalFormatting>
  <conditionalFormatting sqref="I22:I29">
    <cfRule type="cellIs" dxfId="526" priority="685" operator="lessThan">
      <formula>0</formula>
    </cfRule>
  </conditionalFormatting>
  <conditionalFormatting sqref="I22:I29">
    <cfRule type="cellIs" dxfId="525" priority="684" operator="lessThan">
      <formula>0</formula>
    </cfRule>
  </conditionalFormatting>
  <conditionalFormatting sqref="I22:I29">
    <cfRule type="cellIs" dxfId="524" priority="683" operator="lessThan">
      <formula>0</formula>
    </cfRule>
  </conditionalFormatting>
  <conditionalFormatting sqref="I22:I29">
    <cfRule type="cellIs" dxfId="523" priority="682" operator="lessThan">
      <formula>0</formula>
    </cfRule>
  </conditionalFormatting>
  <conditionalFormatting sqref="I22:I29">
    <cfRule type="cellIs" dxfId="522" priority="681" operator="lessThan">
      <formula>0</formula>
    </cfRule>
  </conditionalFormatting>
  <conditionalFormatting sqref="I22:I29">
    <cfRule type="cellIs" dxfId="521" priority="680" operator="lessThan">
      <formula>0</formula>
    </cfRule>
  </conditionalFormatting>
  <conditionalFormatting sqref="I22:I29">
    <cfRule type="cellIs" dxfId="520" priority="679" operator="lessThan">
      <formula>0</formula>
    </cfRule>
  </conditionalFormatting>
  <conditionalFormatting sqref="I22:I29">
    <cfRule type="cellIs" dxfId="519" priority="678" operator="lessThan">
      <formula>0</formula>
    </cfRule>
  </conditionalFormatting>
  <conditionalFormatting sqref="I22:I29">
    <cfRule type="cellIs" dxfId="518" priority="677" operator="lessThan">
      <formula>0</formula>
    </cfRule>
  </conditionalFormatting>
  <conditionalFormatting sqref="I22:I29">
    <cfRule type="cellIs" dxfId="517" priority="676" operator="lessThan">
      <formula>0</formula>
    </cfRule>
  </conditionalFormatting>
  <conditionalFormatting sqref="I22:I29">
    <cfRule type="cellIs" dxfId="516" priority="675" operator="lessThan">
      <formula>0</formula>
    </cfRule>
  </conditionalFormatting>
  <conditionalFormatting sqref="I22:I29">
    <cfRule type="cellIs" dxfId="515" priority="674" operator="lessThan">
      <formula>0</formula>
    </cfRule>
  </conditionalFormatting>
  <conditionalFormatting sqref="I22:I29">
    <cfRule type="cellIs" dxfId="514" priority="673" operator="lessThan">
      <formula>0</formula>
    </cfRule>
  </conditionalFormatting>
  <conditionalFormatting sqref="I22:I29">
    <cfRule type="cellIs" dxfId="513" priority="672" operator="lessThan">
      <formula>0</formula>
    </cfRule>
  </conditionalFormatting>
  <conditionalFormatting sqref="I22:I29">
    <cfRule type="cellIs" dxfId="512" priority="671" operator="lessThan">
      <formula>0</formula>
    </cfRule>
  </conditionalFormatting>
  <conditionalFormatting sqref="I22:I29">
    <cfRule type="cellIs" dxfId="511" priority="670" operator="lessThan">
      <formula>0</formula>
    </cfRule>
  </conditionalFormatting>
  <conditionalFormatting sqref="I22:I29">
    <cfRule type="cellIs" dxfId="510" priority="669" operator="lessThan">
      <formula>0</formula>
    </cfRule>
  </conditionalFormatting>
  <conditionalFormatting sqref="I22:I29">
    <cfRule type="cellIs" dxfId="509" priority="668" operator="lessThan">
      <formula>0</formula>
    </cfRule>
  </conditionalFormatting>
  <conditionalFormatting sqref="I22:I29">
    <cfRule type="cellIs" dxfId="508" priority="667" operator="lessThan">
      <formula>0</formula>
    </cfRule>
  </conditionalFormatting>
  <conditionalFormatting sqref="I22:I29">
    <cfRule type="cellIs" dxfId="507" priority="666" operator="lessThan">
      <formula>0</formula>
    </cfRule>
  </conditionalFormatting>
  <conditionalFormatting sqref="I22:I29">
    <cfRule type="cellIs" dxfId="506" priority="665" operator="lessThan">
      <formula>0</formula>
    </cfRule>
  </conditionalFormatting>
  <conditionalFormatting sqref="I22:I29">
    <cfRule type="cellIs" dxfId="505" priority="664" operator="lessThan">
      <formula>0</formula>
    </cfRule>
  </conditionalFormatting>
  <conditionalFormatting sqref="I22:I29">
    <cfRule type="cellIs" dxfId="504" priority="663" operator="lessThan">
      <formula>0</formula>
    </cfRule>
  </conditionalFormatting>
  <conditionalFormatting sqref="I22:I29">
    <cfRule type="cellIs" dxfId="503" priority="662" operator="lessThan">
      <formula>0</formula>
    </cfRule>
  </conditionalFormatting>
  <conditionalFormatting sqref="I22:I29">
    <cfRule type="cellIs" dxfId="502" priority="661" operator="lessThan">
      <formula>0</formula>
    </cfRule>
  </conditionalFormatting>
  <conditionalFormatting sqref="I22:I29">
    <cfRule type="cellIs" dxfId="501" priority="660" operator="lessThan">
      <formula>0</formula>
    </cfRule>
  </conditionalFormatting>
  <conditionalFormatting sqref="I22:I29">
    <cfRule type="cellIs" dxfId="500" priority="659" operator="lessThan">
      <formula>0</formula>
    </cfRule>
  </conditionalFormatting>
  <conditionalFormatting sqref="I22:I29">
    <cfRule type="cellIs" dxfId="499" priority="658" operator="lessThan">
      <formula>0</formula>
    </cfRule>
  </conditionalFormatting>
  <conditionalFormatting sqref="I22:I29">
    <cfRule type="cellIs" dxfId="498" priority="657" operator="lessThan">
      <formula>0</formula>
    </cfRule>
  </conditionalFormatting>
  <conditionalFormatting sqref="I22:I29">
    <cfRule type="cellIs" dxfId="497" priority="656" operator="lessThan">
      <formula>0</formula>
    </cfRule>
  </conditionalFormatting>
  <conditionalFormatting sqref="I22:I29">
    <cfRule type="cellIs" dxfId="496" priority="655" operator="lessThan">
      <formula>0</formula>
    </cfRule>
  </conditionalFormatting>
  <conditionalFormatting sqref="I22:I29">
    <cfRule type="cellIs" dxfId="495" priority="654" operator="lessThan">
      <formula>0</formula>
    </cfRule>
  </conditionalFormatting>
  <conditionalFormatting sqref="I22:I29">
    <cfRule type="cellIs" dxfId="494" priority="653" operator="lessThan">
      <formula>0</formula>
    </cfRule>
  </conditionalFormatting>
  <conditionalFormatting sqref="I22:I29">
    <cfRule type="cellIs" dxfId="493" priority="652" operator="lessThan">
      <formula>0</formula>
    </cfRule>
  </conditionalFormatting>
  <conditionalFormatting sqref="I22:I29">
    <cfRule type="cellIs" dxfId="492" priority="651" operator="lessThan">
      <formula>0</formula>
    </cfRule>
  </conditionalFormatting>
  <conditionalFormatting sqref="I22:I29">
    <cfRule type="cellIs" dxfId="491" priority="650" operator="lessThan">
      <formula>0</formula>
    </cfRule>
  </conditionalFormatting>
  <conditionalFormatting sqref="I22:I29">
    <cfRule type="cellIs" dxfId="490" priority="649" operator="lessThan">
      <formula>0</formula>
    </cfRule>
  </conditionalFormatting>
  <conditionalFormatting sqref="I22:I29">
    <cfRule type="cellIs" dxfId="489" priority="648" operator="lessThan">
      <formula>0</formula>
    </cfRule>
  </conditionalFormatting>
  <conditionalFormatting sqref="I22:I29">
    <cfRule type="cellIs" dxfId="488" priority="647" operator="lessThan">
      <formula>0</formula>
    </cfRule>
  </conditionalFormatting>
  <conditionalFormatting sqref="I22:I29">
    <cfRule type="cellIs" dxfId="487" priority="646" operator="lessThan">
      <formula>0</formula>
    </cfRule>
  </conditionalFormatting>
  <conditionalFormatting sqref="I22:I29">
    <cfRule type="cellIs" dxfId="486" priority="645" operator="lessThan">
      <formula>0</formula>
    </cfRule>
  </conditionalFormatting>
  <conditionalFormatting sqref="I22:I29">
    <cfRule type="cellIs" dxfId="485" priority="644" operator="lessThan">
      <formula>0</formula>
    </cfRule>
  </conditionalFormatting>
  <conditionalFormatting sqref="I22:I29">
    <cfRule type="cellIs" dxfId="484" priority="643" operator="lessThan">
      <formula>0</formula>
    </cfRule>
  </conditionalFormatting>
  <conditionalFormatting sqref="I22:I29">
    <cfRule type="cellIs" dxfId="483" priority="642" operator="lessThan">
      <formula>0</formula>
    </cfRule>
  </conditionalFormatting>
  <conditionalFormatting sqref="I22:I29">
    <cfRule type="cellIs" dxfId="482" priority="641" operator="lessThan">
      <formula>0</formula>
    </cfRule>
  </conditionalFormatting>
  <conditionalFormatting sqref="I22:I29">
    <cfRule type="cellIs" dxfId="481" priority="640" operator="lessThan">
      <formula>0</formula>
    </cfRule>
  </conditionalFormatting>
  <conditionalFormatting sqref="I22:I29">
    <cfRule type="cellIs" dxfId="480" priority="639" operator="lessThan">
      <formula>0</formula>
    </cfRule>
  </conditionalFormatting>
  <conditionalFormatting sqref="I22:I29">
    <cfRule type="cellIs" dxfId="479" priority="638" operator="lessThan">
      <formula>0</formula>
    </cfRule>
  </conditionalFormatting>
  <conditionalFormatting sqref="I22:I29">
    <cfRule type="cellIs" dxfId="478" priority="637" operator="lessThan">
      <formula>0</formula>
    </cfRule>
  </conditionalFormatting>
  <conditionalFormatting sqref="I22:I29">
    <cfRule type="cellIs" dxfId="477" priority="636" operator="lessThan">
      <formula>0</formula>
    </cfRule>
  </conditionalFormatting>
  <conditionalFormatting sqref="I22:I29">
    <cfRule type="cellIs" dxfId="476" priority="635" operator="lessThan">
      <formula>0</formula>
    </cfRule>
  </conditionalFormatting>
  <conditionalFormatting sqref="I22:I29">
    <cfRule type="cellIs" dxfId="475" priority="634" operator="lessThan">
      <formula>0</formula>
    </cfRule>
  </conditionalFormatting>
  <conditionalFormatting sqref="I22:I29">
    <cfRule type="cellIs" dxfId="474" priority="633" operator="lessThan">
      <formula>0</formula>
    </cfRule>
  </conditionalFormatting>
  <conditionalFormatting sqref="I22:I29">
    <cfRule type="cellIs" dxfId="473" priority="632" operator="lessThan">
      <formula>0</formula>
    </cfRule>
  </conditionalFormatting>
  <conditionalFormatting sqref="I22:I29">
    <cfRule type="cellIs" dxfId="472" priority="631" operator="lessThan">
      <formula>0</formula>
    </cfRule>
  </conditionalFormatting>
  <conditionalFormatting sqref="I22:I29">
    <cfRule type="cellIs" dxfId="471" priority="630" operator="lessThan">
      <formula>0</formula>
    </cfRule>
  </conditionalFormatting>
  <conditionalFormatting sqref="I22:I29">
    <cfRule type="cellIs" dxfId="470" priority="629" operator="lessThan">
      <formula>0</formula>
    </cfRule>
  </conditionalFormatting>
  <conditionalFormatting sqref="I22:I29">
    <cfRule type="cellIs" dxfId="469" priority="628" operator="lessThan">
      <formula>0</formula>
    </cfRule>
  </conditionalFormatting>
  <conditionalFormatting sqref="I22:I29">
    <cfRule type="cellIs" dxfId="468" priority="627" operator="lessThan">
      <formula>0</formula>
    </cfRule>
  </conditionalFormatting>
  <conditionalFormatting sqref="I22:I29">
    <cfRule type="cellIs" dxfId="467" priority="626" operator="lessThan">
      <formula>0</formula>
    </cfRule>
  </conditionalFormatting>
  <conditionalFormatting sqref="I22:I29">
    <cfRule type="cellIs" dxfId="466" priority="625" operator="lessThan">
      <formula>0</formula>
    </cfRule>
  </conditionalFormatting>
  <conditionalFormatting sqref="I22:I29">
    <cfRule type="cellIs" dxfId="465" priority="624" operator="lessThan">
      <formula>0</formula>
    </cfRule>
  </conditionalFormatting>
  <conditionalFormatting sqref="I22:I29">
    <cfRule type="cellIs" dxfId="464" priority="623" operator="lessThan">
      <formula>0</formula>
    </cfRule>
  </conditionalFormatting>
  <conditionalFormatting sqref="I22:I29">
    <cfRule type="cellIs" dxfId="463" priority="622" operator="lessThan">
      <formula>0</formula>
    </cfRule>
  </conditionalFormatting>
  <conditionalFormatting sqref="I22:I29">
    <cfRule type="cellIs" dxfId="462" priority="621" operator="lessThan">
      <formula>0</formula>
    </cfRule>
  </conditionalFormatting>
  <conditionalFormatting sqref="I22:I29">
    <cfRule type="cellIs" dxfId="461" priority="620" operator="lessThan">
      <formula>0</formula>
    </cfRule>
  </conditionalFormatting>
  <conditionalFormatting sqref="I22:I29">
    <cfRule type="cellIs" dxfId="460" priority="619" operator="lessThan">
      <formula>0</formula>
    </cfRule>
  </conditionalFormatting>
  <conditionalFormatting sqref="I22:I29">
    <cfRule type="cellIs" dxfId="459" priority="618" operator="lessThan">
      <formula>0</formula>
    </cfRule>
  </conditionalFormatting>
  <conditionalFormatting sqref="I22:I29">
    <cfRule type="cellIs" dxfId="458" priority="617" operator="lessThan">
      <formula>0</formula>
    </cfRule>
  </conditionalFormatting>
  <conditionalFormatting sqref="I22:I29">
    <cfRule type="cellIs" dxfId="457" priority="616" operator="lessThan">
      <formula>0</formula>
    </cfRule>
  </conditionalFormatting>
  <conditionalFormatting sqref="I22:I29">
    <cfRule type="cellIs" dxfId="456" priority="615" operator="lessThan">
      <formula>0</formula>
    </cfRule>
  </conditionalFormatting>
  <conditionalFormatting sqref="I22:I29">
    <cfRule type="cellIs" dxfId="455" priority="614" operator="lessThan">
      <formula>0</formula>
    </cfRule>
  </conditionalFormatting>
  <conditionalFormatting sqref="I22:I29">
    <cfRule type="cellIs" dxfId="454" priority="613" operator="lessThan">
      <formula>0</formula>
    </cfRule>
  </conditionalFormatting>
  <conditionalFormatting sqref="I22:I29">
    <cfRule type="cellIs" dxfId="453" priority="612" operator="lessThan">
      <formula>0</formula>
    </cfRule>
  </conditionalFormatting>
  <conditionalFormatting sqref="I22:I29">
    <cfRule type="cellIs" dxfId="452" priority="611" operator="lessThan">
      <formula>0</formula>
    </cfRule>
  </conditionalFormatting>
  <conditionalFormatting sqref="I22:I29">
    <cfRule type="cellIs" dxfId="451" priority="610" operator="lessThan">
      <formula>0</formula>
    </cfRule>
  </conditionalFormatting>
  <conditionalFormatting sqref="I22:I29">
    <cfRule type="cellIs" dxfId="450" priority="609" operator="lessThan">
      <formula>0</formula>
    </cfRule>
  </conditionalFormatting>
  <conditionalFormatting sqref="I22:I29">
    <cfRule type="cellIs" dxfId="449" priority="608" operator="lessThan">
      <formula>0</formula>
    </cfRule>
  </conditionalFormatting>
  <conditionalFormatting sqref="I22:I29">
    <cfRule type="cellIs" dxfId="448" priority="607" operator="lessThan">
      <formula>0</formula>
    </cfRule>
  </conditionalFormatting>
  <conditionalFormatting sqref="I22:I29">
    <cfRule type="cellIs" dxfId="447" priority="606" operator="lessThan">
      <formula>0</formula>
    </cfRule>
  </conditionalFormatting>
  <conditionalFormatting sqref="I22:I29">
    <cfRule type="cellIs" dxfId="446" priority="605" operator="lessThan">
      <formula>0</formula>
    </cfRule>
  </conditionalFormatting>
  <conditionalFormatting sqref="I22:I29">
    <cfRule type="cellIs" dxfId="445" priority="604" operator="lessThan">
      <formula>0</formula>
    </cfRule>
  </conditionalFormatting>
  <conditionalFormatting sqref="I22:I29">
    <cfRule type="cellIs" dxfId="444" priority="603" operator="lessThan">
      <formula>0</formula>
    </cfRule>
  </conditionalFormatting>
  <conditionalFormatting sqref="I22:I29">
    <cfRule type="cellIs" dxfId="443" priority="602" operator="lessThan">
      <formula>0</formula>
    </cfRule>
  </conditionalFormatting>
  <conditionalFormatting sqref="I22:I29">
    <cfRule type="cellIs" dxfId="442" priority="601" operator="lessThan">
      <formula>0</formula>
    </cfRule>
  </conditionalFormatting>
  <conditionalFormatting sqref="I22:I29">
    <cfRule type="cellIs" dxfId="441" priority="600" operator="lessThan">
      <formula>0</formula>
    </cfRule>
  </conditionalFormatting>
  <conditionalFormatting sqref="I22:I29">
    <cfRule type="cellIs" dxfId="440" priority="599" operator="lessThan">
      <formula>0</formula>
    </cfRule>
  </conditionalFormatting>
  <conditionalFormatting sqref="I22:I29">
    <cfRule type="cellIs" dxfId="439" priority="598" operator="lessThan">
      <formula>0</formula>
    </cfRule>
  </conditionalFormatting>
  <conditionalFormatting sqref="I22:I29">
    <cfRule type="cellIs" dxfId="438" priority="597" operator="lessThan">
      <formula>0</formula>
    </cfRule>
  </conditionalFormatting>
  <conditionalFormatting sqref="I22:I29">
    <cfRule type="cellIs" dxfId="437" priority="596" operator="lessThan">
      <formula>0</formula>
    </cfRule>
  </conditionalFormatting>
  <conditionalFormatting sqref="I22:I29">
    <cfRule type="cellIs" dxfId="436" priority="595" operator="lessThan">
      <formula>0</formula>
    </cfRule>
  </conditionalFormatting>
  <conditionalFormatting sqref="I22:I29">
    <cfRule type="cellIs" dxfId="435" priority="594" operator="lessThan">
      <formula>0</formula>
    </cfRule>
  </conditionalFormatting>
  <conditionalFormatting sqref="I22:I29">
    <cfRule type="cellIs" dxfId="434" priority="593" operator="lessThan">
      <formula>0</formula>
    </cfRule>
  </conditionalFormatting>
  <conditionalFormatting sqref="I22:I29">
    <cfRule type="cellIs" dxfId="433" priority="592" operator="lessThan">
      <formula>0</formula>
    </cfRule>
  </conditionalFormatting>
  <conditionalFormatting sqref="I22:I29">
    <cfRule type="cellIs" dxfId="432" priority="591" operator="lessThan">
      <formula>0</formula>
    </cfRule>
  </conditionalFormatting>
  <conditionalFormatting sqref="I22:I29">
    <cfRule type="cellIs" dxfId="431" priority="590" operator="lessThan">
      <formula>0</formula>
    </cfRule>
  </conditionalFormatting>
  <conditionalFormatting sqref="I22:I29">
    <cfRule type="cellIs" dxfId="430" priority="589" operator="lessThan">
      <formula>0</formula>
    </cfRule>
  </conditionalFormatting>
  <conditionalFormatting sqref="I22:I29">
    <cfRule type="cellIs" dxfId="429" priority="588" operator="lessThan">
      <formula>0</formula>
    </cfRule>
  </conditionalFormatting>
  <conditionalFormatting sqref="I22:I29">
    <cfRule type="cellIs" dxfId="428" priority="587" operator="lessThan">
      <formula>0</formula>
    </cfRule>
  </conditionalFormatting>
  <conditionalFormatting sqref="I22:I29">
    <cfRule type="cellIs" dxfId="427" priority="586" operator="lessThan">
      <formula>0</formula>
    </cfRule>
  </conditionalFormatting>
  <conditionalFormatting sqref="I22:I29">
    <cfRule type="cellIs" dxfId="426" priority="585" operator="lessThan">
      <formula>0</formula>
    </cfRule>
  </conditionalFormatting>
  <conditionalFormatting sqref="I22:I29">
    <cfRule type="cellIs" dxfId="425" priority="584" operator="lessThan">
      <formula>0</formula>
    </cfRule>
  </conditionalFormatting>
  <conditionalFormatting sqref="I22:I29">
    <cfRule type="cellIs" dxfId="424" priority="583" operator="lessThan">
      <formula>0</formula>
    </cfRule>
  </conditionalFormatting>
  <conditionalFormatting sqref="I22:I29">
    <cfRule type="cellIs" dxfId="423" priority="582" operator="lessThan">
      <formula>0</formula>
    </cfRule>
  </conditionalFormatting>
  <conditionalFormatting sqref="I22:I29">
    <cfRule type="cellIs" dxfId="422" priority="581" operator="lessThan">
      <formula>0</formula>
    </cfRule>
  </conditionalFormatting>
  <conditionalFormatting sqref="I22:I29">
    <cfRule type="cellIs" dxfId="421" priority="580" operator="lessThan">
      <formula>0</formula>
    </cfRule>
  </conditionalFormatting>
  <conditionalFormatting sqref="I22:I29">
    <cfRule type="cellIs" dxfId="420" priority="579" operator="lessThan">
      <formula>0</formula>
    </cfRule>
  </conditionalFormatting>
  <conditionalFormatting sqref="I22:I29">
    <cfRule type="cellIs" dxfId="419" priority="578" operator="lessThan">
      <formula>0</formula>
    </cfRule>
  </conditionalFormatting>
  <conditionalFormatting sqref="I22:I29">
    <cfRule type="cellIs" dxfId="418" priority="577" operator="lessThan">
      <formula>0</formula>
    </cfRule>
  </conditionalFormatting>
  <conditionalFormatting sqref="I22:I29">
    <cfRule type="cellIs" dxfId="417" priority="576" operator="lessThan">
      <formula>0</formula>
    </cfRule>
  </conditionalFormatting>
  <conditionalFormatting sqref="I22:I29">
    <cfRule type="cellIs" dxfId="416" priority="575" operator="lessThan">
      <formula>0</formula>
    </cfRule>
  </conditionalFormatting>
  <conditionalFormatting sqref="I22:I29">
    <cfRule type="cellIs" dxfId="415" priority="574" operator="lessThan">
      <formula>0</formula>
    </cfRule>
  </conditionalFormatting>
  <conditionalFormatting sqref="I22:I29">
    <cfRule type="cellIs" dxfId="414" priority="573" operator="lessThan">
      <formula>0</formula>
    </cfRule>
  </conditionalFormatting>
  <conditionalFormatting sqref="I22:I29">
    <cfRule type="cellIs" dxfId="413" priority="572" operator="lessThan">
      <formula>0</formula>
    </cfRule>
  </conditionalFormatting>
  <conditionalFormatting sqref="I22:I29">
    <cfRule type="cellIs" dxfId="412" priority="571" operator="lessThan">
      <formula>0</formula>
    </cfRule>
  </conditionalFormatting>
  <conditionalFormatting sqref="I22:I29">
    <cfRule type="cellIs" dxfId="411" priority="570" operator="lessThan">
      <formula>0</formula>
    </cfRule>
  </conditionalFormatting>
  <conditionalFormatting sqref="I22:I29">
    <cfRule type="cellIs" dxfId="410" priority="569" operator="lessThan">
      <formula>0</formula>
    </cfRule>
  </conditionalFormatting>
  <conditionalFormatting sqref="I22:I29">
    <cfRule type="cellIs" dxfId="409" priority="568" operator="lessThan">
      <formula>0</formula>
    </cfRule>
  </conditionalFormatting>
  <conditionalFormatting sqref="I22:I29">
    <cfRule type="cellIs" dxfId="408" priority="567" operator="lessThan">
      <formula>0</formula>
    </cfRule>
  </conditionalFormatting>
  <conditionalFormatting sqref="I22:I29">
    <cfRule type="cellIs" dxfId="407" priority="566" operator="lessThan">
      <formula>0</formula>
    </cfRule>
  </conditionalFormatting>
  <conditionalFormatting sqref="I22:I29">
    <cfRule type="cellIs" dxfId="406" priority="565" operator="lessThan">
      <formula>0</formula>
    </cfRule>
  </conditionalFormatting>
  <conditionalFormatting sqref="I22:I29">
    <cfRule type="cellIs" dxfId="405" priority="564" operator="lessThan">
      <formula>0</formula>
    </cfRule>
  </conditionalFormatting>
  <conditionalFormatting sqref="I22:I29">
    <cfRule type="cellIs" dxfId="404" priority="563" operator="lessThan">
      <formula>0</formula>
    </cfRule>
  </conditionalFormatting>
  <conditionalFormatting sqref="I22:I29">
    <cfRule type="cellIs" dxfId="403" priority="562" operator="lessThan">
      <formula>0</formula>
    </cfRule>
  </conditionalFormatting>
  <conditionalFormatting sqref="I22:I29">
    <cfRule type="cellIs" dxfId="402" priority="561" operator="lessThan">
      <formula>0</formula>
    </cfRule>
  </conditionalFormatting>
  <conditionalFormatting sqref="I22:I29">
    <cfRule type="cellIs" dxfId="401" priority="560" operator="lessThan">
      <formula>0</formula>
    </cfRule>
  </conditionalFormatting>
  <conditionalFormatting sqref="I22:I29">
    <cfRule type="cellIs" dxfId="400" priority="559" operator="lessThan">
      <formula>0</formula>
    </cfRule>
  </conditionalFormatting>
  <conditionalFormatting sqref="I22:I29">
    <cfRule type="cellIs" dxfId="399" priority="558" operator="lessThan">
      <formula>0</formula>
    </cfRule>
  </conditionalFormatting>
  <conditionalFormatting sqref="I22:I29">
    <cfRule type="cellIs" dxfId="398" priority="557" operator="lessThan">
      <formula>0</formula>
    </cfRule>
  </conditionalFormatting>
  <conditionalFormatting sqref="I22:I29">
    <cfRule type="cellIs" dxfId="397" priority="556" operator="lessThan">
      <formula>0</formula>
    </cfRule>
  </conditionalFormatting>
  <conditionalFormatting sqref="I22:I29">
    <cfRule type="cellIs" dxfId="396" priority="555" operator="lessThan">
      <formula>0</formula>
    </cfRule>
  </conditionalFormatting>
  <conditionalFormatting sqref="I22:I29">
    <cfRule type="cellIs" dxfId="395" priority="554" operator="lessThan">
      <formula>0</formula>
    </cfRule>
  </conditionalFormatting>
  <conditionalFormatting sqref="I22:I29">
    <cfRule type="cellIs" dxfId="394" priority="553" operator="lessThan">
      <formula>0</formula>
    </cfRule>
  </conditionalFormatting>
  <conditionalFormatting sqref="I22:I29">
    <cfRule type="cellIs" dxfId="393" priority="552" operator="lessThan">
      <formula>0</formula>
    </cfRule>
  </conditionalFormatting>
  <conditionalFormatting sqref="I22:I29">
    <cfRule type="cellIs" dxfId="392" priority="551" operator="lessThan">
      <formula>0</formula>
    </cfRule>
  </conditionalFormatting>
  <conditionalFormatting sqref="I22:I29">
    <cfRule type="cellIs" dxfId="391" priority="550" operator="lessThan">
      <formula>0</formula>
    </cfRule>
  </conditionalFormatting>
  <conditionalFormatting sqref="I22:I29">
    <cfRule type="cellIs" dxfId="390" priority="549" operator="lessThan">
      <formula>0</formula>
    </cfRule>
  </conditionalFormatting>
  <conditionalFormatting sqref="I22:I29">
    <cfRule type="cellIs" dxfId="389" priority="548" operator="lessThan">
      <formula>0</formula>
    </cfRule>
  </conditionalFormatting>
  <conditionalFormatting sqref="I22:I29">
    <cfRule type="cellIs" dxfId="388" priority="547" operator="lessThan">
      <formula>0</formula>
    </cfRule>
  </conditionalFormatting>
  <conditionalFormatting sqref="I22:I29">
    <cfRule type="cellIs" dxfId="387" priority="546" operator="lessThan">
      <formula>0</formula>
    </cfRule>
  </conditionalFormatting>
  <conditionalFormatting sqref="I22:I29">
    <cfRule type="cellIs" dxfId="386" priority="545" operator="lessThan">
      <formula>0</formula>
    </cfRule>
  </conditionalFormatting>
  <conditionalFormatting sqref="I22:I29">
    <cfRule type="cellIs" dxfId="385" priority="544" operator="lessThan">
      <formula>0</formula>
    </cfRule>
  </conditionalFormatting>
  <conditionalFormatting sqref="I22:I29">
    <cfRule type="cellIs" dxfId="384" priority="543" operator="lessThan">
      <formula>0</formula>
    </cfRule>
  </conditionalFormatting>
  <conditionalFormatting sqref="I22:I29">
    <cfRule type="cellIs" dxfId="383" priority="542" operator="lessThan">
      <formula>0</formula>
    </cfRule>
  </conditionalFormatting>
  <conditionalFormatting sqref="I22:I29">
    <cfRule type="cellIs" dxfId="382" priority="541" operator="lessThan">
      <formula>0</formula>
    </cfRule>
  </conditionalFormatting>
  <conditionalFormatting sqref="I22:I29">
    <cfRule type="cellIs" dxfId="381" priority="540" operator="lessThan">
      <formula>0</formula>
    </cfRule>
  </conditionalFormatting>
  <conditionalFormatting sqref="I22:I29">
    <cfRule type="cellIs" dxfId="380" priority="539" operator="lessThan">
      <formula>0</formula>
    </cfRule>
  </conditionalFormatting>
  <conditionalFormatting sqref="I22:I29">
    <cfRule type="cellIs" dxfId="379" priority="538" operator="lessThan">
      <formula>0</formula>
    </cfRule>
  </conditionalFormatting>
  <conditionalFormatting sqref="I22:I29">
    <cfRule type="cellIs" dxfId="378" priority="537" operator="lessThan">
      <formula>0</formula>
    </cfRule>
  </conditionalFormatting>
  <conditionalFormatting sqref="I22:I29">
    <cfRule type="cellIs" dxfId="377" priority="536" operator="lessThan">
      <formula>0</formula>
    </cfRule>
  </conditionalFormatting>
  <conditionalFormatting sqref="I22:I29">
    <cfRule type="cellIs" dxfId="376" priority="535" operator="lessThan">
      <formula>0</formula>
    </cfRule>
  </conditionalFormatting>
  <conditionalFormatting sqref="I22:I29">
    <cfRule type="cellIs" dxfId="375" priority="534" operator="lessThan">
      <formula>0</formula>
    </cfRule>
  </conditionalFormatting>
  <conditionalFormatting sqref="I22:I29">
    <cfRule type="cellIs" dxfId="374" priority="533" operator="lessThan">
      <formula>0</formula>
    </cfRule>
  </conditionalFormatting>
  <conditionalFormatting sqref="I22:I29">
    <cfRule type="cellIs" dxfId="373" priority="532" operator="lessThan">
      <formula>0</formula>
    </cfRule>
  </conditionalFormatting>
  <conditionalFormatting sqref="I22:I29">
    <cfRule type="cellIs" dxfId="372" priority="531" operator="lessThan">
      <formula>0</formula>
    </cfRule>
  </conditionalFormatting>
  <conditionalFormatting sqref="I22:I29">
    <cfRule type="cellIs" dxfId="371" priority="530" operator="lessThan">
      <formula>0</formula>
    </cfRule>
  </conditionalFormatting>
  <conditionalFormatting sqref="I22:I29">
    <cfRule type="cellIs" dxfId="370" priority="529" operator="lessThan">
      <formula>0</formula>
    </cfRule>
  </conditionalFormatting>
  <conditionalFormatting sqref="I22:I29">
    <cfRule type="cellIs" dxfId="369" priority="528" operator="lessThan">
      <formula>0</formula>
    </cfRule>
  </conditionalFormatting>
  <conditionalFormatting sqref="I22:I29">
    <cfRule type="cellIs" dxfId="368" priority="527" operator="lessThan">
      <formula>0</formula>
    </cfRule>
  </conditionalFormatting>
  <conditionalFormatting sqref="I22:I29">
    <cfRule type="cellIs" dxfId="367" priority="526" operator="lessThan">
      <formula>0</formula>
    </cfRule>
  </conditionalFormatting>
  <conditionalFormatting sqref="I22:I29">
    <cfRule type="cellIs" dxfId="366" priority="525" operator="lessThan">
      <formula>0</formula>
    </cfRule>
  </conditionalFormatting>
  <conditionalFormatting sqref="I22:I29">
    <cfRule type="cellIs" dxfId="365" priority="524" operator="lessThan">
      <formula>0</formula>
    </cfRule>
  </conditionalFormatting>
  <conditionalFormatting sqref="I22:I29">
    <cfRule type="cellIs" dxfId="364" priority="523" operator="lessThan">
      <formula>0</formula>
    </cfRule>
  </conditionalFormatting>
  <conditionalFormatting sqref="I22:I29">
    <cfRule type="cellIs" dxfId="363" priority="522" operator="lessThan">
      <formula>0</formula>
    </cfRule>
  </conditionalFormatting>
  <conditionalFormatting sqref="I22:I29">
    <cfRule type="cellIs" dxfId="362" priority="521" operator="lessThan">
      <formula>0</formula>
    </cfRule>
  </conditionalFormatting>
  <conditionalFormatting sqref="I22:I29">
    <cfRule type="cellIs" dxfId="361" priority="520" operator="lessThan">
      <formula>0</formula>
    </cfRule>
  </conditionalFormatting>
  <conditionalFormatting sqref="I22:I29">
    <cfRule type="cellIs" dxfId="360" priority="519" operator="lessThan">
      <formula>0</formula>
    </cfRule>
  </conditionalFormatting>
  <conditionalFormatting sqref="I22:I29">
    <cfRule type="cellIs" dxfId="359" priority="518" operator="lessThan">
      <formula>0</formula>
    </cfRule>
  </conditionalFormatting>
  <conditionalFormatting sqref="I22:I29">
    <cfRule type="cellIs" dxfId="358" priority="517" operator="lessThan">
      <formula>0</formula>
    </cfRule>
  </conditionalFormatting>
  <conditionalFormatting sqref="I22:I29">
    <cfRule type="cellIs" dxfId="357" priority="516" operator="lessThan">
      <formula>0</formula>
    </cfRule>
  </conditionalFormatting>
  <conditionalFormatting sqref="I22:I29">
    <cfRule type="cellIs" dxfId="356" priority="515" operator="lessThan">
      <formula>0</formula>
    </cfRule>
  </conditionalFormatting>
  <conditionalFormatting sqref="I22:I29">
    <cfRule type="cellIs" dxfId="355" priority="514" operator="lessThan">
      <formula>0</formula>
    </cfRule>
  </conditionalFormatting>
  <conditionalFormatting sqref="I22:I29">
    <cfRule type="cellIs" dxfId="354" priority="513" operator="lessThan">
      <formula>0</formula>
    </cfRule>
  </conditionalFormatting>
  <conditionalFormatting sqref="I22:I29">
    <cfRule type="cellIs" dxfId="353" priority="512" operator="lessThan">
      <formula>0</formula>
    </cfRule>
  </conditionalFormatting>
  <conditionalFormatting sqref="I22:I29">
    <cfRule type="cellIs" dxfId="352" priority="511" operator="lessThan">
      <formula>0</formula>
    </cfRule>
  </conditionalFormatting>
  <conditionalFormatting sqref="I22:I29">
    <cfRule type="cellIs" dxfId="351" priority="510" operator="lessThan">
      <formula>0</formula>
    </cfRule>
  </conditionalFormatting>
  <conditionalFormatting sqref="I22:I29">
    <cfRule type="cellIs" dxfId="350" priority="509" operator="lessThan">
      <formula>0</formula>
    </cfRule>
  </conditionalFormatting>
  <conditionalFormatting sqref="I22:I29">
    <cfRule type="cellIs" dxfId="349" priority="508" operator="lessThan">
      <formula>0</formula>
    </cfRule>
  </conditionalFormatting>
  <conditionalFormatting sqref="I22:I29">
    <cfRule type="cellIs" dxfId="348" priority="507" operator="lessThan">
      <formula>0</formula>
    </cfRule>
  </conditionalFormatting>
  <conditionalFormatting sqref="I22:I29">
    <cfRule type="cellIs" dxfId="347" priority="506" operator="lessThan">
      <formula>0</formula>
    </cfRule>
  </conditionalFormatting>
  <conditionalFormatting sqref="I22:I29">
    <cfRule type="cellIs" dxfId="346" priority="505" operator="lessThan">
      <formula>0</formula>
    </cfRule>
  </conditionalFormatting>
  <conditionalFormatting sqref="I22:I29">
    <cfRule type="cellIs" dxfId="345" priority="504" operator="lessThan">
      <formula>0</formula>
    </cfRule>
  </conditionalFormatting>
  <conditionalFormatting sqref="I22:I29">
    <cfRule type="cellIs" dxfId="344" priority="503" operator="lessThan">
      <formula>0</formula>
    </cfRule>
  </conditionalFormatting>
  <conditionalFormatting sqref="I22:I29">
    <cfRule type="cellIs" dxfId="343" priority="502" operator="lessThan">
      <formula>0</formula>
    </cfRule>
  </conditionalFormatting>
  <conditionalFormatting sqref="I22:I29">
    <cfRule type="cellIs" dxfId="342" priority="501" operator="lessThan">
      <formula>0</formula>
    </cfRule>
  </conditionalFormatting>
  <conditionalFormatting sqref="I22:I29">
    <cfRule type="cellIs" dxfId="341" priority="500" operator="lessThan">
      <formula>0</formula>
    </cfRule>
  </conditionalFormatting>
  <conditionalFormatting sqref="I22:I29">
    <cfRule type="cellIs" dxfId="340" priority="499" operator="lessThan">
      <formula>0</formula>
    </cfRule>
  </conditionalFormatting>
  <conditionalFormatting sqref="I22:I29">
    <cfRule type="cellIs" dxfId="339" priority="498" operator="lessThan">
      <formula>0</formula>
    </cfRule>
  </conditionalFormatting>
  <conditionalFormatting sqref="I22:I29">
    <cfRule type="cellIs" dxfId="338" priority="497" operator="lessThan">
      <formula>0</formula>
    </cfRule>
  </conditionalFormatting>
  <conditionalFormatting sqref="I22:I29">
    <cfRule type="cellIs" dxfId="337" priority="496" operator="lessThan">
      <formula>0</formula>
    </cfRule>
  </conditionalFormatting>
  <conditionalFormatting sqref="I22:I29">
    <cfRule type="cellIs" dxfId="336" priority="495" operator="lessThan">
      <formula>0</formula>
    </cfRule>
  </conditionalFormatting>
  <conditionalFormatting sqref="I22:I29">
    <cfRule type="cellIs" dxfId="335" priority="494" operator="lessThan">
      <formula>0</formula>
    </cfRule>
  </conditionalFormatting>
  <conditionalFormatting sqref="I22:I29">
    <cfRule type="cellIs" dxfId="334" priority="493" operator="lessThan">
      <formula>0</formula>
    </cfRule>
  </conditionalFormatting>
  <conditionalFormatting sqref="I22:I29">
    <cfRule type="cellIs" dxfId="333" priority="492" operator="lessThan">
      <formula>0</formula>
    </cfRule>
  </conditionalFormatting>
  <conditionalFormatting sqref="I22:I29">
    <cfRule type="cellIs" dxfId="332" priority="491" operator="lessThan">
      <formula>0</formula>
    </cfRule>
  </conditionalFormatting>
  <conditionalFormatting sqref="I22:I29">
    <cfRule type="cellIs" dxfId="331" priority="490" operator="lessThan">
      <formula>0</formula>
    </cfRule>
  </conditionalFormatting>
  <conditionalFormatting sqref="I22:I29">
    <cfRule type="cellIs" dxfId="330" priority="489" operator="lessThan">
      <formula>0</formula>
    </cfRule>
  </conditionalFormatting>
  <conditionalFormatting sqref="I22:I29">
    <cfRule type="cellIs" dxfId="329" priority="488" operator="lessThan">
      <formula>0</formula>
    </cfRule>
  </conditionalFormatting>
  <conditionalFormatting sqref="I22:I29">
    <cfRule type="cellIs" dxfId="328" priority="487" operator="lessThan">
      <formula>0</formula>
    </cfRule>
  </conditionalFormatting>
  <conditionalFormatting sqref="I22:I29">
    <cfRule type="cellIs" dxfId="327" priority="486" operator="lessThan">
      <formula>0</formula>
    </cfRule>
  </conditionalFormatting>
  <conditionalFormatting sqref="I22:I29">
    <cfRule type="cellIs" dxfId="326" priority="485" operator="lessThan">
      <formula>0</formula>
    </cfRule>
  </conditionalFormatting>
  <conditionalFormatting sqref="I22:I29">
    <cfRule type="cellIs" dxfId="325" priority="484" operator="lessThan">
      <formula>0</formula>
    </cfRule>
  </conditionalFormatting>
  <conditionalFormatting sqref="I22:I29">
    <cfRule type="cellIs" dxfId="324" priority="483" operator="lessThan">
      <formula>0</formula>
    </cfRule>
  </conditionalFormatting>
  <conditionalFormatting sqref="I22:I29">
    <cfRule type="cellIs" dxfId="323" priority="482" operator="lessThan">
      <formula>0</formula>
    </cfRule>
  </conditionalFormatting>
  <conditionalFormatting sqref="I22:I29">
    <cfRule type="cellIs" dxfId="322" priority="481" operator="lessThan">
      <formula>0</formula>
    </cfRule>
  </conditionalFormatting>
  <conditionalFormatting sqref="I22:I29">
    <cfRule type="cellIs" dxfId="321" priority="480" operator="lessThan">
      <formula>0</formula>
    </cfRule>
  </conditionalFormatting>
  <conditionalFormatting sqref="I22:I29">
    <cfRule type="cellIs" dxfId="320" priority="479" operator="lessThan">
      <formula>0</formula>
    </cfRule>
  </conditionalFormatting>
  <conditionalFormatting sqref="I22:I29">
    <cfRule type="cellIs" dxfId="319" priority="478" operator="lessThan">
      <formula>0</formula>
    </cfRule>
  </conditionalFormatting>
  <conditionalFormatting sqref="I22:I29">
    <cfRule type="cellIs" dxfId="318" priority="477" operator="lessThan">
      <formula>0</formula>
    </cfRule>
  </conditionalFormatting>
  <conditionalFormatting sqref="I22:I29">
    <cfRule type="cellIs" dxfId="317" priority="476" operator="lessThan">
      <formula>0</formula>
    </cfRule>
  </conditionalFormatting>
  <conditionalFormatting sqref="I22:I29">
    <cfRule type="cellIs" dxfId="316" priority="475" operator="lessThan">
      <formula>0</formula>
    </cfRule>
  </conditionalFormatting>
  <conditionalFormatting sqref="I22:I29">
    <cfRule type="cellIs" dxfId="315" priority="474" operator="lessThan">
      <formula>0</formula>
    </cfRule>
  </conditionalFormatting>
  <conditionalFormatting sqref="I22:I29">
    <cfRule type="cellIs" dxfId="314" priority="473" operator="lessThan">
      <formula>0</formula>
    </cfRule>
  </conditionalFormatting>
  <conditionalFormatting sqref="I22:I29">
    <cfRule type="cellIs" dxfId="313" priority="472" operator="lessThan">
      <formula>0</formula>
    </cfRule>
  </conditionalFormatting>
  <conditionalFormatting sqref="I22:I29">
    <cfRule type="cellIs" dxfId="312" priority="471" operator="lessThan">
      <formula>0</formula>
    </cfRule>
  </conditionalFormatting>
  <conditionalFormatting sqref="I22:I29">
    <cfRule type="cellIs" dxfId="311" priority="470" operator="lessThan">
      <formula>0</formula>
    </cfRule>
  </conditionalFormatting>
  <conditionalFormatting sqref="I22:I29">
    <cfRule type="cellIs" dxfId="310" priority="469" operator="lessThan">
      <formula>0</formula>
    </cfRule>
  </conditionalFormatting>
  <conditionalFormatting sqref="I22:I29">
    <cfRule type="cellIs" dxfId="309" priority="468" operator="lessThan">
      <formula>0</formula>
    </cfRule>
  </conditionalFormatting>
  <conditionalFormatting sqref="I22:I29">
    <cfRule type="cellIs" dxfId="308" priority="467" operator="lessThan">
      <formula>0</formula>
    </cfRule>
  </conditionalFormatting>
  <conditionalFormatting sqref="I22:I29">
    <cfRule type="cellIs" dxfId="307" priority="466" operator="lessThan">
      <formula>0</formula>
    </cfRule>
  </conditionalFormatting>
  <conditionalFormatting sqref="I22:I29">
    <cfRule type="cellIs" dxfId="306" priority="465" operator="lessThan">
      <formula>0</formula>
    </cfRule>
  </conditionalFormatting>
  <conditionalFormatting sqref="I22:I29">
    <cfRule type="cellIs" dxfId="305" priority="464" operator="lessThan">
      <formula>0</formula>
    </cfRule>
  </conditionalFormatting>
  <conditionalFormatting sqref="I22:I29">
    <cfRule type="cellIs" dxfId="304" priority="463" operator="lessThan">
      <formula>0</formula>
    </cfRule>
  </conditionalFormatting>
  <conditionalFormatting sqref="I22:I29">
    <cfRule type="cellIs" dxfId="303" priority="462" operator="lessThan">
      <formula>0</formula>
    </cfRule>
  </conditionalFormatting>
  <conditionalFormatting sqref="I22:I29">
    <cfRule type="cellIs" dxfId="302" priority="461" operator="lessThan">
      <formula>0</formula>
    </cfRule>
  </conditionalFormatting>
  <conditionalFormatting sqref="I22:I29">
    <cfRule type="cellIs" dxfId="301" priority="460" operator="lessThan">
      <formula>0</formula>
    </cfRule>
  </conditionalFormatting>
  <conditionalFormatting sqref="I22:I29">
    <cfRule type="cellIs" dxfId="300" priority="459" operator="lessThan">
      <formula>0</formula>
    </cfRule>
  </conditionalFormatting>
  <conditionalFormatting sqref="I22:I29">
    <cfRule type="cellIs" dxfId="299" priority="458" operator="lessThan">
      <formula>0</formula>
    </cfRule>
  </conditionalFormatting>
  <conditionalFormatting sqref="I22:I29">
    <cfRule type="cellIs" dxfId="298" priority="457" operator="lessThan">
      <formula>0</formula>
    </cfRule>
  </conditionalFormatting>
  <conditionalFormatting sqref="I22:I29">
    <cfRule type="cellIs" dxfId="297" priority="456" operator="lessThan">
      <formula>0</formula>
    </cfRule>
  </conditionalFormatting>
  <conditionalFormatting sqref="I22:I29">
    <cfRule type="cellIs" dxfId="296" priority="455" operator="lessThan">
      <formula>0</formula>
    </cfRule>
  </conditionalFormatting>
  <conditionalFormatting sqref="I22:I29">
    <cfRule type="cellIs" dxfId="295" priority="454" operator="lessThan">
      <formula>0</formula>
    </cfRule>
  </conditionalFormatting>
  <conditionalFormatting sqref="I22:I29">
    <cfRule type="cellIs" dxfId="294" priority="453" operator="lessThan">
      <formula>0</formula>
    </cfRule>
  </conditionalFormatting>
  <conditionalFormatting sqref="I22:I29">
    <cfRule type="cellIs" dxfId="293" priority="452" operator="lessThan">
      <formula>0</formula>
    </cfRule>
  </conditionalFormatting>
  <conditionalFormatting sqref="I22:I29">
    <cfRule type="cellIs" dxfId="292" priority="451" operator="lessThan">
      <formula>0</formula>
    </cfRule>
  </conditionalFormatting>
  <conditionalFormatting sqref="I22:I29">
    <cfRule type="cellIs" dxfId="291" priority="450" operator="lessThan">
      <formula>0</formula>
    </cfRule>
  </conditionalFormatting>
  <conditionalFormatting sqref="I22:I29">
    <cfRule type="cellIs" dxfId="290" priority="449" operator="lessThan">
      <formula>0</formula>
    </cfRule>
  </conditionalFormatting>
  <conditionalFormatting sqref="I22:I29">
    <cfRule type="cellIs" dxfId="289" priority="448" operator="lessThan">
      <formula>0</formula>
    </cfRule>
  </conditionalFormatting>
  <conditionalFormatting sqref="I22:I29">
    <cfRule type="cellIs" dxfId="288" priority="447" operator="lessThan">
      <formula>0</formula>
    </cfRule>
  </conditionalFormatting>
  <conditionalFormatting sqref="I22:I29">
    <cfRule type="cellIs" dxfId="287" priority="446" operator="lessThan">
      <formula>0</formula>
    </cfRule>
  </conditionalFormatting>
  <conditionalFormatting sqref="I22:I29">
    <cfRule type="cellIs" dxfId="286" priority="445" operator="lessThan">
      <formula>0</formula>
    </cfRule>
  </conditionalFormatting>
  <conditionalFormatting sqref="I22:I29">
    <cfRule type="cellIs" dxfId="285" priority="444" operator="lessThan">
      <formula>0</formula>
    </cfRule>
  </conditionalFormatting>
  <conditionalFormatting sqref="I22:I29">
    <cfRule type="cellIs" dxfId="284" priority="443" operator="lessThan">
      <formula>0</formula>
    </cfRule>
  </conditionalFormatting>
  <conditionalFormatting sqref="I22:I29">
    <cfRule type="cellIs" dxfId="283" priority="442" operator="lessThan">
      <formula>0</formula>
    </cfRule>
  </conditionalFormatting>
  <conditionalFormatting sqref="I22:I29">
    <cfRule type="cellIs" dxfId="282" priority="441" operator="lessThan">
      <formula>0</formula>
    </cfRule>
  </conditionalFormatting>
  <conditionalFormatting sqref="I22:I29">
    <cfRule type="cellIs" dxfId="281" priority="440" operator="lessThan">
      <formula>0</formula>
    </cfRule>
  </conditionalFormatting>
  <conditionalFormatting sqref="I22:I29">
    <cfRule type="cellIs" dxfId="280" priority="439" operator="lessThan">
      <formula>0</formula>
    </cfRule>
  </conditionalFormatting>
  <conditionalFormatting sqref="I22:I29">
    <cfRule type="cellIs" dxfId="279" priority="438" operator="lessThan">
      <formula>0</formula>
    </cfRule>
  </conditionalFormatting>
  <conditionalFormatting sqref="I22:I29">
    <cfRule type="cellIs" dxfId="278" priority="437" operator="lessThan">
      <formula>0</formula>
    </cfRule>
  </conditionalFormatting>
  <conditionalFormatting sqref="I22:I29">
    <cfRule type="cellIs" dxfId="277" priority="436" operator="lessThan">
      <formula>0</formula>
    </cfRule>
  </conditionalFormatting>
  <conditionalFormatting sqref="I22:I29">
    <cfRule type="cellIs" dxfId="276" priority="435" operator="lessThan">
      <formula>0</formula>
    </cfRule>
  </conditionalFormatting>
  <conditionalFormatting sqref="I22:I29">
    <cfRule type="cellIs" dxfId="275" priority="434" operator="lessThan">
      <formula>0</formula>
    </cfRule>
  </conditionalFormatting>
  <conditionalFormatting sqref="I22:I29">
    <cfRule type="cellIs" dxfId="274" priority="433" operator="lessThan">
      <formula>0</formula>
    </cfRule>
  </conditionalFormatting>
  <conditionalFormatting sqref="I22:I29">
    <cfRule type="cellIs" dxfId="273" priority="432" operator="lessThan">
      <formula>0</formula>
    </cfRule>
  </conditionalFormatting>
  <conditionalFormatting sqref="I22:I29">
    <cfRule type="cellIs" dxfId="272" priority="431" operator="lessThan">
      <formula>0</formula>
    </cfRule>
  </conditionalFormatting>
  <conditionalFormatting sqref="I22:I29">
    <cfRule type="cellIs" dxfId="271" priority="430" operator="lessThan">
      <formula>0</formula>
    </cfRule>
  </conditionalFormatting>
  <conditionalFormatting sqref="I22:I29">
    <cfRule type="cellIs" dxfId="270" priority="429" operator="lessThan">
      <formula>0</formula>
    </cfRule>
  </conditionalFormatting>
  <conditionalFormatting sqref="I22:I29">
    <cfRule type="cellIs" dxfId="269" priority="428" operator="lessThan">
      <formula>0</formula>
    </cfRule>
  </conditionalFormatting>
  <conditionalFormatting sqref="I22:I29">
    <cfRule type="cellIs" dxfId="268" priority="427" operator="lessThan">
      <formula>0</formula>
    </cfRule>
  </conditionalFormatting>
  <conditionalFormatting sqref="I22:I29">
    <cfRule type="cellIs" dxfId="267" priority="426" operator="lessThan">
      <formula>0</formula>
    </cfRule>
  </conditionalFormatting>
  <conditionalFormatting sqref="I22:I29">
    <cfRule type="cellIs" dxfId="266" priority="425" operator="lessThan">
      <formula>0</formula>
    </cfRule>
  </conditionalFormatting>
  <conditionalFormatting sqref="I22:I29">
    <cfRule type="cellIs" dxfId="265" priority="424" operator="lessThan">
      <formula>0</formula>
    </cfRule>
  </conditionalFormatting>
  <conditionalFormatting sqref="I22:I29">
    <cfRule type="cellIs" dxfId="264" priority="423" operator="lessThan">
      <formula>0</formula>
    </cfRule>
  </conditionalFormatting>
  <conditionalFormatting sqref="I22:I29">
    <cfRule type="cellIs" dxfId="263" priority="422" operator="lessThan">
      <formula>0</formula>
    </cfRule>
  </conditionalFormatting>
  <conditionalFormatting sqref="I22:I29">
    <cfRule type="cellIs" dxfId="262" priority="421" operator="lessThan">
      <formula>0</formula>
    </cfRule>
  </conditionalFormatting>
  <conditionalFormatting sqref="I22:I29">
    <cfRule type="cellIs" dxfId="261" priority="420" operator="lessThan">
      <formula>0</formula>
    </cfRule>
  </conditionalFormatting>
  <conditionalFormatting sqref="I22:I29">
    <cfRule type="cellIs" dxfId="260" priority="419" operator="lessThan">
      <formula>0</formula>
    </cfRule>
  </conditionalFormatting>
  <conditionalFormatting sqref="I22:I29">
    <cfRule type="cellIs" dxfId="259" priority="418" operator="lessThan">
      <formula>0</formula>
    </cfRule>
  </conditionalFormatting>
  <conditionalFormatting sqref="I22:I29">
    <cfRule type="cellIs" dxfId="258" priority="417" operator="lessThan">
      <formula>0</formula>
    </cfRule>
  </conditionalFormatting>
  <conditionalFormatting sqref="I22:I29">
    <cfRule type="cellIs" dxfId="257" priority="416" operator="lessThan">
      <formula>0</formula>
    </cfRule>
  </conditionalFormatting>
  <conditionalFormatting sqref="I22:I29">
    <cfRule type="cellIs" dxfId="256" priority="415" operator="lessThan">
      <formula>0</formula>
    </cfRule>
  </conditionalFormatting>
  <conditionalFormatting sqref="I22:I29">
    <cfRule type="cellIs" dxfId="255" priority="414" operator="lessThan">
      <formula>0</formula>
    </cfRule>
  </conditionalFormatting>
  <conditionalFormatting sqref="I22:I29">
    <cfRule type="cellIs" dxfId="254" priority="413" operator="lessThan">
      <formula>0</formula>
    </cfRule>
  </conditionalFormatting>
  <conditionalFormatting sqref="I22:I29">
    <cfRule type="cellIs" dxfId="253" priority="412" operator="lessThan">
      <formula>0</formula>
    </cfRule>
  </conditionalFormatting>
  <conditionalFormatting sqref="I22:I29">
    <cfRule type="cellIs" dxfId="252" priority="411" operator="lessThan">
      <formula>0</formula>
    </cfRule>
  </conditionalFormatting>
  <conditionalFormatting sqref="I22:I29">
    <cfRule type="cellIs" dxfId="251" priority="410" operator="lessThan">
      <formula>0</formula>
    </cfRule>
  </conditionalFormatting>
  <conditionalFormatting sqref="I22:I29">
    <cfRule type="cellIs" dxfId="250" priority="409" operator="lessThan">
      <formula>0</formula>
    </cfRule>
  </conditionalFormatting>
  <conditionalFormatting sqref="I22:I29">
    <cfRule type="cellIs" dxfId="249" priority="408" operator="lessThan">
      <formula>0</formula>
    </cfRule>
  </conditionalFormatting>
  <conditionalFormatting sqref="I22:I29">
    <cfRule type="cellIs" dxfId="248" priority="407" operator="lessThan">
      <formula>0</formula>
    </cfRule>
  </conditionalFormatting>
  <conditionalFormatting sqref="I22:I29">
    <cfRule type="cellIs" dxfId="247" priority="406" operator="lessThan">
      <formula>0</formula>
    </cfRule>
  </conditionalFormatting>
  <conditionalFormatting sqref="I22:I29">
    <cfRule type="cellIs" dxfId="246" priority="405" operator="lessThan">
      <formula>0</formula>
    </cfRule>
  </conditionalFormatting>
  <conditionalFormatting sqref="I22:I29">
    <cfRule type="cellIs" dxfId="245" priority="404" operator="lessThan">
      <formula>0</formula>
    </cfRule>
  </conditionalFormatting>
  <conditionalFormatting sqref="I22:I29">
    <cfRule type="cellIs" dxfId="244" priority="403" operator="lessThan">
      <formula>0</formula>
    </cfRule>
  </conditionalFormatting>
  <conditionalFormatting sqref="I22:I29">
    <cfRule type="cellIs" dxfId="243" priority="402" operator="lessThan">
      <formula>0</formula>
    </cfRule>
  </conditionalFormatting>
  <conditionalFormatting sqref="I22:I29">
    <cfRule type="cellIs" dxfId="242" priority="401" operator="lessThan">
      <formula>0</formula>
    </cfRule>
  </conditionalFormatting>
  <conditionalFormatting sqref="I22:I29">
    <cfRule type="cellIs" dxfId="241" priority="400" operator="lessThan">
      <formula>0</formula>
    </cfRule>
  </conditionalFormatting>
  <conditionalFormatting sqref="I22:I29">
    <cfRule type="cellIs" dxfId="240" priority="399" operator="lessThan">
      <formula>0</formula>
    </cfRule>
  </conditionalFormatting>
  <conditionalFormatting sqref="I22:I29">
    <cfRule type="cellIs" dxfId="239" priority="398" operator="lessThan">
      <formula>0</formula>
    </cfRule>
  </conditionalFormatting>
  <conditionalFormatting sqref="I22:I29">
    <cfRule type="cellIs" dxfId="238" priority="397" operator="lessThan">
      <formula>0</formula>
    </cfRule>
  </conditionalFormatting>
  <conditionalFormatting sqref="I22:I29">
    <cfRule type="cellIs" dxfId="237" priority="396" operator="lessThan">
      <formula>0</formula>
    </cfRule>
  </conditionalFormatting>
  <conditionalFormatting sqref="I22:I29">
    <cfRule type="cellIs" dxfId="236" priority="395" operator="lessThan">
      <formula>0</formula>
    </cfRule>
  </conditionalFormatting>
  <conditionalFormatting sqref="I22:I29">
    <cfRule type="cellIs" dxfId="235" priority="394" operator="lessThan">
      <formula>0</formula>
    </cfRule>
  </conditionalFormatting>
  <conditionalFormatting sqref="I22:I29">
    <cfRule type="cellIs" dxfId="234" priority="393" operator="lessThan">
      <formula>0</formula>
    </cfRule>
  </conditionalFormatting>
  <conditionalFormatting sqref="I22:I29">
    <cfRule type="cellIs" dxfId="233" priority="392" operator="lessThan">
      <formula>0</formula>
    </cfRule>
  </conditionalFormatting>
  <conditionalFormatting sqref="I22:I29">
    <cfRule type="cellIs" dxfId="232" priority="391" operator="lessThan">
      <formula>0</formula>
    </cfRule>
  </conditionalFormatting>
  <conditionalFormatting sqref="I22:I29">
    <cfRule type="cellIs" dxfId="231" priority="390" operator="lessThan">
      <formula>0</formula>
    </cfRule>
  </conditionalFormatting>
  <conditionalFormatting sqref="I22:I29">
    <cfRule type="cellIs" dxfId="230" priority="389" operator="lessThan">
      <formula>0</formula>
    </cfRule>
  </conditionalFormatting>
  <conditionalFormatting sqref="I22:I29">
    <cfRule type="cellIs" dxfId="229" priority="388" operator="lessThan">
      <formula>0</formula>
    </cfRule>
  </conditionalFormatting>
  <conditionalFormatting sqref="I22:I29">
    <cfRule type="cellIs" dxfId="228" priority="387" operator="lessThan">
      <formula>0</formula>
    </cfRule>
  </conditionalFormatting>
  <conditionalFormatting sqref="I22:I29">
    <cfRule type="cellIs" dxfId="227" priority="386" operator="lessThan">
      <formula>0</formula>
    </cfRule>
  </conditionalFormatting>
  <conditionalFormatting sqref="I22:I29">
    <cfRule type="cellIs" dxfId="226" priority="385" operator="lessThan">
      <formula>0</formula>
    </cfRule>
  </conditionalFormatting>
  <conditionalFormatting sqref="I22:I29">
    <cfRule type="cellIs" dxfId="225" priority="384" operator="lessThan">
      <formula>0</formula>
    </cfRule>
  </conditionalFormatting>
  <conditionalFormatting sqref="I22:I29">
    <cfRule type="cellIs" dxfId="224" priority="383" operator="lessThan">
      <formula>0</formula>
    </cfRule>
  </conditionalFormatting>
  <conditionalFormatting sqref="I22:I29">
    <cfRule type="cellIs" dxfId="223" priority="382" operator="lessThan">
      <formula>0</formula>
    </cfRule>
  </conditionalFormatting>
  <conditionalFormatting sqref="I22:I29">
    <cfRule type="cellIs" dxfId="222" priority="381" operator="lessThan">
      <formula>0</formula>
    </cfRule>
  </conditionalFormatting>
  <conditionalFormatting sqref="I22:I29">
    <cfRule type="cellIs" dxfId="221" priority="380" operator="lessThan">
      <formula>0</formula>
    </cfRule>
  </conditionalFormatting>
  <conditionalFormatting sqref="I22:I29">
    <cfRule type="cellIs" dxfId="220" priority="379" operator="lessThan">
      <formula>0</formula>
    </cfRule>
  </conditionalFormatting>
  <conditionalFormatting sqref="I22:I29">
    <cfRule type="cellIs" dxfId="219" priority="378" operator="lessThan">
      <formula>0</formula>
    </cfRule>
  </conditionalFormatting>
  <conditionalFormatting sqref="I22:I29">
    <cfRule type="cellIs" dxfId="218" priority="377" operator="lessThan">
      <formula>0</formula>
    </cfRule>
  </conditionalFormatting>
  <conditionalFormatting sqref="I22:I29">
    <cfRule type="cellIs" dxfId="217" priority="376" operator="lessThan">
      <formula>0</formula>
    </cfRule>
  </conditionalFormatting>
  <conditionalFormatting sqref="I22:I29">
    <cfRule type="cellIs" dxfId="216" priority="375" operator="lessThan">
      <formula>0</formula>
    </cfRule>
  </conditionalFormatting>
  <conditionalFormatting sqref="I22:I29">
    <cfRule type="cellIs" dxfId="215" priority="374" operator="lessThan">
      <formula>0</formula>
    </cfRule>
  </conditionalFormatting>
  <conditionalFormatting sqref="I22:I29">
    <cfRule type="cellIs" dxfId="214" priority="373" operator="lessThan">
      <formula>0</formula>
    </cfRule>
  </conditionalFormatting>
  <conditionalFormatting sqref="I22:I29">
    <cfRule type="cellIs" dxfId="213" priority="372" operator="lessThan">
      <formula>0</formula>
    </cfRule>
  </conditionalFormatting>
  <conditionalFormatting sqref="I22:I29">
    <cfRule type="cellIs" dxfId="212" priority="371" operator="lessThan">
      <formula>0</formula>
    </cfRule>
  </conditionalFormatting>
  <conditionalFormatting sqref="I22:I29">
    <cfRule type="cellIs" dxfId="211" priority="370" operator="lessThan">
      <formula>0</formula>
    </cfRule>
  </conditionalFormatting>
  <conditionalFormatting sqref="I22:I29">
    <cfRule type="cellIs" dxfId="210" priority="369" operator="lessThan">
      <formula>0</formula>
    </cfRule>
  </conditionalFormatting>
  <conditionalFormatting sqref="I22:I29">
    <cfRule type="cellIs" dxfId="209" priority="368" operator="lessThan">
      <formula>0</formula>
    </cfRule>
  </conditionalFormatting>
  <conditionalFormatting sqref="I22:I29">
    <cfRule type="cellIs" dxfId="208" priority="367" operator="lessThan">
      <formula>0</formula>
    </cfRule>
  </conditionalFormatting>
  <conditionalFormatting sqref="I22:I29">
    <cfRule type="cellIs" dxfId="207" priority="366" operator="lessThan">
      <formula>0</formula>
    </cfRule>
  </conditionalFormatting>
  <conditionalFormatting sqref="I22:I29">
    <cfRule type="cellIs" dxfId="206" priority="365" operator="lessThan">
      <formula>0</formula>
    </cfRule>
  </conditionalFormatting>
  <conditionalFormatting sqref="I22:I29">
    <cfRule type="cellIs" dxfId="205" priority="364" operator="lessThan">
      <formula>0</formula>
    </cfRule>
  </conditionalFormatting>
  <conditionalFormatting sqref="I22:I29">
    <cfRule type="cellIs" dxfId="204" priority="363" operator="lessThan">
      <formula>0</formula>
    </cfRule>
  </conditionalFormatting>
  <conditionalFormatting sqref="I22:I29">
    <cfRule type="cellIs" dxfId="203" priority="362" operator="lessThan">
      <formula>0</formula>
    </cfRule>
  </conditionalFormatting>
  <conditionalFormatting sqref="I22:I29">
    <cfRule type="cellIs" dxfId="202" priority="361" operator="lessThan">
      <formula>0</formula>
    </cfRule>
  </conditionalFormatting>
  <conditionalFormatting sqref="I22:I29">
    <cfRule type="cellIs" dxfId="201" priority="360" operator="lessThan">
      <formula>0</formula>
    </cfRule>
  </conditionalFormatting>
  <conditionalFormatting sqref="I22:I29">
    <cfRule type="cellIs" dxfId="200" priority="359" operator="lessThan">
      <formula>0</formula>
    </cfRule>
  </conditionalFormatting>
  <conditionalFormatting sqref="I22:I29">
    <cfRule type="cellIs" dxfId="199" priority="358" operator="lessThan">
      <formula>0</formula>
    </cfRule>
  </conditionalFormatting>
  <conditionalFormatting sqref="I22:I29">
    <cfRule type="cellIs" dxfId="198" priority="357" operator="lessThan">
      <formula>0</formula>
    </cfRule>
  </conditionalFormatting>
  <conditionalFormatting sqref="I22:I29">
    <cfRule type="cellIs" dxfId="197" priority="356" operator="lessThan">
      <formula>0</formula>
    </cfRule>
  </conditionalFormatting>
  <conditionalFormatting sqref="I22:I29">
    <cfRule type="cellIs" dxfId="196" priority="355" operator="lessThan">
      <formula>0</formula>
    </cfRule>
  </conditionalFormatting>
  <conditionalFormatting sqref="I22:I29">
    <cfRule type="cellIs" dxfId="195" priority="354" operator="lessThan">
      <formula>0</formula>
    </cfRule>
  </conditionalFormatting>
  <conditionalFormatting sqref="I22:I29">
    <cfRule type="cellIs" dxfId="194" priority="353" operator="lessThan">
      <formula>0</formula>
    </cfRule>
  </conditionalFormatting>
  <conditionalFormatting sqref="I22:I29">
    <cfRule type="cellIs" dxfId="193" priority="352" operator="lessThan">
      <formula>0</formula>
    </cfRule>
  </conditionalFormatting>
  <conditionalFormatting sqref="I22:I29">
    <cfRule type="cellIs" dxfId="192" priority="351" operator="lessThan">
      <formula>0</formula>
    </cfRule>
  </conditionalFormatting>
  <conditionalFormatting sqref="I22:I29">
    <cfRule type="cellIs" dxfId="191" priority="350" operator="lessThan">
      <formula>0</formula>
    </cfRule>
  </conditionalFormatting>
  <conditionalFormatting sqref="I22:I29">
    <cfRule type="cellIs" dxfId="190" priority="349" operator="lessThan">
      <formula>0</formula>
    </cfRule>
  </conditionalFormatting>
  <conditionalFormatting sqref="I22:I29">
    <cfRule type="cellIs" dxfId="189" priority="348" operator="lessThan">
      <formula>0</formula>
    </cfRule>
  </conditionalFormatting>
  <conditionalFormatting sqref="I22:I29">
    <cfRule type="cellIs" dxfId="188" priority="347" operator="lessThan">
      <formula>0</formula>
    </cfRule>
  </conditionalFormatting>
  <conditionalFormatting sqref="I22:I29">
    <cfRule type="cellIs" dxfId="187" priority="346" operator="lessThan">
      <formula>0</formula>
    </cfRule>
  </conditionalFormatting>
  <conditionalFormatting sqref="I22:I29">
    <cfRule type="cellIs" dxfId="186" priority="345" operator="lessThan">
      <formula>0</formula>
    </cfRule>
  </conditionalFormatting>
  <conditionalFormatting sqref="I22:I29">
    <cfRule type="cellIs" dxfId="185" priority="344" operator="lessThan">
      <formula>0</formula>
    </cfRule>
  </conditionalFormatting>
  <conditionalFormatting sqref="I22:I29">
    <cfRule type="cellIs" dxfId="184" priority="343" operator="lessThan">
      <formula>0</formula>
    </cfRule>
  </conditionalFormatting>
  <conditionalFormatting sqref="I22:I29">
    <cfRule type="cellIs" dxfId="183" priority="342" operator="lessThan">
      <formula>0</formula>
    </cfRule>
  </conditionalFormatting>
  <conditionalFormatting sqref="I22:I29">
    <cfRule type="cellIs" dxfId="182" priority="341" operator="lessThan">
      <formula>0</formula>
    </cfRule>
  </conditionalFormatting>
  <conditionalFormatting sqref="I22:I29">
    <cfRule type="cellIs" dxfId="181" priority="340" operator="lessThan">
      <formula>0</formula>
    </cfRule>
  </conditionalFormatting>
  <conditionalFormatting sqref="I22:I29">
    <cfRule type="cellIs" dxfId="180" priority="339" operator="lessThan">
      <formula>0</formula>
    </cfRule>
  </conditionalFormatting>
  <conditionalFormatting sqref="I22:I29">
    <cfRule type="cellIs" dxfId="179" priority="338" operator="lessThan">
      <formula>0</formula>
    </cfRule>
  </conditionalFormatting>
  <conditionalFormatting sqref="I22:I29">
    <cfRule type="cellIs" dxfId="178" priority="337" operator="lessThan">
      <formula>0</formula>
    </cfRule>
  </conditionalFormatting>
  <conditionalFormatting sqref="I22:I29">
    <cfRule type="cellIs" dxfId="177" priority="336" operator="lessThan">
      <formula>0</formula>
    </cfRule>
  </conditionalFormatting>
  <conditionalFormatting sqref="I22:I29">
    <cfRule type="cellIs" dxfId="176" priority="335" operator="lessThan">
      <formula>0</formula>
    </cfRule>
  </conditionalFormatting>
  <conditionalFormatting sqref="I22:I29">
    <cfRule type="cellIs" dxfId="175" priority="334" operator="lessThan">
      <formula>0</formula>
    </cfRule>
  </conditionalFormatting>
  <conditionalFormatting sqref="I22:I29">
    <cfRule type="cellIs" dxfId="174" priority="333" operator="lessThan">
      <formula>0</formula>
    </cfRule>
  </conditionalFormatting>
  <conditionalFormatting sqref="I22:I29">
    <cfRule type="cellIs" dxfId="173" priority="332" operator="lessThan">
      <formula>0</formula>
    </cfRule>
  </conditionalFormatting>
  <conditionalFormatting sqref="I22:I29">
    <cfRule type="cellIs" dxfId="172" priority="331" operator="lessThan">
      <formula>0</formula>
    </cfRule>
  </conditionalFormatting>
  <conditionalFormatting sqref="I22:I29">
    <cfRule type="cellIs" dxfId="171" priority="330" operator="lessThan">
      <formula>0</formula>
    </cfRule>
  </conditionalFormatting>
  <conditionalFormatting sqref="I22:I29">
    <cfRule type="cellIs" dxfId="170" priority="329" operator="lessThan">
      <formula>0</formula>
    </cfRule>
  </conditionalFormatting>
  <conditionalFormatting sqref="I22:I29">
    <cfRule type="cellIs" dxfId="169" priority="328" operator="lessThan">
      <formula>0</formula>
    </cfRule>
  </conditionalFormatting>
  <conditionalFormatting sqref="I22:I29">
    <cfRule type="cellIs" dxfId="168" priority="327" operator="lessThan">
      <formula>0</formula>
    </cfRule>
  </conditionalFormatting>
  <conditionalFormatting sqref="I22:I29">
    <cfRule type="cellIs" dxfId="167" priority="326" operator="lessThan">
      <formula>0</formula>
    </cfRule>
  </conditionalFormatting>
  <conditionalFormatting sqref="I22:I29">
    <cfRule type="cellIs" dxfId="166" priority="325" operator="lessThan">
      <formula>0</formula>
    </cfRule>
  </conditionalFormatting>
  <conditionalFormatting sqref="I22:I29">
    <cfRule type="cellIs" dxfId="165" priority="324" operator="lessThan">
      <formula>0</formula>
    </cfRule>
  </conditionalFormatting>
  <conditionalFormatting sqref="I22:I29">
    <cfRule type="cellIs" dxfId="164" priority="323" operator="lessThan">
      <formula>0</formula>
    </cfRule>
  </conditionalFormatting>
  <conditionalFormatting sqref="I22:I29">
    <cfRule type="cellIs" dxfId="163" priority="322" operator="lessThan">
      <formula>0</formula>
    </cfRule>
  </conditionalFormatting>
  <conditionalFormatting sqref="I22:I29">
    <cfRule type="cellIs" dxfId="162" priority="321" operator="lessThan">
      <formula>0</formula>
    </cfRule>
  </conditionalFormatting>
  <conditionalFormatting sqref="I22:I29">
    <cfRule type="cellIs" dxfId="161" priority="320" operator="lessThan">
      <formula>0</formula>
    </cfRule>
  </conditionalFormatting>
  <conditionalFormatting sqref="I22:I29">
    <cfRule type="cellIs" dxfId="160" priority="319" operator="lessThan">
      <formula>0</formula>
    </cfRule>
  </conditionalFormatting>
  <conditionalFormatting sqref="I22:I29">
    <cfRule type="cellIs" dxfId="159" priority="318" operator="lessThan">
      <formula>0</formula>
    </cfRule>
  </conditionalFormatting>
  <conditionalFormatting sqref="I22:I29">
    <cfRule type="cellIs" dxfId="158" priority="317" operator="lessThan">
      <formula>0</formula>
    </cfRule>
  </conditionalFormatting>
  <conditionalFormatting sqref="I22:I29">
    <cfRule type="cellIs" dxfId="157" priority="316" operator="lessThan">
      <formula>0</formula>
    </cfRule>
  </conditionalFormatting>
  <conditionalFormatting sqref="I22:I29">
    <cfRule type="cellIs" dxfId="156" priority="315" operator="lessThan">
      <formula>0</formula>
    </cfRule>
  </conditionalFormatting>
  <conditionalFormatting sqref="I22:I29">
    <cfRule type="cellIs" dxfId="155" priority="314" operator="lessThan">
      <formula>0</formula>
    </cfRule>
  </conditionalFormatting>
  <conditionalFormatting sqref="I22:I29">
    <cfRule type="cellIs" dxfId="154" priority="313" operator="lessThan">
      <formula>0</formula>
    </cfRule>
  </conditionalFormatting>
  <conditionalFormatting sqref="I22:I29">
    <cfRule type="cellIs" dxfId="153" priority="312" operator="lessThan">
      <formula>0</formula>
    </cfRule>
  </conditionalFormatting>
  <conditionalFormatting sqref="I22:I29">
    <cfRule type="cellIs" dxfId="152" priority="311" operator="lessThan">
      <formula>0</formula>
    </cfRule>
  </conditionalFormatting>
  <conditionalFormatting sqref="I22:I29">
    <cfRule type="cellIs" dxfId="151" priority="310" operator="lessThan">
      <formula>0</formula>
    </cfRule>
  </conditionalFormatting>
  <conditionalFormatting sqref="I22:I29">
    <cfRule type="cellIs" dxfId="150" priority="309" operator="lessThan">
      <formula>0</formula>
    </cfRule>
  </conditionalFormatting>
  <conditionalFormatting sqref="I22:I29">
    <cfRule type="cellIs" dxfId="149" priority="308" operator="lessThan">
      <formula>0</formula>
    </cfRule>
  </conditionalFormatting>
  <conditionalFormatting sqref="I22:I29">
    <cfRule type="cellIs" dxfId="148" priority="307" operator="lessThan">
      <formula>0</formula>
    </cfRule>
  </conditionalFormatting>
  <conditionalFormatting sqref="I22:I29">
    <cfRule type="cellIs" dxfId="147" priority="306" operator="lessThan">
      <formula>0</formula>
    </cfRule>
  </conditionalFormatting>
  <conditionalFormatting sqref="I22:I29">
    <cfRule type="cellIs" dxfId="146" priority="305" operator="lessThan">
      <formula>0</formula>
    </cfRule>
  </conditionalFormatting>
  <conditionalFormatting sqref="I22:I29">
    <cfRule type="cellIs" dxfId="145" priority="304" operator="lessThan">
      <formula>0</formula>
    </cfRule>
  </conditionalFormatting>
  <conditionalFormatting sqref="I22:I29">
    <cfRule type="cellIs" dxfId="144" priority="303" operator="lessThan">
      <formula>0</formula>
    </cfRule>
  </conditionalFormatting>
  <conditionalFormatting sqref="I22:I29">
    <cfRule type="cellIs" dxfId="143" priority="302" operator="lessThan">
      <formula>0</formula>
    </cfRule>
  </conditionalFormatting>
  <conditionalFormatting sqref="I22:I29">
    <cfRule type="cellIs" dxfId="142" priority="301" operator="lessThan">
      <formula>0</formula>
    </cfRule>
  </conditionalFormatting>
  <conditionalFormatting sqref="I22:I29">
    <cfRule type="cellIs" dxfId="141" priority="300" operator="lessThan">
      <formula>0</formula>
    </cfRule>
  </conditionalFormatting>
  <conditionalFormatting sqref="I22:I29">
    <cfRule type="cellIs" dxfId="140" priority="299" operator="lessThan">
      <formula>0</formula>
    </cfRule>
  </conditionalFormatting>
  <conditionalFormatting sqref="I22:I29">
    <cfRule type="cellIs" dxfId="139" priority="298" operator="lessThan">
      <formula>0</formula>
    </cfRule>
  </conditionalFormatting>
  <conditionalFormatting sqref="I22:I29">
    <cfRule type="cellIs" dxfId="138" priority="297" operator="lessThan">
      <formula>0</formula>
    </cfRule>
  </conditionalFormatting>
  <conditionalFormatting sqref="I22:I29">
    <cfRule type="cellIs" dxfId="137" priority="296" operator="lessThan">
      <formula>0</formula>
    </cfRule>
  </conditionalFormatting>
  <conditionalFormatting sqref="I22:I29">
    <cfRule type="cellIs" dxfId="136" priority="295" operator="lessThan">
      <formula>0</formula>
    </cfRule>
  </conditionalFormatting>
  <conditionalFormatting sqref="I22:I29">
    <cfRule type="cellIs" dxfId="135" priority="294" operator="lessThan">
      <formula>0</formula>
    </cfRule>
  </conditionalFormatting>
  <conditionalFormatting sqref="I22:I29">
    <cfRule type="cellIs" dxfId="134" priority="293" operator="lessThan">
      <formula>0</formula>
    </cfRule>
  </conditionalFormatting>
  <conditionalFormatting sqref="I22:I29">
    <cfRule type="cellIs" dxfId="133" priority="292" operator="lessThan">
      <formula>0</formula>
    </cfRule>
  </conditionalFormatting>
  <conditionalFormatting sqref="I22:I29">
    <cfRule type="cellIs" dxfId="132" priority="291" operator="lessThan">
      <formula>0</formula>
    </cfRule>
  </conditionalFormatting>
  <conditionalFormatting sqref="I22:I29">
    <cfRule type="cellIs" dxfId="131" priority="290" operator="lessThan">
      <formula>0</formula>
    </cfRule>
  </conditionalFormatting>
  <conditionalFormatting sqref="I22:I29">
    <cfRule type="cellIs" dxfId="130" priority="289" operator="lessThan">
      <formula>0</formula>
    </cfRule>
  </conditionalFormatting>
  <conditionalFormatting sqref="I22:I29">
    <cfRule type="cellIs" dxfId="129" priority="288" operator="lessThan">
      <formula>0</formula>
    </cfRule>
  </conditionalFormatting>
  <conditionalFormatting sqref="I22:I29">
    <cfRule type="cellIs" dxfId="128" priority="287" operator="lessThan">
      <formula>0</formula>
    </cfRule>
  </conditionalFormatting>
  <conditionalFormatting sqref="I22:I29">
    <cfRule type="cellIs" dxfId="127" priority="286" operator="lessThan">
      <formula>0</formula>
    </cfRule>
  </conditionalFormatting>
  <conditionalFormatting sqref="I22:I29">
    <cfRule type="cellIs" dxfId="126" priority="285" operator="lessThan">
      <formula>0</formula>
    </cfRule>
  </conditionalFormatting>
  <conditionalFormatting sqref="I22:I29">
    <cfRule type="cellIs" dxfId="125" priority="284" operator="lessThan">
      <formula>0</formula>
    </cfRule>
  </conditionalFormatting>
  <conditionalFormatting sqref="I22:I29">
    <cfRule type="cellIs" dxfId="124" priority="283" operator="lessThan">
      <formula>0</formula>
    </cfRule>
  </conditionalFormatting>
  <conditionalFormatting sqref="I22:I29">
    <cfRule type="cellIs" dxfId="123" priority="282" operator="lessThan">
      <formula>0</formula>
    </cfRule>
  </conditionalFormatting>
  <conditionalFormatting sqref="I22:I29">
    <cfRule type="cellIs" dxfId="122" priority="281" operator="lessThan">
      <formula>0</formula>
    </cfRule>
  </conditionalFormatting>
  <conditionalFormatting sqref="I22:I29">
    <cfRule type="cellIs" dxfId="121" priority="280" operator="lessThan">
      <formula>0</formula>
    </cfRule>
  </conditionalFormatting>
  <conditionalFormatting sqref="I22:I29">
    <cfRule type="cellIs" dxfId="120" priority="279" operator="lessThan">
      <formula>0</formula>
    </cfRule>
  </conditionalFormatting>
  <conditionalFormatting sqref="I22:I29">
    <cfRule type="cellIs" dxfId="119" priority="278" operator="lessThan">
      <formula>0</formula>
    </cfRule>
  </conditionalFormatting>
  <conditionalFormatting sqref="I22:I29">
    <cfRule type="cellIs" dxfId="118" priority="277" operator="lessThan">
      <formula>0</formula>
    </cfRule>
  </conditionalFormatting>
  <conditionalFormatting sqref="I22:I29">
    <cfRule type="cellIs" dxfId="117" priority="276" operator="lessThan">
      <formula>0</formula>
    </cfRule>
  </conditionalFormatting>
  <conditionalFormatting sqref="I22:I29">
    <cfRule type="cellIs" dxfId="116" priority="275" operator="lessThan">
      <formula>0</formula>
    </cfRule>
  </conditionalFormatting>
  <conditionalFormatting sqref="I22:I29">
    <cfRule type="cellIs" dxfId="115" priority="274" operator="lessThan">
      <formula>0</formula>
    </cfRule>
  </conditionalFormatting>
  <conditionalFormatting sqref="I22:I29">
    <cfRule type="cellIs" dxfId="114" priority="273" operator="lessThan">
      <formula>0</formula>
    </cfRule>
  </conditionalFormatting>
  <conditionalFormatting sqref="I22:I29">
    <cfRule type="cellIs" dxfId="113" priority="272" operator="lessThan">
      <formula>0</formula>
    </cfRule>
  </conditionalFormatting>
  <conditionalFormatting sqref="I22:I29">
    <cfRule type="cellIs" dxfId="112" priority="271" operator="lessThan">
      <formula>0</formula>
    </cfRule>
  </conditionalFormatting>
  <conditionalFormatting sqref="I22:I29">
    <cfRule type="cellIs" dxfId="111" priority="270" operator="lessThan">
      <formula>0</formula>
    </cfRule>
  </conditionalFormatting>
  <conditionalFormatting sqref="I22:I29">
    <cfRule type="cellIs" dxfId="110" priority="269" operator="lessThan">
      <formula>0</formula>
    </cfRule>
  </conditionalFormatting>
  <conditionalFormatting sqref="I22:I29">
    <cfRule type="cellIs" dxfId="109" priority="268" operator="lessThan">
      <formula>0</formula>
    </cfRule>
  </conditionalFormatting>
  <conditionalFormatting sqref="I22:I29">
    <cfRule type="cellIs" dxfId="108" priority="267" operator="lessThan">
      <formula>0</formula>
    </cfRule>
  </conditionalFormatting>
  <conditionalFormatting sqref="I22:I29">
    <cfRule type="cellIs" dxfId="107" priority="266" operator="lessThan">
      <formula>0</formula>
    </cfRule>
  </conditionalFormatting>
  <conditionalFormatting sqref="I22:I29">
    <cfRule type="cellIs" dxfId="106" priority="265" operator="lessThan">
      <formula>0</formula>
    </cfRule>
  </conditionalFormatting>
  <conditionalFormatting sqref="I22:I29">
    <cfRule type="cellIs" dxfId="105" priority="264" operator="lessThan">
      <formula>0</formula>
    </cfRule>
  </conditionalFormatting>
  <conditionalFormatting sqref="I22:I29">
    <cfRule type="cellIs" dxfId="104" priority="263" operator="lessThan">
      <formula>0</formula>
    </cfRule>
  </conditionalFormatting>
  <conditionalFormatting sqref="I22:I29">
    <cfRule type="cellIs" dxfId="103" priority="262" operator="lessThan">
      <formula>0</formula>
    </cfRule>
  </conditionalFormatting>
  <conditionalFormatting sqref="I22:I29">
    <cfRule type="cellIs" dxfId="102" priority="261" operator="lessThan">
      <formula>0</formula>
    </cfRule>
  </conditionalFormatting>
  <conditionalFormatting sqref="I22:I29">
    <cfRule type="cellIs" dxfId="101" priority="260" operator="lessThan">
      <formula>0</formula>
    </cfRule>
  </conditionalFormatting>
  <conditionalFormatting sqref="I22:I29">
    <cfRule type="cellIs" dxfId="100" priority="259" operator="lessThan">
      <formula>0</formula>
    </cfRule>
  </conditionalFormatting>
  <conditionalFormatting sqref="I22:I29">
    <cfRule type="cellIs" dxfId="99" priority="258" operator="lessThan">
      <formula>0</formula>
    </cfRule>
  </conditionalFormatting>
  <conditionalFormatting sqref="I22:I29">
    <cfRule type="cellIs" dxfId="98" priority="257" operator="lessThan">
      <formula>0</formula>
    </cfRule>
  </conditionalFormatting>
  <conditionalFormatting sqref="I22:I29">
    <cfRule type="cellIs" dxfId="97" priority="256" operator="lessThan">
      <formula>0</formula>
    </cfRule>
  </conditionalFormatting>
  <conditionalFormatting sqref="I22:I29">
    <cfRule type="cellIs" dxfId="96" priority="255" operator="lessThan">
      <formula>0</formula>
    </cfRule>
  </conditionalFormatting>
  <conditionalFormatting sqref="I22:I29">
    <cfRule type="cellIs" dxfId="95" priority="254" operator="lessThan">
      <formula>0</formula>
    </cfRule>
  </conditionalFormatting>
  <conditionalFormatting sqref="I22:I29">
    <cfRule type="cellIs" dxfId="94" priority="253" operator="lessThan">
      <formula>0</formula>
    </cfRule>
  </conditionalFormatting>
  <conditionalFormatting sqref="I22:I29">
    <cfRule type="cellIs" dxfId="93" priority="252" operator="lessThan">
      <formula>0</formula>
    </cfRule>
  </conditionalFormatting>
  <conditionalFormatting sqref="I22:I29">
    <cfRule type="cellIs" dxfId="92" priority="251" operator="lessThan">
      <formula>0</formula>
    </cfRule>
  </conditionalFormatting>
  <conditionalFormatting sqref="I22:I29">
    <cfRule type="cellIs" dxfId="91" priority="250" operator="lessThan">
      <formula>0</formula>
    </cfRule>
  </conditionalFormatting>
  <conditionalFormatting sqref="I22:I29">
    <cfRule type="cellIs" dxfId="90" priority="249" operator="lessThan">
      <formula>0</formula>
    </cfRule>
  </conditionalFormatting>
  <conditionalFormatting sqref="I22:I29">
    <cfRule type="cellIs" dxfId="89" priority="248" operator="lessThan">
      <formula>0</formula>
    </cfRule>
  </conditionalFormatting>
  <conditionalFormatting sqref="I22:I29">
    <cfRule type="cellIs" dxfId="88" priority="247" operator="lessThan">
      <formula>0</formula>
    </cfRule>
  </conditionalFormatting>
  <conditionalFormatting sqref="I22:I29">
    <cfRule type="cellIs" dxfId="87" priority="246" operator="lessThan">
      <formula>0</formula>
    </cfRule>
  </conditionalFormatting>
  <conditionalFormatting sqref="I22:I29">
    <cfRule type="cellIs" dxfId="86" priority="245" operator="lessThan">
      <formula>0</formula>
    </cfRule>
  </conditionalFormatting>
  <conditionalFormatting sqref="I22:I29">
    <cfRule type="cellIs" dxfId="85" priority="244" operator="lessThan">
      <formula>0</formula>
    </cfRule>
  </conditionalFormatting>
  <conditionalFormatting sqref="I22:I29">
    <cfRule type="cellIs" dxfId="84" priority="243" operator="lessThan">
      <formula>0</formula>
    </cfRule>
  </conditionalFormatting>
  <conditionalFormatting sqref="I22:I29">
    <cfRule type="cellIs" dxfId="83" priority="242" operator="lessThan">
      <formula>0</formula>
    </cfRule>
  </conditionalFormatting>
  <conditionalFormatting sqref="I22:I29">
    <cfRule type="cellIs" dxfId="82" priority="241" operator="lessThan">
      <formula>0</formula>
    </cfRule>
  </conditionalFormatting>
  <conditionalFormatting sqref="I22:I29">
    <cfRule type="cellIs" dxfId="81" priority="240" operator="lessThan">
      <formula>0</formula>
    </cfRule>
  </conditionalFormatting>
  <conditionalFormatting sqref="I22:I29">
    <cfRule type="cellIs" dxfId="80" priority="239" operator="lessThan">
      <formula>0</formula>
    </cfRule>
  </conditionalFormatting>
  <conditionalFormatting sqref="I22:I29">
    <cfRule type="cellIs" dxfId="79" priority="238" operator="lessThan">
      <formula>0</formula>
    </cfRule>
  </conditionalFormatting>
  <conditionalFormatting sqref="I22:I29">
    <cfRule type="cellIs" dxfId="78" priority="237" operator="lessThan">
      <formula>0</formula>
    </cfRule>
  </conditionalFormatting>
  <conditionalFormatting sqref="I22:I29">
    <cfRule type="cellIs" dxfId="77" priority="236" operator="lessThan">
      <formula>0</formula>
    </cfRule>
  </conditionalFormatting>
  <conditionalFormatting sqref="I22:I29">
    <cfRule type="cellIs" dxfId="76" priority="235" operator="lessThan">
      <formula>0</formula>
    </cfRule>
  </conditionalFormatting>
  <conditionalFormatting sqref="I22:I29">
    <cfRule type="cellIs" dxfId="75" priority="234" operator="lessThan">
      <formula>0</formula>
    </cfRule>
  </conditionalFormatting>
  <conditionalFormatting sqref="I22:I29">
    <cfRule type="cellIs" dxfId="74" priority="233" operator="lessThan">
      <formula>0</formula>
    </cfRule>
  </conditionalFormatting>
  <conditionalFormatting sqref="I22:I29">
    <cfRule type="cellIs" dxfId="73" priority="232" operator="lessThan">
      <formula>0</formula>
    </cfRule>
  </conditionalFormatting>
  <conditionalFormatting sqref="I22:I29">
    <cfRule type="cellIs" dxfId="72" priority="231" operator="lessThan">
      <formula>0</formula>
    </cfRule>
  </conditionalFormatting>
  <conditionalFormatting sqref="I22:I29">
    <cfRule type="cellIs" dxfId="71" priority="230" operator="lessThan">
      <formula>0</formula>
    </cfRule>
  </conditionalFormatting>
  <conditionalFormatting sqref="I22:I29">
    <cfRule type="cellIs" dxfId="70" priority="229" operator="lessThan">
      <formula>0</formula>
    </cfRule>
  </conditionalFormatting>
  <conditionalFormatting sqref="I22:I29">
    <cfRule type="cellIs" dxfId="69" priority="228" operator="lessThan">
      <formula>0</formula>
    </cfRule>
  </conditionalFormatting>
  <conditionalFormatting sqref="I22:I29">
    <cfRule type="cellIs" dxfId="68" priority="227" operator="lessThan">
      <formula>0</formula>
    </cfRule>
  </conditionalFormatting>
  <conditionalFormatting sqref="I22:I29">
    <cfRule type="cellIs" dxfId="67" priority="226" operator="lessThan">
      <formula>0</formula>
    </cfRule>
  </conditionalFormatting>
  <conditionalFormatting sqref="I22:I29">
    <cfRule type="cellIs" dxfId="66" priority="225" operator="lessThan">
      <formula>0</formula>
    </cfRule>
  </conditionalFormatting>
  <conditionalFormatting sqref="I22:I29">
    <cfRule type="cellIs" dxfId="65" priority="224" operator="lessThan">
      <formula>0</formula>
    </cfRule>
  </conditionalFormatting>
  <conditionalFormatting sqref="I22:I29">
    <cfRule type="cellIs" dxfId="64" priority="223" operator="lessThan">
      <formula>0</formula>
    </cfRule>
  </conditionalFormatting>
  <conditionalFormatting sqref="I22:I29">
    <cfRule type="cellIs" dxfId="63" priority="222" operator="lessThan">
      <formula>0</formula>
    </cfRule>
  </conditionalFormatting>
  <conditionalFormatting sqref="I22:I29">
    <cfRule type="cellIs" dxfId="62" priority="221" operator="lessThan">
      <formula>0</formula>
    </cfRule>
  </conditionalFormatting>
  <conditionalFormatting sqref="I22:I29">
    <cfRule type="cellIs" dxfId="61" priority="220" operator="lessThan">
      <formula>0</formula>
    </cfRule>
  </conditionalFormatting>
  <conditionalFormatting sqref="I22:I29">
    <cfRule type="cellIs" dxfId="60" priority="219" operator="lessThan">
      <formula>0</formula>
    </cfRule>
  </conditionalFormatting>
  <conditionalFormatting sqref="I22:I29">
    <cfRule type="cellIs" dxfId="59" priority="218" operator="lessThan">
      <formula>0</formula>
    </cfRule>
  </conditionalFormatting>
  <conditionalFormatting sqref="I22:I29">
    <cfRule type="cellIs" dxfId="58" priority="217" operator="lessThan">
      <formula>0</formula>
    </cfRule>
  </conditionalFormatting>
  <conditionalFormatting sqref="I22:I29">
    <cfRule type="cellIs" dxfId="57" priority="216" operator="lessThan">
      <formula>0</formula>
    </cfRule>
  </conditionalFormatting>
  <conditionalFormatting sqref="I22:I29">
    <cfRule type="cellIs" dxfId="56" priority="215" operator="lessThan">
      <formula>0</formula>
    </cfRule>
  </conditionalFormatting>
  <conditionalFormatting sqref="I22:I29">
    <cfRule type="cellIs" dxfId="55" priority="214" operator="lessThan">
      <formula>0</formula>
    </cfRule>
  </conditionalFormatting>
  <conditionalFormatting sqref="I22:I29">
    <cfRule type="cellIs" dxfId="54" priority="213" operator="lessThan">
      <formula>0</formula>
    </cfRule>
  </conditionalFormatting>
  <conditionalFormatting sqref="I22:I29">
    <cfRule type="cellIs" dxfId="53" priority="212" operator="lessThan">
      <formula>0</formula>
    </cfRule>
  </conditionalFormatting>
  <conditionalFormatting sqref="I22:I29">
    <cfRule type="cellIs" dxfId="52" priority="211" operator="lessThan">
      <formula>0</formula>
    </cfRule>
  </conditionalFormatting>
  <conditionalFormatting sqref="I22:I29">
    <cfRule type="cellIs" dxfId="51" priority="210" operator="lessThan">
      <formula>0</formula>
    </cfRule>
  </conditionalFormatting>
  <conditionalFormatting sqref="I22:I29">
    <cfRule type="cellIs" dxfId="50" priority="209" operator="lessThan">
      <formula>0</formula>
    </cfRule>
  </conditionalFormatting>
  <conditionalFormatting sqref="I22:I29">
    <cfRule type="cellIs" dxfId="49" priority="208" operator="lessThan">
      <formula>0</formula>
    </cfRule>
  </conditionalFormatting>
  <conditionalFormatting sqref="I22:I29">
    <cfRule type="cellIs" dxfId="48" priority="207" operator="lessThan">
      <formula>0</formula>
    </cfRule>
  </conditionalFormatting>
  <conditionalFormatting sqref="I22:I29">
    <cfRule type="cellIs" dxfId="47" priority="206" operator="lessThan">
      <formula>0</formula>
    </cfRule>
  </conditionalFormatting>
  <conditionalFormatting sqref="I22:I29">
    <cfRule type="cellIs" dxfId="46" priority="205" operator="lessThan">
      <formula>0</formula>
    </cfRule>
  </conditionalFormatting>
  <conditionalFormatting sqref="I22:I29">
    <cfRule type="cellIs" dxfId="45" priority="204" operator="lessThan">
      <formula>0</formula>
    </cfRule>
  </conditionalFormatting>
  <conditionalFormatting sqref="I22:I29">
    <cfRule type="cellIs" dxfId="44" priority="203" operator="lessThan">
      <formula>0</formula>
    </cfRule>
  </conditionalFormatting>
  <conditionalFormatting sqref="I22:I29">
    <cfRule type="cellIs" dxfId="43" priority="202" operator="lessThan">
      <formula>0</formula>
    </cfRule>
  </conditionalFormatting>
  <conditionalFormatting sqref="I22:I29">
    <cfRule type="cellIs" dxfId="42" priority="201" operator="lessThan">
      <formula>0</formula>
    </cfRule>
  </conditionalFormatting>
  <conditionalFormatting sqref="I22:I29">
    <cfRule type="cellIs" dxfId="41" priority="200" operator="lessThan">
      <formula>0</formula>
    </cfRule>
  </conditionalFormatting>
  <conditionalFormatting sqref="I22:I29">
    <cfRule type="cellIs" dxfId="40" priority="199" operator="lessThan">
      <formula>0</formula>
    </cfRule>
  </conditionalFormatting>
  <conditionalFormatting sqref="I22:I29">
    <cfRule type="cellIs" dxfId="39" priority="198" operator="lessThan">
      <formula>0</formula>
    </cfRule>
  </conditionalFormatting>
  <conditionalFormatting sqref="I22:I29">
    <cfRule type="cellIs" dxfId="38" priority="197" operator="lessThan">
      <formula>0</formula>
    </cfRule>
  </conditionalFormatting>
  <conditionalFormatting sqref="I22:I29">
    <cfRule type="cellIs" dxfId="37" priority="196" operator="lessThan">
      <formula>0</formula>
    </cfRule>
  </conditionalFormatting>
  <conditionalFormatting sqref="I22:I29">
    <cfRule type="cellIs" dxfId="36" priority="195" operator="lessThan">
      <formula>0</formula>
    </cfRule>
  </conditionalFormatting>
  <conditionalFormatting sqref="I22:I29">
    <cfRule type="cellIs" dxfId="35" priority="194" operator="lessThan">
      <formula>0</formula>
    </cfRule>
  </conditionalFormatting>
  <conditionalFormatting sqref="I22:I29">
    <cfRule type="cellIs" dxfId="34" priority="193" operator="lessThan">
      <formula>0</formula>
    </cfRule>
  </conditionalFormatting>
  <conditionalFormatting sqref="I22:I29">
    <cfRule type="cellIs" dxfId="33" priority="192" operator="lessThan">
      <formula>0</formula>
    </cfRule>
  </conditionalFormatting>
  <conditionalFormatting sqref="I22:I29">
    <cfRule type="cellIs" dxfId="32" priority="191" operator="lessThan">
      <formula>0</formula>
    </cfRule>
  </conditionalFormatting>
  <conditionalFormatting sqref="I22:I29">
    <cfRule type="cellIs" dxfId="31" priority="190" operator="lessThan">
      <formula>0</formula>
    </cfRule>
  </conditionalFormatting>
  <conditionalFormatting sqref="I22:I29">
    <cfRule type="cellIs" dxfId="30" priority="189" operator="lessThan">
      <formula>0</formula>
    </cfRule>
  </conditionalFormatting>
  <conditionalFormatting sqref="I22:I29">
    <cfRule type="cellIs" dxfId="29" priority="188" operator="lessThan">
      <formula>0</formula>
    </cfRule>
  </conditionalFormatting>
  <conditionalFormatting sqref="I22:I29">
    <cfRule type="cellIs" dxfId="28" priority="187" operator="lessThan">
      <formula>0</formula>
    </cfRule>
  </conditionalFormatting>
  <conditionalFormatting sqref="I22:I29">
    <cfRule type="cellIs" dxfId="27" priority="186" operator="lessThan">
      <formula>0</formula>
    </cfRule>
  </conditionalFormatting>
  <conditionalFormatting sqref="I22:I29">
    <cfRule type="cellIs" dxfId="26" priority="185" operator="lessThan">
      <formula>0</formula>
    </cfRule>
  </conditionalFormatting>
  <conditionalFormatting sqref="I22:I29">
    <cfRule type="cellIs" dxfId="25" priority="184" operator="lessThan">
      <formula>0</formula>
    </cfRule>
  </conditionalFormatting>
  <conditionalFormatting sqref="I22:I29">
    <cfRule type="cellIs" dxfId="24" priority="183" operator="lessThan">
      <formula>0</formula>
    </cfRule>
  </conditionalFormatting>
  <conditionalFormatting sqref="I22:I29">
    <cfRule type="cellIs" dxfId="23" priority="182" operator="lessThan">
      <formula>0</formula>
    </cfRule>
  </conditionalFormatting>
  <conditionalFormatting sqref="I22:I29">
    <cfRule type="cellIs" dxfId="22" priority="181" operator="lessThan">
      <formula>0</formula>
    </cfRule>
  </conditionalFormatting>
  <conditionalFormatting sqref="I22:I29">
    <cfRule type="cellIs" dxfId="21" priority="180" operator="lessThan">
      <formula>0</formula>
    </cfRule>
  </conditionalFormatting>
  <conditionalFormatting sqref="I22:I29">
    <cfRule type="cellIs" dxfId="20" priority="179" operator="lessThan">
      <formula>0</formula>
    </cfRule>
  </conditionalFormatting>
  <conditionalFormatting sqref="I22:I29">
    <cfRule type="cellIs" dxfId="19" priority="178" operator="lessThan">
      <formula>0</formula>
    </cfRule>
  </conditionalFormatting>
  <conditionalFormatting sqref="I22:I29">
    <cfRule type="cellIs" dxfId="18" priority="177" operator="lessThan">
      <formula>0</formula>
    </cfRule>
  </conditionalFormatting>
  <conditionalFormatting sqref="I22:I29">
    <cfRule type="cellIs" dxfId="17" priority="176" operator="lessThan">
      <formula>0</formula>
    </cfRule>
  </conditionalFormatting>
  <conditionalFormatting sqref="I22:I29">
    <cfRule type="cellIs" dxfId="16" priority="175" operator="lessThan">
      <formula>0</formula>
    </cfRule>
  </conditionalFormatting>
  <conditionalFormatting sqref="I22:I29">
    <cfRule type="cellIs" dxfId="15" priority="174" operator="lessThan">
      <formula>0</formula>
    </cfRule>
  </conditionalFormatting>
  <conditionalFormatting sqref="I22:I29">
    <cfRule type="cellIs" dxfId="14" priority="173" operator="lessThan">
      <formula>0</formula>
    </cfRule>
  </conditionalFormatting>
  <conditionalFormatting sqref="I22:I29">
    <cfRule type="cellIs" dxfId="13" priority="172" operator="lessThan">
      <formula>0</formula>
    </cfRule>
  </conditionalFormatting>
  <conditionalFormatting sqref="I22:I29">
    <cfRule type="cellIs" dxfId="12" priority="171" operator="lessThan">
      <formula>0</formula>
    </cfRule>
  </conditionalFormatting>
  <conditionalFormatting sqref="I22:I29">
    <cfRule type="cellIs" dxfId="11" priority="170" operator="lessThan">
      <formula>0</formula>
    </cfRule>
  </conditionalFormatting>
  <conditionalFormatting sqref="I22:I29">
    <cfRule type="cellIs" dxfId="10" priority="169" operator="lessThan">
      <formula>0</formula>
    </cfRule>
  </conditionalFormatting>
  <conditionalFormatting sqref="I22:I29">
    <cfRule type="cellIs" dxfId="9" priority="168" operator="lessThan">
      <formula>0</formula>
    </cfRule>
  </conditionalFormatting>
  <conditionalFormatting sqref="I22:I29">
    <cfRule type="cellIs" dxfId="8" priority="167" operator="lessThan">
      <formula>0</formula>
    </cfRule>
  </conditionalFormatting>
  <conditionalFormatting sqref="B1:E1048576">
    <cfRule type="cellIs" dxfId="7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6"/>
  <sheetViews>
    <sheetView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W10" sqref="W10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6" t="s">
        <v>84</v>
      </c>
      <c r="C1" s="401" cm="1">
        <f t="array" ref="C1">_xll.BDP(B1&amp;" EQUITY","LAST_PRICE")</f>
        <v>333.565</v>
      </c>
      <c r="D1" s="32">
        <f t="shared" ref="D1:D10" si="0">C1/E1-1</f>
        <v>1.6491259632389621E-4</v>
      </c>
      <c r="E1" s="399">
        <f>_xll.BDP(B1&amp;" EQUITY","PX_YEST_CLOSE")</f>
        <v>333.51</v>
      </c>
      <c r="F1" t="s">
        <v>971</v>
      </c>
      <c r="H1" s="398" cm="1">
        <f t="array" ref="H1">_xll.BDP(F1&amp;" EQUITY","LAST_PRICE")</f>
        <v>620.98</v>
      </c>
      <c r="I1" s="139">
        <f>H1/J1-1</f>
        <v>3.4277148567621651E-2</v>
      </c>
      <c r="J1" s="395">
        <f>_xll.BDP(F1&amp;" EQUITY","PX_YEST_CLOSE")</f>
        <v>600.4</v>
      </c>
      <c r="K1" s="396" t="s">
        <v>6</v>
      </c>
      <c r="L1" s="401" cm="1">
        <f t="array" ref="L1">_xll.BDP(K1&amp;" EQUITY","LAST_PRICE")</f>
        <v>85.844999999999999</v>
      </c>
      <c r="M1" s="32">
        <f t="shared" ref="M1:M10" si="1">L1/N1-1</f>
        <v>-1.6554015351128548E-2</v>
      </c>
      <c r="N1" s="399">
        <f>_xll.BDP(K1&amp;" EQUITY","PX_YEST_CLOSE")</f>
        <v>87.29</v>
      </c>
      <c r="O1" s="493"/>
      <c r="P1" s="1">
        <f>S1/$M$6</f>
        <v>-0.93872805084559352</v>
      </c>
      <c r="Q1" t="s">
        <v>577</v>
      </c>
      <c r="R1" s="5">
        <f>SUM(U20:U43)</f>
        <v>2.8477315974639747E-2</v>
      </c>
      <c r="S1" s="5">
        <f>T1/R1/10000</f>
        <v>5.1074591122121892E-3</v>
      </c>
      <c r="T1" s="205">
        <f>SUM(V20:V43)</f>
        <v>1.4544672696601952</v>
      </c>
      <c r="U1" s="337">
        <f>SUM(U15:U19)</f>
        <v>-3.0963711092404009E-2</v>
      </c>
      <c r="V1" s="294">
        <f>SUM(V15:V19)</f>
        <v>0.40267624902032773</v>
      </c>
      <c r="W1" s="205"/>
      <c r="Z1" s="205" t="e">
        <f>#REF!+#REF!+#REF!+#REF!+#REF!+#REF!+#REF!+#REF!</f>
        <v>#REF!</v>
      </c>
      <c r="AF1" t="s">
        <v>980</v>
      </c>
      <c r="AG1" s="196">
        <f>_xll.BDP(AG2&amp;" index","LAST_PRICE")</f>
        <v>24821.25</v>
      </c>
      <c r="AH1" s="196"/>
      <c r="AI1" s="196">
        <f>_xll.BDP(AI2&amp;" index","LAST_PRICE")</f>
        <v>6867.25</v>
      </c>
    </row>
    <row r="2" spans="1:39">
      <c r="B2" s="396" t="s">
        <v>42</v>
      </c>
      <c r="C2" s="401" cm="1">
        <f t="array" ref="C2">_xll.BDP(B2&amp;" EQUITY","LAST_PRICE")</f>
        <v>186.66499999999999</v>
      </c>
      <c r="D2" s="32">
        <f t="shared" si="0"/>
        <v>-6.9954250452175515E-3</v>
      </c>
      <c r="E2" s="399">
        <f>_xll.BDP(B2&amp;" EQUITY","PX_YEST_CLOSE")</f>
        <v>187.98</v>
      </c>
      <c r="F2" t="s">
        <v>340</v>
      </c>
      <c r="H2" s="398" cm="1">
        <f t="array" ref="H2">_xll.BDP(F2&amp;" EQUITY","LAST_PRICE")</f>
        <v>414.54</v>
      </c>
      <c r="I2" s="139">
        <f t="shared" ref="I2:I8" si="2">H2/J2-1</f>
        <v>-1.5227461693787747E-2</v>
      </c>
      <c r="J2" s="395">
        <f>_xll.BDP(F2&amp;" EQUITY","PX_YEST_CLOSE")</f>
        <v>420.95</v>
      </c>
      <c r="K2" s="396" t="s">
        <v>37</v>
      </c>
      <c r="L2" s="401" cm="1">
        <f t="array" ref="L2">_xll.BDP(K2&amp;" EQUITY","LAST_PRICE")</f>
        <v>81.56</v>
      </c>
      <c r="M2" s="32">
        <f t="shared" si="1"/>
        <v>-5.3658536585365901E-3</v>
      </c>
      <c r="N2" s="399">
        <f>_xll.BDP(K2&amp;" EQUITY","PX_YEST_CLOSE")</f>
        <v>82</v>
      </c>
      <c r="O2" s="49"/>
      <c r="P2" s="1">
        <f>S2/$M$6</f>
        <v>-2.7446809305265623</v>
      </c>
      <c r="Q2" t="s">
        <v>1008</v>
      </c>
      <c r="R2" s="5">
        <f>SUM(U26:U30)</f>
        <v>1.5652383205616211E-3</v>
      </c>
      <c r="S2" s="5">
        <f>T2/R2/10000</f>
        <v>1.4933340509112714E-2</v>
      </c>
      <c r="T2" s="205">
        <f>SUM(V26:V30)</f>
        <v>0.23374236818858407</v>
      </c>
      <c r="U2" s="337"/>
      <c r="V2" s="294"/>
      <c r="W2" s="205">
        <f>W5/W6</f>
        <v>-3.6223613427021002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560"/>
      <c r="AG2" s="6" t="s">
        <v>573</v>
      </c>
      <c r="AH2" s="561"/>
      <c r="AI2" s="6" t="s">
        <v>2</v>
      </c>
      <c r="AJ2" s="6"/>
      <c r="AL2" t="s">
        <v>97</v>
      </c>
    </row>
    <row r="3" spans="1:39" ht="15.75" thickBot="1">
      <c r="B3" s="396" t="s">
        <v>44</v>
      </c>
      <c r="C3" s="401" cm="1">
        <f t="array" ref="C3">_xll.BDP(B3&amp;" EQUITY","LAST_PRICE")</f>
        <v>359.95</v>
      </c>
      <c r="D3" s="32">
        <f t="shared" si="0"/>
        <v>-6.3766355656158513E-3</v>
      </c>
      <c r="E3" s="399">
        <f>_xll.BDP(B3&amp;" EQUITY","PX_YEST_CLOSE")</f>
        <v>362.26</v>
      </c>
      <c r="F3" t="s">
        <v>333</v>
      </c>
      <c r="H3" s="398" cm="1">
        <f t="array" ref="H3">_xll.BDP(F3&amp;" EQUITY","LAST_PRICE")</f>
        <v>1452.93</v>
      </c>
      <c r="I3" s="139">
        <f t="shared" si="2"/>
        <v>-1.0750857889863297E-2</v>
      </c>
      <c r="J3" s="395">
        <f>_xll.BDP(F3&amp;" EQUITY","PX_YEST_CLOSE")</f>
        <v>1468.72</v>
      </c>
      <c r="K3" s="396" t="s">
        <v>43</v>
      </c>
      <c r="L3" s="401" cm="1">
        <f t="array" ref="L3">_xll.BDP(K3&amp;" EQUITY","LAST_PRICE")</f>
        <v>353.90499999999997</v>
      </c>
      <c r="M3" s="32">
        <f t="shared" si="1"/>
        <v>-1.121759052302207E-2</v>
      </c>
      <c r="N3" s="399">
        <f>_xll.BDP(K3&amp;" EQUITY","PX_YEST_CLOSE")</f>
        <v>357.92</v>
      </c>
      <c r="O3" s="5"/>
      <c r="P3" s="1">
        <f>S3/$M$6</f>
        <v>-2.3762911647867138</v>
      </c>
      <c r="Q3" t="s">
        <v>1034</v>
      </c>
      <c r="R3" s="5">
        <f>SUM(U39:U43)</f>
        <v>2.9045641024315885E-3</v>
      </c>
      <c r="S3" s="5">
        <f>T3/R3/10000</f>
        <v>1.2928994666694518E-2</v>
      </c>
      <c r="T3" s="205">
        <f>SUM(V39:V43)</f>
        <v>0.37553093789410358</v>
      </c>
      <c r="U3" s="205">
        <f>U5/-U6</f>
        <v>0.94194266391523129</v>
      </c>
      <c r="W3" s="44" t="s">
        <v>98</v>
      </c>
      <c r="X3" s="5">
        <f>_xll.BDP("SPY Equity","LAST_PRICE")/_xll.BDP("SPY Equity","PX_YEST_CLOSE")-1</f>
        <v>-4.1090501100117249E-3</v>
      </c>
      <c r="AC3" s="92" cm="1">
        <f t="array" ref="AC3">_xll.BDP("brl Curncy","LAST_PRICE")</f>
        <v>5.2244000000000002</v>
      </c>
      <c r="AD3" s="8">
        <f>AD5*$AC$3</f>
        <v>12384756051.5508</v>
      </c>
      <c r="AF3" s="3" t="s">
        <v>981</v>
      </c>
      <c r="AG3">
        <v>25355</v>
      </c>
      <c r="AH3" s="20">
        <f>AG3/$AG$1-1</f>
        <v>2.1503751825552753E-2</v>
      </c>
      <c r="AI3">
        <v>6907</v>
      </c>
      <c r="AJ3" s="20">
        <f>AI3/$AI$1-1</f>
        <v>5.7883432232699317E-3</v>
      </c>
    </row>
    <row r="4" spans="1:39" ht="45.75" thickBot="1">
      <c r="B4" s="396" t="s">
        <v>332</v>
      </c>
      <c r="C4" s="401" cm="1">
        <f t="array" ref="C4">_xll.BDP(B4&amp;" EQUITY","LAST_PRICE")</f>
        <v>202.51499999999999</v>
      </c>
      <c r="D4" s="32">
        <f t="shared" si="0"/>
        <v>1.1967819308414951E-2</v>
      </c>
      <c r="E4" s="399">
        <f>_xll.BDP(B4&amp;" EQUITY","PX_YEST_CLOSE")</f>
        <v>200.12</v>
      </c>
      <c r="F4" t="s">
        <v>972</v>
      </c>
      <c r="H4" s="398" cm="1">
        <f t="array" ref="H4">_xll.BDP(F4&amp;" EQUITY","LAST_PRICE")</f>
        <v>366.56</v>
      </c>
      <c r="I4" s="139">
        <f t="shared" si="2"/>
        <v>-7.4194421879231198E-3</v>
      </c>
      <c r="J4" s="395">
        <f>_xll.BDP(F4&amp;" EQUITY","PX_YEST_CLOSE")</f>
        <v>369.3</v>
      </c>
      <c r="K4" s="396" t="s">
        <v>0</v>
      </c>
      <c r="L4" s="401" cm="1">
        <f t="array" ref="L4">_xll.BDP(K4&amp;" EQUITY","LAST_PRICE")</f>
        <v>683.47</v>
      </c>
      <c r="M4" s="32">
        <f t="shared" si="1"/>
        <v>-4.1090501100117249E-3</v>
      </c>
      <c r="N4" s="399">
        <f>_xll.BDP(K4&amp;" EQUITY","PX_YEST_CLOSE")</f>
        <v>686.29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982</v>
      </c>
      <c r="AG4">
        <v>24780</v>
      </c>
      <c r="AH4" s="20">
        <f>AG4/$AG$1-1</f>
        <v>-1.6618824595860948E-3</v>
      </c>
      <c r="AI4">
        <v>6735</v>
      </c>
      <c r="AJ4" s="20">
        <f>AI4/$AI$1-1</f>
        <v>-1.9258072736539344E-2</v>
      </c>
    </row>
    <row r="5" spans="1:39">
      <c r="B5" s="396" t="s">
        <v>316</v>
      </c>
      <c r="C5" s="401" cm="1">
        <f t="array" ref="C5">_xll.BDP(B5&amp;" EQUITY","LAST_PRICE")</f>
        <v>204.53100000000001</v>
      </c>
      <c r="D5" s="32">
        <f t="shared" si="0"/>
        <v>-1.2647101909272207E-3</v>
      </c>
      <c r="E5" s="399">
        <f>_xll.BDP(B5&amp;" EQUITY","PX_YEST_CLOSE")</f>
        <v>204.79</v>
      </c>
      <c r="F5" t="s">
        <v>973</v>
      </c>
      <c r="H5" s="398" cm="1">
        <f t="array" ref="H5">_xll.BDP(F5&amp;" EQUITY","LAST_PRICE")</f>
        <v>1461.23</v>
      </c>
      <c r="I5" s="139">
        <f t="shared" si="2"/>
        <v>-1.2882523812740576E-2</v>
      </c>
      <c r="J5" s="395">
        <f>_xll.BDP(F5&amp;" EQUITY","PX_YEST_CLOSE")</f>
        <v>1480.3</v>
      </c>
      <c r="K5" s="396" t="s">
        <v>3</v>
      </c>
      <c r="L5" s="400" cm="1">
        <f t="array" ref="L5">_xll.BDP(K5&amp;" EQUITY","LAST_PRICE")</f>
        <v>202.64</v>
      </c>
      <c r="M5" s="32">
        <f t="shared" si="1"/>
        <v>-4.5684531119516425E-3</v>
      </c>
      <c r="N5" s="399">
        <f>_xll.BDP(K5&amp;" EQUITY","PX_YEST_CLOSE")</f>
        <v>203.57</v>
      </c>
      <c r="O5" s="26">
        <f>SUMIF(O12:O44,"&gt;0")</f>
        <v>2.1791807774386655E-2</v>
      </c>
      <c r="P5" s="19">
        <f>SUMIF($F$12:$F$44,"Long",P12:P44)</f>
        <v>1.3825298133248287</v>
      </c>
      <c r="R5" s="26">
        <f>SUMIF(R12:R44,"&gt;0")</f>
        <v>1.0280551307112936E-2</v>
      </c>
      <c r="S5" s="137">
        <f>SUMIF($F$12:$F$44,"Long",S12:S44)</f>
        <v>-7.3050700024642496E-3</v>
      </c>
      <c r="T5" t="s">
        <v>47</v>
      </c>
      <c r="U5" s="32">
        <f>SUMIF($F$12:$F$44,"Long",U12:U44)</f>
        <v>2.9893349399272958E-2</v>
      </c>
      <c r="V5" s="38">
        <f>SUMIF($F$12:$F$44,"Long",V12:V44)</f>
        <v>1.3752247433223643</v>
      </c>
      <c r="W5" s="5">
        <f>V5/U5/10000</f>
        <v>4.6004371238366863E-3</v>
      </c>
      <c r="X5" s="5">
        <f>W5-$X$3</f>
        <v>8.7094872338484113E-3</v>
      </c>
      <c r="Y5" s="54">
        <f>$U5*X5*10000</f>
        <v>2.603557449699379</v>
      </c>
      <c r="Z5" s="9">
        <f>U5*$X$3*10000</f>
        <v>-1.2283327063770146</v>
      </c>
      <c r="AA5" s="32">
        <f>SUMIF($F$12:$F$44,"Long",AA12:AA44)</f>
        <v>4.2240227960811547E-2</v>
      </c>
      <c r="AB5" s="205">
        <f>AA5/U5</f>
        <v>1.4130309520230235</v>
      </c>
      <c r="AC5" s="86" t="s">
        <v>111</v>
      </c>
      <c r="AD5" s="87">
        <v>2370560457</v>
      </c>
      <c r="AE5" s="88">
        <f>AD5</f>
        <v>2370560457</v>
      </c>
      <c r="AF5" s="3" t="s">
        <v>983</v>
      </c>
      <c r="AG5">
        <v>22940</v>
      </c>
      <c r="AH5" s="20">
        <f>AG5/$AG$1-1</f>
        <v>-7.5791912172029963E-2</v>
      </c>
      <c r="AI5">
        <v>6313</v>
      </c>
      <c r="AJ5" s="20">
        <f>AI5/$AI$1-1</f>
        <v>-8.0709163056536415E-2</v>
      </c>
    </row>
    <row r="6" spans="1:39">
      <c r="B6" s="396" t="s">
        <v>27</v>
      </c>
      <c r="C6" s="401" cm="1">
        <f t="array" ref="C6">_xll.BDP(B6&amp;" EQUITY","LAST_PRICE")</f>
        <v>261.66500000000002</v>
      </c>
      <c r="D6" s="32">
        <f t="shared" si="0"/>
        <v>-1.0156988840552272E-2</v>
      </c>
      <c r="E6" s="399">
        <f>_xll.BDP(B6&amp;" EQUITY","PX_YEST_CLOSE")</f>
        <v>264.35000000000002</v>
      </c>
      <c r="F6" t="s">
        <v>974</v>
      </c>
      <c r="H6" s="398" cm="1">
        <f t="array" ref="H6">_xll.BDP(F6&amp;" EQUITY","LAST_PRICE")</f>
        <v>235.095</v>
      </c>
      <c r="I6" s="139">
        <f t="shared" si="2"/>
        <v>-2.0804698238160668E-2</v>
      </c>
      <c r="J6" s="395">
        <f>_xll.BDP(F6&amp;" EQUITY","PX_YEST_CLOSE")</f>
        <v>240.09</v>
      </c>
      <c r="K6" s="396" t="s">
        <v>82</v>
      </c>
      <c r="L6" s="397" cm="1">
        <f t="array" ref="L6">_xll.BDP(K6&amp;" EQUITY","LAST_PRICE")</f>
        <v>602.49400000000003</v>
      </c>
      <c r="M6" s="32">
        <f t="shared" si="1"/>
        <v>-5.4408293302958821E-3</v>
      </c>
      <c r="N6" s="399">
        <f>_xll.BDP(K6&amp;" EQUITY","PX_YEST_CLOSE")</f>
        <v>605.79</v>
      </c>
      <c r="O6" s="26">
        <f>SUMIF(O12:O44,"&lt;0")</f>
        <v>-2.8264064572138082E-2</v>
      </c>
      <c r="P6" s="19">
        <f>SUMIF($F$12:$F$44,"Short",P12:P44)</f>
        <v>0.39888915119383084</v>
      </c>
      <c r="R6" s="26">
        <f>SUMIF(R12:R44,"&lt;0")</f>
        <v>-5.0399305251850463E-3</v>
      </c>
      <c r="S6" s="137">
        <f>SUMIF($F$12:$F$44,"Short",S12:S44)</f>
        <v>4.1594693701066821E-3</v>
      </c>
      <c r="T6" t="s">
        <v>48</v>
      </c>
      <c r="U6" s="32">
        <f>SUMIF($F$12:$F$44,"Short",U12:U44)</f>
        <v>-3.1735848204411693E-2</v>
      </c>
      <c r="V6" s="38">
        <f>SUMIF($F$12:$F$44,"Short",V12:V44)</f>
        <v>0.40304862056393748</v>
      </c>
      <c r="W6" s="5">
        <f>V6/U6/10000</f>
        <v>-1.2700105507433973E-3</v>
      </c>
      <c r="X6" s="5">
        <f>$X$3-W6</f>
        <v>-2.8390395592683276E-3</v>
      </c>
      <c r="Y6" s="54">
        <f>-$U6*X6*10000</f>
        <v>-0.90099328499259523</v>
      </c>
      <c r="Z6" s="9">
        <f>U6*$X$3*10000</f>
        <v>1.3040419055565327</v>
      </c>
      <c r="AA6" s="32">
        <f>SUMIF($F$12:$F$44,"Short",AA12:AA44)</f>
        <v>-1.0628447321739584E-2</v>
      </c>
      <c r="AB6" s="205">
        <f>AA6/U6</f>
        <v>0.33490352150922165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6" t="s">
        <v>38</v>
      </c>
      <c r="C7" s="400" cm="1">
        <f t="array" ref="C7">_xll.BDP(B7&amp;" EQUITY","LAST_PRICE")</f>
        <v>397.935</v>
      </c>
      <c r="D7" s="32">
        <f t="shared" si="0"/>
        <v>-4.1666666666667629E-3</v>
      </c>
      <c r="E7" s="399">
        <f>_xll.BDP(B7&amp;" EQUITY","PX_YEST_CLOSE")</f>
        <v>399.6</v>
      </c>
      <c r="F7" t="s">
        <v>979</v>
      </c>
      <c r="H7" s="398" cm="1">
        <f t="array" ref="H7">_xll.BDP(F7&amp;" EQUITY","LAST_PRICE")</f>
        <v>287.81</v>
      </c>
      <c r="I7" s="139">
        <f t="shared" si="2"/>
        <v>-2.9504990558403055E-2</v>
      </c>
      <c r="J7" s="395">
        <f>_xll.BDP(F7&amp;" EQUITY","PX_YEST_CLOSE")</f>
        <v>296.56</v>
      </c>
      <c r="K7" s="396" t="s">
        <v>88</v>
      </c>
      <c r="L7" s="400" cm="1">
        <f t="array" ref="L7">_xll.BDP(K7&amp;" EQUITY","LAST_PRICE")</f>
        <v>102.52</v>
      </c>
      <c r="M7" s="32">
        <f t="shared" si="1"/>
        <v>-6.3002810894640104E-3</v>
      </c>
      <c r="N7" s="399">
        <f>_xll.BDP(K7&amp;" EQUITY","PX_YEST_CLOSE")</f>
        <v>103.17</v>
      </c>
      <c r="O7" s="28">
        <f>O5+O6</f>
        <v>-6.4722567977514266E-3</v>
      </c>
      <c r="P7" s="136">
        <f>SUM(P12:P44)</f>
        <v>1.8328016026994796</v>
      </c>
      <c r="Q7" s="27"/>
      <c r="R7" s="28">
        <f>R5+R6</f>
        <v>5.2406207819278901E-3</v>
      </c>
      <c r="S7" s="136">
        <f>SUM(S12:S44)</f>
        <v>-3.1456006323575553E-3</v>
      </c>
      <c r="T7" s="362" t="s">
        <v>844</v>
      </c>
      <c r="U7" s="271">
        <f>U5+U6</f>
        <v>-1.8424988051387349E-3</v>
      </c>
      <c r="V7" s="272">
        <f>V5+V6</f>
        <v>1.7782733638863018</v>
      </c>
      <c r="W7" s="43">
        <f>V7/U7/10000</f>
        <v>-9.6514220737983214E-2</v>
      </c>
      <c r="X7" s="43"/>
      <c r="Y7" s="55">
        <f>Y5+Y6</f>
        <v>1.7025641647067837</v>
      </c>
      <c r="Z7" s="46">
        <f>Z5+Z6</f>
        <v>7.5709199179518016E-2</v>
      </c>
      <c r="AA7" s="33">
        <f>AA5+AA6</f>
        <v>3.1611780639071961E-2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6" t="s">
        <v>229</v>
      </c>
      <c r="C8" s="397" cm="1">
        <f t="array" ref="C8">_xll.BDP(B8&amp;" EQUITY","LAST_PRICE")</f>
        <v>304.36</v>
      </c>
      <c r="D8" s="32">
        <f t="shared" si="0"/>
        <v>3.3956417103486736E-3</v>
      </c>
      <c r="E8" s="399">
        <f>_xll.BDP(B8&amp;" EQUITY","PX_YEST_CLOSE")</f>
        <v>303.33</v>
      </c>
      <c r="F8" t="s">
        <v>280</v>
      </c>
      <c r="H8" s="398" cm="1">
        <f t="array" ref="H8">_xll.BDP(F8&amp;" EQUITY","LAST_PRICE")</f>
        <v>407.77499999999998</v>
      </c>
      <c r="I8" s="139">
        <f t="shared" si="2"/>
        <v>-3.8583958127033524E-2</v>
      </c>
      <c r="J8" s="395">
        <f>_xll.BDP(F8&amp;" EQUITY","PX_YEST_CLOSE")</f>
        <v>424.14</v>
      </c>
      <c r="K8" s="396" t="s">
        <v>89</v>
      </c>
      <c r="L8" s="400" cm="1">
        <f t="array" ref="L8">_xll.BDP(K8&amp;" EQUITY","LAST_PRICE")</f>
        <v>263.27999999999997</v>
      </c>
      <c r="M8" s="32">
        <f t="shared" si="1"/>
        <v>-2.6894958142354985E-3</v>
      </c>
      <c r="N8" s="399">
        <f>_xll.BDP(K8&amp;" EQUITY","PX_YEST_CLOSE")</f>
        <v>263.99</v>
      </c>
      <c r="O8" s="29">
        <f>O5-O6</f>
        <v>5.0055872346524741E-2</v>
      </c>
      <c r="P8" s="30"/>
      <c r="Q8" s="6"/>
      <c r="R8" s="29">
        <f>R5-R6</f>
        <v>1.5320481832297983E-2</v>
      </c>
      <c r="S8" s="30"/>
      <c r="T8" s="6" t="s">
        <v>15</v>
      </c>
      <c r="U8" s="34">
        <f>U5-U6</f>
        <v>6.1629197603684654E-2</v>
      </c>
      <c r="V8" s="40"/>
      <c r="AA8" s="34">
        <f>AA5-AA6</f>
        <v>5.2868675282551132E-2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6" t="s">
        <v>29</v>
      </c>
      <c r="C9" s="400" cm="1">
        <f t="array" ref="C9">_xll.BDP(B9&amp;" EQUITY","LAST_PRICE")</f>
        <v>644.38499999999999</v>
      </c>
      <c r="D9" s="32">
        <f t="shared" si="0"/>
        <v>1.8111999005006041E-3</v>
      </c>
      <c r="E9" s="399">
        <f>_xll.BDP(B9&amp;" EQUITY","PX_YEST_CLOSE")</f>
        <v>643.22</v>
      </c>
      <c r="F9" t="s">
        <v>992</v>
      </c>
      <c r="H9" s="398" cm="1">
        <f t="array" ref="H9">_xll.BDP(F9&amp;" EQUITY","LAST_PRICE")</f>
        <v>200.51</v>
      </c>
      <c r="I9" s="139">
        <f>H9/J9-1</f>
        <v>-2.2855750487329463E-2</v>
      </c>
      <c r="J9" s="395">
        <f>_xll.BDP(F9&amp;" EQUITY","PX_YEST_CLOSE")</f>
        <v>205.2</v>
      </c>
      <c r="K9" s="396" t="s">
        <v>337</v>
      </c>
      <c r="L9" s="400" cm="1">
        <f t="array" ref="L9">_xll.BDP(K9&amp;" EQUITY","LAST_PRICE")</f>
        <v>85.631</v>
      </c>
      <c r="M9" s="32">
        <f t="shared" si="1"/>
        <v>-1.1873990306946691E-2</v>
      </c>
      <c r="N9" s="399">
        <f>_xll.BDP(K9&amp;" EQUITY","PX_YEST_CLOSE")</f>
        <v>86.66</v>
      </c>
      <c r="O9" s="29"/>
      <c r="P9" s="45"/>
      <c r="Q9" s="29"/>
      <c r="R9" s="29"/>
      <c r="S9" s="45"/>
      <c r="T9" s="266" t="s">
        <v>797</v>
      </c>
      <c r="U9" s="267">
        <f>SUM(U44:U44)</f>
        <v>6.108627893151949E-4</v>
      </c>
      <c r="V9" s="268">
        <f>SUM(V44:V44)</f>
        <v>5.1382638180820103E-2</v>
      </c>
      <c r="W9" s="121">
        <v>60</v>
      </c>
      <c r="X9" s="177">
        <v>0.25</v>
      </c>
      <c r="AD9" s="17"/>
      <c r="AF9" s="3"/>
      <c r="AG9" s="205"/>
      <c r="AH9" s="31"/>
      <c r="AI9"/>
    </row>
    <row r="10" spans="1:39">
      <c r="B10" s="396" t="s">
        <v>552</v>
      </c>
      <c r="C10" s="400" cm="1">
        <f t="array" ref="C10">_xll.BDP(B10&amp;" EQUITY","LAST_PRICE")</f>
        <v>156.6</v>
      </c>
      <c r="D10" s="32">
        <f t="shared" si="0"/>
        <v>2.7534097457899698E-3</v>
      </c>
      <c r="E10" s="399">
        <f>_xll.BDP(B10&amp;" EQUITY","PX_YEST_CLOSE")</f>
        <v>156.16999999999999</v>
      </c>
      <c r="F10" t="s">
        <v>271</v>
      </c>
      <c r="H10" s="398" cm="1">
        <f t="array" ref="H10">_xll.BDP(F10&amp;" EQUITY","LAST_PRICE")</f>
        <v>107.25</v>
      </c>
      <c r="I10" s="139">
        <f>H10/J10-1</f>
        <v>-5.1943233466283933E-3</v>
      </c>
      <c r="J10" s="395">
        <f>_xll.BDP(F10&amp;" EQUITY","PX_YEST_CLOSE")</f>
        <v>107.81</v>
      </c>
      <c r="K10" s="396" t="s">
        <v>78</v>
      </c>
      <c r="L10" s="400" cm="1">
        <f t="array" ref="L10">_xll.BDP(K10&amp;" EQUITY","LAST_PRICE")</f>
        <v>103.43</v>
      </c>
      <c r="M10" s="32">
        <f t="shared" si="1"/>
        <v>8.4828393135725211E-3</v>
      </c>
      <c r="N10" s="399">
        <f>_xll.BDP(K10&amp;" EQUITY","PX_YEST_CLOSE")</f>
        <v>102.56</v>
      </c>
      <c r="P10" s="49">
        <f>SUM(Tabelad[D1 P&amp;L bps])</f>
        <v>1.8328016026994796</v>
      </c>
      <c r="Q10" s="6"/>
      <c r="S10" s="49">
        <f>SUM(Tabelad[Options P&amp;L bps])</f>
        <v>-3.1456006323575553E-3</v>
      </c>
      <c r="T10" s="269" t="s">
        <v>845</v>
      </c>
      <c r="U10" s="269">
        <f>U7+U9</f>
        <v>-1.2316360158235399E-3</v>
      </c>
      <c r="V10" s="270">
        <f>V7+V9</f>
        <v>1.8296560020671218</v>
      </c>
      <c r="W10" s="16">
        <f>AE7*W9/10000</f>
        <v>15146162.742000001</v>
      </c>
      <c r="X10" s="274"/>
      <c r="Y10" s="53">
        <v>0.35</v>
      </c>
      <c r="Z10" s="37">
        <f>SUM(Tabelad[Column1])</f>
        <v>4.5697744140462087</v>
      </c>
      <c r="AA10" s="124">
        <f>SUM(Tabelad[Expo Beta Adj])</f>
        <v>3.2220934221572455E-2</v>
      </c>
      <c r="AD10" s="15">
        <f>SUM(Tabelad[Daily P&amp;L])</f>
        <v>434476.70048856101</v>
      </c>
      <c r="AE10" s="139"/>
      <c r="AF10" s="185" t="str">
        <f>_xll.BDP(B10&amp;" Equity","EXPECTED_REPORT_DT")</f>
        <v>10/03/2026</v>
      </c>
      <c r="AG10" s="139"/>
      <c r="AH10" s="19" t="e">
        <f>SUM(AH12:AH44)+#REF!+#REF!</f>
        <v>#VALUE!</v>
      </c>
      <c r="AI10"/>
    </row>
    <row r="11" spans="1:39" s="10" customFormat="1" ht="36" customHeight="1" thickBot="1">
      <c r="A11" s="310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2" t="s">
        <v>122</v>
      </c>
      <c r="J11" s="343" t="s">
        <v>51</v>
      </c>
      <c r="K11" s="355" t="s">
        <v>123</v>
      </c>
      <c r="L11" s="344" t="s">
        <v>124</v>
      </c>
      <c r="M11" s="345" t="s">
        <v>125</v>
      </c>
      <c r="N11" s="344" t="s">
        <v>126</v>
      </c>
      <c r="O11" s="56" t="s">
        <v>99</v>
      </c>
      <c r="P11" s="343" t="s">
        <v>100</v>
      </c>
      <c r="Q11" s="344" t="s">
        <v>127</v>
      </c>
      <c r="R11" s="56" t="s">
        <v>101</v>
      </c>
      <c r="S11" s="343" t="s">
        <v>102</v>
      </c>
      <c r="T11" s="56" t="s">
        <v>11</v>
      </c>
      <c r="U11" s="56" t="s">
        <v>103</v>
      </c>
      <c r="V11" s="343" t="s">
        <v>104</v>
      </c>
      <c r="W11" s="56" t="s">
        <v>128</v>
      </c>
      <c r="X11" s="342" t="s">
        <v>129</v>
      </c>
      <c r="Y11" s="346" t="s">
        <v>130</v>
      </c>
      <c r="Z11" s="56" t="s">
        <v>1006</v>
      </c>
      <c r="AA11" s="56" t="s">
        <v>131</v>
      </c>
      <c r="AB11" s="346" t="s">
        <v>372</v>
      </c>
      <c r="AC11" s="56" t="s">
        <v>1007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7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18" si="3">IF(T12&gt;0,"Long","Short")</f>
        <v>Long</v>
      </c>
      <c r="G12" s="15"/>
      <c r="H12" s="488">
        <v>3978</v>
      </c>
      <c r="I12" s="35" cm="1">
        <f t="array" ref="I12">_xll.BDP(B12&amp;" Equity","LAST_PRICE")</f>
        <v>153.43</v>
      </c>
      <c r="J12" s="50">
        <f t="shared" ref="J12:J44" si="4">I12/K12-1</f>
        <v>-1.5022148038775107E-2</v>
      </c>
      <c r="K12" s="354">
        <f>_xll.BDP(B12&amp;" equity","PX_YEST_CLOSE")</f>
        <v>155.77000000000001</v>
      </c>
      <c r="L12" s="52">
        <f>_xll.BDP(E12&amp;" Curncy","PX_LAST")</f>
        <v>1</v>
      </c>
      <c r="M12" s="51">
        <v>1</v>
      </c>
      <c r="N12" s="15">
        <f t="shared" ref="N12:N44" si="5">IFERROR(IF(((I12/L12)*H12*M12)&lt;&gt;0,((I12/L12)*H12*M12),0),"-")</f>
        <v>610344.54</v>
      </c>
      <c r="O12" s="284">
        <f>IFERROR(IF(Tabelad[[#This Row],[D1 Exp USD]]&lt;&gt;0,N12/$AE$7,0),"-")</f>
        <v>2.4178184946112868E-4</v>
      </c>
      <c r="P12" s="19">
        <f>IFERROR(IF(Tabelad[[#This Row],[D1 Exp USD]]&lt;&gt;0,((I12-K12)/L12*M12*H12)/$AD$7*10000,0),"-")</f>
        <v>-3.6874765543833794E-2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8">
        <f>Q12/$AE$7</f>
        <v>0</v>
      </c>
      <c r="S12" s="19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44" si="6">N12+Q12</f>
        <v>610344.54</v>
      </c>
      <c r="U12" s="47">
        <f t="shared" ref="U12:U44" si="7">T12/$AE$7</f>
        <v>2.4178184946112868E-4</v>
      </c>
      <c r="V12" s="19">
        <f t="shared" ref="V12:V44" si="8">P12+S12</f>
        <v>-3.6874765543833794E-2</v>
      </c>
      <c r="W12" s="15">
        <f t="shared" ref="W12:W44" si="9">$W$10/(I12/L12*M12)</f>
        <v>98717.087544808703</v>
      </c>
      <c r="X12" s="18"/>
      <c r="Y12" s="300">
        <f>Tabelad[[#This Row],[Exp %]]*$Y$10*$AD$7/Tabelad[[#This Row],[Price Today]]</f>
        <v>1392.2999999999997</v>
      </c>
      <c r="Z12" s="195">
        <f>Tabelad[[#This Row],[Vol 10d]]/16*Tabelad[[#This Row],[Exp %]]*100</f>
        <v>4.8790968366314948E-2</v>
      </c>
      <c r="AA12" s="18">
        <f>Tabelad[[#This Row],[Exp %]]*Tabelad[[#This Row],[Beta]]</f>
        <v>2.1105671079706077E-4</v>
      </c>
      <c r="AB12" s="35">
        <f>_xll.BDP($B12&amp;" Equity","volatility_10d")</f>
        <v>32.287597088074442</v>
      </c>
      <c r="AC12" s="35">
        <f>_xll.BDP(B12&amp;" EQUITY","eqy_beta")</f>
        <v>0.87292206287384033</v>
      </c>
      <c r="AD12" s="15">
        <f>Tabelad[[#This Row],[D1 P&amp;L bps]]*$AD$5/10000</f>
        <v>-8741.3861059358496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44" si="10">(T12*AG12)/$AD$7*10000</f>
        <v>#VALUE!</v>
      </c>
      <c r="AI12" s="360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3"/>
        <v>Long</v>
      </c>
      <c r="G13" s="15"/>
      <c r="H13" s="488">
        <v>4800</v>
      </c>
      <c r="I13" s="35" cm="1">
        <f t="array" ref="I13">_xll.BDP(B13&amp;" Equity","LAST_PRICE")</f>
        <v>136.095</v>
      </c>
      <c r="J13" s="50">
        <f t="shared" si="4"/>
        <v>-1.2874446942772177E-2</v>
      </c>
      <c r="K13" s="354">
        <f>_xll.BDP(B13&amp;" equity","PX_YEST_CLOSE")</f>
        <v>137.87</v>
      </c>
      <c r="L13" s="52">
        <f>_xll.BDP(E13&amp;" Curncy","PX_LAST")</f>
        <v>1</v>
      </c>
      <c r="M13" s="51">
        <v>1</v>
      </c>
      <c r="N13" s="15">
        <f t="shared" si="5"/>
        <v>653256</v>
      </c>
      <c r="O13" s="284">
        <f>IFERROR(IF(Tabelad[[#This Row],[D1 Exp USD]]&lt;&gt;0,N13/$AE$7,0),"-")</f>
        <v>2.5878079265127704E-4</v>
      </c>
      <c r="P13" s="19">
        <f>IFERROR(IF(Tabelad[[#This Row],[D1 Exp USD]]&lt;&gt;0,((I13-K13)/L13*M13*H13)/$AD$7*10000,0),"-")</f>
        <v>-3.3751122888865739E-2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8">
        <f>Q13/$AE$7</f>
        <v>0</v>
      </c>
      <c r="S13" s="19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6"/>
        <v>653256</v>
      </c>
      <c r="U13" s="47">
        <f t="shared" si="7"/>
        <v>2.5878079265127704E-4</v>
      </c>
      <c r="V13" s="19">
        <f t="shared" si="8"/>
        <v>-3.3751122888865739E-2</v>
      </c>
      <c r="W13" s="15">
        <f t="shared" si="9"/>
        <v>111291.10358205666</v>
      </c>
      <c r="X13" s="18"/>
      <c r="Y13" s="300">
        <f>Tabelad[[#This Row],[Exp %]]*$Y$10*$AD$7/Tabelad[[#This Row],[Price Today]]</f>
        <v>1679.9999999999998</v>
      </c>
      <c r="Z13" s="195">
        <f>Tabelad[[#This Row],[Vol 10d]]/16*Tabelad[[#This Row],[Exp %]]*100</f>
        <v>6.7001032834454619E-2</v>
      </c>
      <c r="AA13" s="18">
        <f>Tabelad[[#This Row],[Exp %]]*Tabelad[[#This Row],[Beta]]</f>
        <v>2.7108550127554815E-4</v>
      </c>
      <c r="AB13" s="35">
        <f>_xll.BDP($B13&amp;" Equity","volatility_10d")</f>
        <v>41.425660473800377</v>
      </c>
      <c r="AC13" s="35">
        <f>_xll.BDP(B13&amp;" EQUITY","eqy_beta")</f>
        <v>1.047548770904541</v>
      </c>
      <c r="AD13" s="15">
        <f>Tabelad[[#This Row],[D1 P&amp;L bps]]*$AD$5/10000</f>
        <v>-8000.9077299692717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0"/>
        <v>#VALUE!</v>
      </c>
      <c r="AI13" s="360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3"/>
        <v>Long</v>
      </c>
      <c r="G14" s="15"/>
      <c r="H14" s="488">
        <v>10700</v>
      </c>
      <c r="I14" s="35" cm="1">
        <f t="array" ref="I14">_xll.BDP(B14&amp;" Equity","LAST_PRICE")</f>
        <v>33.8155</v>
      </c>
      <c r="J14" s="50">
        <f t="shared" si="4"/>
        <v>-5.7189062040575722E-3</v>
      </c>
      <c r="K14" s="354">
        <f>_xll.BDP(B14&amp;" equity","PX_YEST_CLOSE")</f>
        <v>34.01</v>
      </c>
      <c r="L14" s="52">
        <f>_xll.BDP(E14&amp;" Curncy","PX_LAST")</f>
        <v>1</v>
      </c>
      <c r="M14" s="51">
        <v>1</v>
      </c>
      <c r="N14" s="15">
        <f t="shared" si="5"/>
        <v>361825.85</v>
      </c>
      <c r="O14" s="284">
        <f>IFERROR(IF(Tabelad[[#This Row],[D1 Exp USD]]&lt;&gt;0,N14/$AE$7,0),"-")</f>
        <v>1.4333367051312513E-4</v>
      </c>
      <c r="P14" s="19">
        <f>IFERROR(IF(Tabelad[[#This Row],[D1 Exp USD]]&lt;&gt;0,((I14-K14)/L14*M14*H14)/$AD$7*10000,0),"-")</f>
        <v>-8.2442663615213546E-3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0</v>
      </c>
      <c r="R14" s="18">
        <f>Q14/$AE$7</f>
        <v>0</v>
      </c>
      <c r="S14" s="19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0</v>
      </c>
      <c r="T14" s="13">
        <f t="shared" si="6"/>
        <v>361825.85</v>
      </c>
      <c r="U14" s="47">
        <f t="shared" si="7"/>
        <v>1.4333367051312513E-4</v>
      </c>
      <c r="V14" s="19">
        <f t="shared" si="8"/>
        <v>-8.2442663615213546E-3</v>
      </c>
      <c r="W14" s="15">
        <f t="shared" si="9"/>
        <v>447905.92308261007</v>
      </c>
      <c r="X14" s="18"/>
      <c r="Y14" s="300">
        <f>Tabelad[[#This Row],[Exp %]]*$Y$10*$AD$7/Tabelad[[#This Row],[Price Today]]</f>
        <v>3744.9999999999991</v>
      </c>
      <c r="Z14" s="195">
        <f>Tabelad[[#This Row],[Vol 10d]]/16*Tabelad[[#This Row],[Exp %]]*100</f>
        <v>1.0882865965108013E-2</v>
      </c>
      <c r="AA14" s="18">
        <f>Tabelad[[#This Row],[Exp %]]*Tabelad[[#This Row],[Beta]]</f>
        <v>1.6326319317986755E-4</v>
      </c>
      <c r="AB14" s="35">
        <f>_xll.BDP($B14&amp;" Equity","volatility_10d")</f>
        <v>12.14828691809601</v>
      </c>
      <c r="AC14" s="35">
        <f>_xll.BDP(B14&amp;" EQUITY","eqy_beta")</f>
        <v>1.139042854309082</v>
      </c>
      <c r="AD14" s="15">
        <f>Tabelad[[#This Row],[D1 P&amp;L bps]]*$AD$5/10000</f>
        <v>-1954.353183359779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-6.1746279999999997E-3</v>
      </c>
      <c r="AH14" s="19">
        <f t="shared" si="10"/>
        <v>-8.8503209529311663E-3</v>
      </c>
      <c r="AI14" s="360" t="str">
        <f>_xll.BDP(B14&amp;" Equity","DVD_EX_DT")</f>
        <v>19/12/2025</v>
      </c>
    </row>
    <row r="15" spans="1:39" s="58" customFormat="1">
      <c r="A15" s="462"/>
      <c r="B15" s="348" t="s">
        <v>82</v>
      </c>
      <c r="C15" s="58" t="s">
        <v>26</v>
      </c>
      <c r="E15" s="58" t="s">
        <v>137</v>
      </c>
      <c r="F15" s="21" t="s">
        <v>48</v>
      </c>
      <c r="G15" s="329"/>
      <c r="H15" s="489"/>
      <c r="I15" s="14" cm="1">
        <f t="array" ref="I15">_xll.BDP(B15&amp;" Equity","LAST_PRICE")</f>
        <v>602.49400000000003</v>
      </c>
      <c r="J15" s="450">
        <f t="shared" ref="J15" si="11">I15/K15-1</f>
        <v>-5.4408293302958821E-3</v>
      </c>
      <c r="K15" s="354">
        <f>_xll.BDP(B15&amp;" equity","PX_YEST_CLOSE")</f>
        <v>605.79</v>
      </c>
      <c r="L15" s="8">
        <f>_xll.BDP(E15&amp;" Curncy","PX_LAST")</f>
        <v>1</v>
      </c>
      <c r="M15" s="449">
        <v>1</v>
      </c>
      <c r="N15" s="329">
        <f t="shared" ref="N15" si="12">IFERROR(IF(((I15/L15)*H15*M15)&lt;&gt;0,((I15/L15)*H15*M15),0),"-")</f>
        <v>0</v>
      </c>
      <c r="O15" s="466">
        <f>IFERROR(IF(Tabelad[[#This Row],[D1 Exp USD]]&lt;&gt;0,N15/$AE$7,0),"-")</f>
        <v>0</v>
      </c>
      <c r="P15" s="448">
        <f>IFERROR(IF(Tabelad[[#This Row],[D1 Exp USD]]&lt;&gt;0,((I15-K15)/L15*M15*H15)/$AD$7*10000,0),"-")</f>
        <v>0</v>
      </c>
      <c r="Q15" s="15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-11254417.883636951</v>
      </c>
      <c r="R15" s="18">
        <f>Q15/$AE$7</f>
        <v>-4.4583244252732138E-3</v>
      </c>
      <c r="S15" s="19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1.2676478080325224E-2</v>
      </c>
      <c r="T15" s="467">
        <f t="shared" ref="T15" si="13">N15+Q15</f>
        <v>-11254417.883636951</v>
      </c>
      <c r="U15" s="468">
        <f t="shared" ref="U15" si="14">T15/$AE$7</f>
        <v>-4.4583244252732138E-3</v>
      </c>
      <c r="V15" s="448">
        <f t="shared" ref="V15" si="15">P15+S15</f>
        <v>1.2676478080325224E-2</v>
      </c>
      <c r="W15" s="329">
        <f t="shared" ref="W15" si="16">$W$10/(I15/L15*M15)</f>
        <v>25139.109670801699</v>
      </c>
      <c r="X15" s="125"/>
      <c r="Y15" s="447">
        <f>Tabelad[[#This Row],[Exp %]]*$Y$10*$AD$7/Tabelad[[#This Row],[Price Today]]</f>
        <v>-6537.901222705842</v>
      </c>
      <c r="Z15" s="446">
        <f>Tabelad[[#This Row],[Vol 10d]]/16*Tabelad[[#This Row],[Exp %]]*100</f>
        <v>-0.50863022812553271</v>
      </c>
      <c r="AA15" s="125">
        <f>Tabelad[[#This Row],[Exp %]]*Tabelad[[#This Row],[Beta]]</f>
        <v>-4.4628387627733412E-3</v>
      </c>
      <c r="AB15" s="14">
        <f>_xll.BDP($B15&amp;" Equity","volatility_10d")</f>
        <v>18.253682042239014</v>
      </c>
      <c r="AC15" s="14">
        <f>_xll.BDP(B15&amp;" EQUITY","eqy_beta")</f>
        <v>1.0010125637054443</v>
      </c>
      <c r="AD15" s="329">
        <f>Tabelad[[#This Row],[D1 P&amp;L bps]]*$AD$5/10000</f>
        <v>0</v>
      </c>
      <c r="AE15" s="265"/>
      <c r="AF15" s="445" t="str">
        <f>_xll.BDP(B15&amp;" Equity","EXPECTED_REPORT_DT")</f>
        <v>#N/A N/A</v>
      </c>
      <c r="AG15" s="444">
        <f>_xll.BDP(B15&amp;" Index","CHG_PCT_1D_PRE_FROM_REGULAR")/100</f>
        <v>-4.8366479999999998E-3</v>
      </c>
      <c r="AH15" s="448">
        <f t="shared" ref="AH15" si="17">(T15*AG15)/$AD$7*10000</f>
        <v>0.21563345914848836</v>
      </c>
      <c r="AI15" s="443" t="str">
        <f>_xll.BDP(B15&amp;" Equity","DVD_EX_DT")</f>
        <v>22/12/2025</v>
      </c>
    </row>
    <row r="16" spans="1:39" s="496" customFormat="1">
      <c r="A16" s="562"/>
      <c r="B16" s="495" t="s">
        <v>88</v>
      </c>
      <c r="C16" s="496" t="s">
        <v>26</v>
      </c>
      <c r="E16" s="496" t="s">
        <v>137</v>
      </c>
      <c r="F16" s="563" t="s">
        <v>48</v>
      </c>
      <c r="G16" s="275"/>
      <c r="H16" s="564">
        <v>-120000</v>
      </c>
      <c r="I16" s="159" cm="1">
        <f t="array" ref="I16">_xll.BDP(B16&amp;" Equity","LAST_PRICE")</f>
        <v>102.52</v>
      </c>
      <c r="J16" s="565">
        <f t="shared" ref="J16" si="18">I16/K16-1</f>
        <v>0</v>
      </c>
      <c r="K16" s="566">
        <f>Tabelad[[#This Row],[Price Today]]</f>
        <v>102.52</v>
      </c>
      <c r="L16" s="567">
        <f>_xll.BDP(E16&amp;" Curncy","PX_LAST")</f>
        <v>1</v>
      </c>
      <c r="M16" s="568">
        <v>1</v>
      </c>
      <c r="N16" s="275">
        <f t="shared" ref="N16" si="19">IFERROR(IF(((I16/L16)*H16*M16)&lt;&gt;0,((I16/L16)*H16*M16),0),"-")</f>
        <v>-12302400</v>
      </c>
      <c r="O16" s="569">
        <f>IFERROR(IF(Tabelad[[#This Row],[D1 Exp USD]]&lt;&gt;0,N16/$AE$7,0),"-")</f>
        <v>-4.873471997980992E-3</v>
      </c>
      <c r="P16" s="570">
        <f>IFERROR(IF(Tabelad[[#This Row],[D1 Exp USD]]&lt;&gt;0,((I16-K16)/L16*M16*H16)/$AD$7*10000,0),"-")</f>
        <v>0</v>
      </c>
      <c r="Q16" s="275">
        <f>IF(SUM(SUMIFS(Options!$AL$4:$AL$28, Options!$D$4:$D$28, B16), SUMIFS(Options!$AL$4:$AL$28, Options!$D$4:$D$28, B16 &amp; " US"))=0,0,SUM(SUMIFS(Options!$AL$4:$AL$28, Options!$D$4:$D$28, B16), SUMIFS(Options!$AL$4:$AL$28, Options!$D$4:$D$28, B16 &amp; " US")))</f>
        <v>0</v>
      </c>
      <c r="R16" s="497">
        <f>Q16/$AE$7</f>
        <v>0</v>
      </c>
      <c r="S16" s="570">
        <f>IF(SUM(SUMIFS(Options!$AK$4:$AK$28, Options!$D$4:$D$28, B16), SUMIFS(Options!$AK$4:$AK$28, Options!$D$4:$D$28, B16 &amp; " US"))=0,0,SUM(SUMIFS(Options!$AK$4:$AK$28, Options!$D$4:$D$28, B16), SUMIFS(Options!AK$4:$AK$28, Options!$D$4:$D$28, B16 &amp; " US")))</f>
        <v>0</v>
      </c>
      <c r="T16" s="571">
        <f t="shared" ref="T16" si="20">N16+Q16</f>
        <v>-12302400</v>
      </c>
      <c r="U16" s="572">
        <f t="shared" ref="U16" si="21">T16/$AE$7</f>
        <v>-4.873471997980992E-3</v>
      </c>
      <c r="V16" s="570">
        <f t="shared" ref="V16" si="22">P16+S16</f>
        <v>0</v>
      </c>
      <c r="W16" s="275">
        <f t="shared" ref="W16" si="23">$W$10/(I16/L16*M16)</f>
        <v>147738.61433866565</v>
      </c>
      <c r="X16" s="497"/>
      <c r="Y16" s="573">
        <f>Tabelad[[#This Row],[Exp %]]*$Y$10*$AD$7/Tabelad[[#This Row],[Price Today]]</f>
        <v>-42000</v>
      </c>
      <c r="Z16" s="574">
        <f>Tabelad[[#This Row],[Vol 10d]]/16*Tabelad[[#This Row],[Exp %]]*100</f>
        <v>-0.53412226782978789</v>
      </c>
      <c r="AA16" s="497">
        <f>Tabelad[[#This Row],[Exp %]]*Tabelad[[#This Row],[Beta]]</f>
        <v>-4.8632429800714114E-3</v>
      </c>
      <c r="AB16" s="159">
        <f>_xll.BDP($B16&amp;" Equity","volatility_10d")</f>
        <v>17.535663052577448</v>
      </c>
      <c r="AC16" s="159">
        <f>_xll.BDP(B16&amp;" EQUITY","eqy_beta")</f>
        <v>0.99790108203887939</v>
      </c>
      <c r="AD16" s="275">
        <f>Tabelad[[#This Row],[D1 P&amp;L bps]]*$AD$5/10000</f>
        <v>0</v>
      </c>
      <c r="AE16" s="498"/>
      <c r="AF16" s="575" t="str">
        <f>_xll.BDP(B16&amp;" Equity","EXPECTED_REPORT_DT")</f>
        <v>#N/A N/A</v>
      </c>
      <c r="AG16" s="576">
        <f>_xll.BDP(B16&amp;" Index","CHG_PCT_1D_PRE_FROM_REGULAR")/100</f>
        <v>-7.0921359999999998E-3</v>
      </c>
      <c r="AH16" s="570">
        <f t="shared" ref="AH16" si="24">(T16*AG16)/$AD$7*10000</f>
        <v>0.34563326201872924</v>
      </c>
      <c r="AI16" s="577" t="str">
        <f>_xll.BDP(B16&amp;" Equity","DVD_EX_DT")</f>
        <v>23/12/2025</v>
      </c>
    </row>
    <row r="17" spans="1:35" s="578" customFormat="1">
      <c r="A17" s="264"/>
      <c r="B17" s="39" t="s">
        <v>573</v>
      </c>
      <c r="C17" s="578" t="s">
        <v>26</v>
      </c>
      <c r="E17" s="578" t="s">
        <v>137</v>
      </c>
      <c r="F17" s="579" t="str">
        <f t="shared" si="3"/>
        <v>Short</v>
      </c>
      <c r="G17" s="15"/>
      <c r="H17" s="494">
        <v>-35</v>
      </c>
      <c r="I17" s="35" cm="1">
        <f t="array" ref="I17">_xll.BDP(B17&amp;" Index","LAST_PRICE")</f>
        <v>24821.25</v>
      </c>
      <c r="J17" s="50">
        <f t="shared" si="4"/>
        <v>-5.3995031255008596E-3</v>
      </c>
      <c r="K17" s="354">
        <f>_xll.BDP(B17&amp;" Index","PX_YEST_CLOSE")</f>
        <v>24956</v>
      </c>
      <c r="L17" s="52">
        <f>_xll.BDP(E17&amp;" Curncy","PX_LAST")</f>
        <v>1</v>
      </c>
      <c r="M17" s="51">
        <v>20</v>
      </c>
      <c r="N17" s="15">
        <f t="shared" si="5"/>
        <v>-17374875</v>
      </c>
      <c r="O17" s="284">
        <f>IFERROR(IF(Tabelad[[#This Row],[D1 Exp USD]]&lt;&gt;0,N17/$AE$7,0),"-")</f>
        <v>-6.8828819401840283E-3</v>
      </c>
      <c r="P17" s="19">
        <f>IFERROR(IF(Tabelad[[#This Row],[D1 Exp USD]]&lt;&gt;0,((I17-K17)/L17*M17*H17)/$AD$7*10000,0),"-")</f>
        <v>0.37365899841458339</v>
      </c>
      <c r="Q17" s="15"/>
      <c r="R17" s="18"/>
      <c r="S17" s="19"/>
      <c r="T17" s="580">
        <f t="shared" si="6"/>
        <v>-17374875</v>
      </c>
      <c r="U17" s="47">
        <f t="shared" si="7"/>
        <v>-6.8828819401840283E-3</v>
      </c>
      <c r="V17" s="19">
        <f t="shared" si="8"/>
        <v>0.37365899841458339</v>
      </c>
      <c r="W17" s="15">
        <f t="shared" si="9"/>
        <v>30.510475382988368</v>
      </c>
      <c r="X17" s="18"/>
      <c r="Y17" s="300">
        <f>Tabelad[[#This Row],[Exp %]]*$Y$10*$AD$7/Tabelad[[#This Row],[Price Today]]</f>
        <v>-244.99999999999997</v>
      </c>
      <c r="Z17" s="195">
        <f>Tabelad[[#This Row],[Vol 10d]]/16*Tabelad[[#This Row],[Exp %]]*100</f>
        <v>-0.78652288945301363</v>
      </c>
      <c r="AA17" s="18"/>
      <c r="AB17" s="35">
        <f>_xll.BDP($B17&amp;" Index","volatility_10d")</f>
        <v>18.283571243286133</v>
      </c>
      <c r="AC17" s="35" t="str">
        <f>_xll.BDP(B17&amp;" Index","eqy_beta")</f>
        <v>#N/A Field Not Applicable</v>
      </c>
      <c r="AD17" s="15">
        <f>Tabelad[[#This Row],[D1 P&amp;L bps]]*$AD$5/10000</f>
        <v>88578.124604383702</v>
      </c>
      <c r="AE17" s="206"/>
      <c r="AF17" s="185" t="str">
        <f>_xll.BDP(B17&amp;" Index","EXPECTED_REPORT_DT")</f>
        <v>#N/A Field Not Applicable</v>
      </c>
      <c r="AG17" s="139" t="e">
        <f>_xll.BDP(B17&amp;" Index","CHG_PCT_1D_PRE_FROM_REGULAR")/100</f>
        <v>#VALUE!</v>
      </c>
      <c r="AH17" s="19" t="e">
        <f t="shared" si="10"/>
        <v>#VALUE!</v>
      </c>
      <c r="AI17" s="581" t="str">
        <f>_xll.BDP(B17&amp;" Index","DVD_EX_DT")</f>
        <v>#N/A Field Not Applicable</v>
      </c>
    </row>
    <row r="18" spans="1:35" s="584" customFormat="1">
      <c r="A18" s="582"/>
      <c r="B18" s="583" t="s">
        <v>573</v>
      </c>
      <c r="C18" s="584" t="s">
        <v>26</v>
      </c>
      <c r="E18" s="584" t="s">
        <v>137</v>
      </c>
      <c r="F18" s="585" t="str">
        <f t="shared" si="3"/>
        <v>Short</v>
      </c>
      <c r="G18" s="586"/>
      <c r="H18" s="587"/>
      <c r="I18" s="588" cm="1">
        <f t="array" ref="I18">_xll.BDP(B18&amp;" Index","LAST_PRICE")</f>
        <v>24821.25</v>
      </c>
      <c r="J18" s="589">
        <f t="shared" si="4"/>
        <v>0</v>
      </c>
      <c r="K18" s="590">
        <f>Tabelad[[#This Row],[Price Today]]</f>
        <v>24821.25</v>
      </c>
      <c r="L18" s="591">
        <f>_xll.BDP(E18&amp;" Curncy","PX_LAST")</f>
        <v>1</v>
      </c>
      <c r="M18" s="592">
        <v>20</v>
      </c>
      <c r="N18" s="586">
        <f t="shared" si="5"/>
        <v>0</v>
      </c>
      <c r="O18" s="593">
        <f>IFERROR(IF(Tabelad[[#This Row],[D1 Exp USD]]&lt;&gt;0,N18/$AE$7,0),"-")</f>
        <v>0</v>
      </c>
      <c r="P18" s="594">
        <f>IFERROR(IF(Tabelad[[#This Row],[D1 Exp USD]]&lt;&gt;0,((I18-K18)/L18*M18*H18)/$AD$7*10000,0),"-")</f>
        <v>0</v>
      </c>
      <c r="Q18" s="586"/>
      <c r="R18" s="595"/>
      <c r="S18" s="594"/>
      <c r="T18" s="596">
        <f t="shared" si="6"/>
        <v>0</v>
      </c>
      <c r="U18" s="597">
        <f t="shared" si="7"/>
        <v>0</v>
      </c>
      <c r="V18" s="594">
        <f t="shared" si="8"/>
        <v>0</v>
      </c>
      <c r="W18" s="586">
        <f t="shared" si="9"/>
        <v>30.510475382988368</v>
      </c>
      <c r="X18" s="595"/>
      <c r="Y18" s="598">
        <f>Tabelad[[#This Row],[Exp %]]*$Y$10*$AD$7/Tabelad[[#This Row],[Price Today]]</f>
        <v>0</v>
      </c>
      <c r="Z18" s="599">
        <f>Tabelad[[#This Row],[Vol 10d]]/16*Tabelad[[#This Row],[Exp %]]*100</f>
        <v>0</v>
      </c>
      <c r="AA18" s="595"/>
      <c r="AB18" s="588">
        <f>_xll.BDP($B18&amp;" Index","volatility_10d")</f>
        <v>18.283571243286133</v>
      </c>
      <c r="AC18" s="588" t="str">
        <f>_xll.BDP(B18&amp;" Index","eqy_beta")</f>
        <v>#N/A Field Not Applicable</v>
      </c>
      <c r="AD18" s="586">
        <f>Tabelad[[#This Row],[D1 P&amp;L bps]]*$AD$5/10000</f>
        <v>0</v>
      </c>
      <c r="AE18" s="600"/>
      <c r="AF18" s="601" t="str">
        <f>_xll.BDP(B18&amp;" Index","EXPECTED_REPORT_DT")</f>
        <v>#N/A Field Not Applicable</v>
      </c>
      <c r="AG18" s="602" t="e">
        <f>_xll.BDP(B18&amp;" Index","CHG_PCT_1D_PRE_FROM_REGULAR")/100</f>
        <v>#VALUE!</v>
      </c>
      <c r="AH18" s="594" t="e">
        <f t="shared" si="10"/>
        <v>#VALUE!</v>
      </c>
      <c r="AI18" s="603" t="str">
        <f>_xll.BDP(B18&amp;" Index","DVD_EX_DT")</f>
        <v>#N/A Field Not Applicable</v>
      </c>
    </row>
    <row r="19" spans="1:35" s="58" customFormat="1">
      <c r="A19" s="462"/>
      <c r="B19" s="348" t="s">
        <v>573</v>
      </c>
      <c r="C19" s="58" t="s">
        <v>26</v>
      </c>
      <c r="E19" s="58" t="s">
        <v>137</v>
      </c>
      <c r="F19" s="133" t="str">
        <f t="shared" ref="F19" si="25">IF(T19&gt;0,"Long","Short")</f>
        <v>Short</v>
      </c>
      <c r="G19" s="329"/>
      <c r="H19" s="489">
        <v>-75</v>
      </c>
      <c r="I19" s="14" cm="1">
        <f t="array" ref="I19">_xll.BDP(B19&amp;" Index","LAST_PRICE")</f>
        <v>24821.25</v>
      </c>
      <c r="J19" s="450">
        <f t="shared" ref="J19" si="26">I19/K19-1</f>
        <v>-1.1077989042862502E-4</v>
      </c>
      <c r="K19" s="552">
        <v>24824</v>
      </c>
      <c r="L19" s="8">
        <f>_xll.BDP(E19&amp;" Curncy","PX_LAST")</f>
        <v>1</v>
      </c>
      <c r="M19" s="449">
        <v>20</v>
      </c>
      <c r="N19" s="329">
        <f t="shared" ref="N19" si="27">IFERROR(IF(((I19/L19)*H19*M19)&lt;&gt;0,((I19/L19)*H19*M19),0),"-")</f>
        <v>-37231875</v>
      </c>
      <c r="O19" s="466">
        <f>IFERROR(IF(Tabelad[[#This Row],[D1 Exp USD]]&lt;&gt;0,N19/$AE$7,0),"-")</f>
        <v>-1.4749032728965775E-2</v>
      </c>
      <c r="P19" s="448">
        <f>IFERROR(IF(Tabelad[[#This Row],[D1 Exp USD]]&lt;&gt;0,((I19-K19)/L19*M19*H19)/$AD$7*10000,0),"-")</f>
        <v>1.6340772525419101E-2</v>
      </c>
      <c r="Q19" s="329"/>
      <c r="R19" s="125"/>
      <c r="S19" s="448"/>
      <c r="T19" s="467">
        <f t="shared" ref="T19" si="28">N19+Q19</f>
        <v>-37231875</v>
      </c>
      <c r="U19" s="468">
        <f t="shared" ref="U19" si="29">T19/$AE$7</f>
        <v>-1.4749032728965775E-2</v>
      </c>
      <c r="V19" s="448">
        <f t="shared" ref="V19" si="30">P19+S19</f>
        <v>1.6340772525419101E-2</v>
      </c>
      <c r="W19" s="329">
        <f t="shared" ref="W19" si="31">$W$10/(I19/L19*M19)</f>
        <v>30.510475382988368</v>
      </c>
      <c r="X19" s="125"/>
      <c r="Y19" s="447">
        <f>Tabelad[[#This Row],[Exp %]]*$Y$10*$AD$7/Tabelad[[#This Row],[Price Today]]</f>
        <v>-525</v>
      </c>
      <c r="Z19" s="446">
        <f>Tabelad[[#This Row],[Vol 10d]]/16*Tabelad[[#This Row],[Exp %]]*100</f>
        <v>-1.6854061916850289</v>
      </c>
      <c r="AA19" s="125"/>
      <c r="AB19" s="14">
        <f>_xll.BDP($B19&amp;" Index","volatility_10d")</f>
        <v>18.283571243286133</v>
      </c>
      <c r="AC19" s="14" t="str">
        <f>_xll.BDP(B19&amp;" Index","eqy_beta")</f>
        <v>#N/A Field Not Applicable</v>
      </c>
      <c r="AD19" s="329">
        <f>Tabelad[[#This Row],[D1 P&amp;L bps]]*$AD$5/10000</f>
        <v>3873.6789185590551</v>
      </c>
      <c r="AE19" s="265"/>
      <c r="AF19" s="445" t="str">
        <f>_xll.BDP(B19&amp;" Index","EXPECTED_REPORT_DT")</f>
        <v>#N/A Field Not Applicable</v>
      </c>
      <c r="AG19" s="444" t="e">
        <f>_xll.BDP(B19&amp;" Index","CHG_PCT_1D_PRE_FROM_REGULAR")/100</f>
        <v>#VALUE!</v>
      </c>
      <c r="AH19" s="448" t="e">
        <f t="shared" ref="AH19" si="32">(T19*AG19)/$AD$7*10000</f>
        <v>#VALUE!</v>
      </c>
      <c r="AI19" s="443" t="str">
        <f>_xll.BDP(B19&amp;" Index","DVD_EX_DT")</f>
        <v>#N/A Field Not Applicable</v>
      </c>
    </row>
    <row r="20" spans="1:35">
      <c r="B20" s="39" t="s">
        <v>807</v>
      </c>
      <c r="C20" t="s">
        <v>830</v>
      </c>
      <c r="E20" t="s">
        <v>137</v>
      </c>
      <c r="F20" s="21" t="s">
        <v>47</v>
      </c>
      <c r="G20" s="15"/>
      <c r="H20" s="488">
        <v>12450</v>
      </c>
      <c r="I20" s="35" cm="1">
        <f t="array" ref="I20">_xll.BDP(B20&amp;" Equity","LAST_PRICE")</f>
        <v>304.8</v>
      </c>
      <c r="J20" s="50">
        <f t="shared" si="4"/>
        <v>2.8295058235179305E-3</v>
      </c>
      <c r="K20" s="354">
        <f>_xll.BDP(B20&amp;" equity","PX_YEST_CLOSE")</f>
        <v>303.94</v>
      </c>
      <c r="L20" s="52">
        <f>_xll.BDP(E20&amp;" Curncy","PX_LAST")</f>
        <v>1</v>
      </c>
      <c r="M20" s="51">
        <v>1</v>
      </c>
      <c r="N20" s="15">
        <f t="shared" si="5"/>
        <v>3794760</v>
      </c>
      <c r="O20" s="284">
        <f>IFERROR(IF(Tabelad[[#This Row],[D1 Exp USD]]&lt;&gt;0,N20/$AE$7,0),"-")</f>
        <v>1.5032559987529547E-3</v>
      </c>
      <c r="P20" s="19">
        <f>IFERROR(IF(Tabelad[[#This Row],[D1 Exp USD]]&lt;&gt;0,((I20-K20)/L20*M20*H20)/$AD$7*10000,0),"-")</f>
        <v>4.2414703376888498E-2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0</v>
      </c>
      <c r="R20" s="18">
        <f t="shared" ref="R20:R27" si="33">Q20/$AE$7</f>
        <v>0</v>
      </c>
      <c r="S20" s="19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0</v>
      </c>
      <c r="T20" s="13">
        <f t="shared" si="6"/>
        <v>3794760</v>
      </c>
      <c r="U20" s="47">
        <f t="shared" si="7"/>
        <v>1.5032559987529547E-3</v>
      </c>
      <c r="V20" s="19">
        <f t="shared" si="8"/>
        <v>4.2414703376888498E-2</v>
      </c>
      <c r="W20" s="15">
        <f t="shared" si="9"/>
        <v>49692.134980314964</v>
      </c>
      <c r="X20" s="18"/>
      <c r="Y20" s="300">
        <f>Tabelad[[#This Row],[Exp %]]*$Y$10*$AD$7/Tabelad[[#This Row],[Price Today]]</f>
        <v>4357.5</v>
      </c>
      <c r="Z20" s="195">
        <f>Tabelad[[#This Row],[Vol 10d]]/16*Tabelad[[#This Row],[Exp %]]*100</f>
        <v>0.17287672364470819</v>
      </c>
      <c r="AA20" s="18">
        <f>Tabelad[[#This Row],[Exp %]]*Tabelad[[#This Row],[Beta]]</f>
        <v>1.5579119162300447E-3</v>
      </c>
      <c r="AB20" s="35">
        <f>_xll.BDP($B20&amp;" Equity","volatility_10d")</f>
        <v>18.400243076428264</v>
      </c>
      <c r="AC20" s="35">
        <f>_xll.BDP(B20&amp;" EQUITY","eqy_beta")</f>
        <v>1.0363583564758301</v>
      </c>
      <c r="AD20" s="15">
        <f>Tabelad[[#This Row],[D1 P&amp;L bps]]*$AD$5/10000</f>
        <v>10054.661862063624</v>
      </c>
      <c r="AE20" s="206"/>
      <c r="AF20" s="185" t="str">
        <f>_xll.BDP(B20&amp;" Equity","EXPECTED_REPORT_DT")</f>
        <v>24/04/2026</v>
      </c>
      <c r="AG20" s="139">
        <f>_xll.BDP(B20&amp;" Index","CHG_PCT_1D_PRE_FROM_REGULAR")/100</f>
        <v>-5.8234819999999996E-3</v>
      </c>
      <c r="AH20" s="19">
        <f t="shared" si="10"/>
        <v>-8.7541842501298539E-2</v>
      </c>
      <c r="AI20" s="360" t="str">
        <f>_xll.BDP(B20&amp;" Equity","DVD_EX_DT")</f>
        <v>09/03/2026</v>
      </c>
    </row>
    <row r="21" spans="1:35">
      <c r="B21" s="39" t="s">
        <v>29</v>
      </c>
      <c r="C21" t="s">
        <v>830</v>
      </c>
      <c r="E21" t="s">
        <v>137</v>
      </c>
      <c r="F21" s="21" t="s">
        <v>47</v>
      </c>
      <c r="G21" s="15"/>
      <c r="H21" s="488">
        <v>9100</v>
      </c>
      <c r="I21" s="35" cm="1">
        <f t="array" ref="I21">_xll.BDP(B21&amp;" Equity","LAST_PRICE")</f>
        <v>644.38499999999999</v>
      </c>
      <c r="J21" s="50">
        <f t="shared" si="4"/>
        <v>1.8111999005006041E-3</v>
      </c>
      <c r="K21" s="354">
        <f>_xll.BDP(B21&amp;" equity","PX_YEST_CLOSE")</f>
        <v>643.22</v>
      </c>
      <c r="L21" s="52">
        <f>_xll.BDP(E21&amp;" Curncy","PX_LAST")</f>
        <v>1</v>
      </c>
      <c r="M21" s="51">
        <v>1</v>
      </c>
      <c r="N21" s="15">
        <f t="shared" si="5"/>
        <v>5863903.5</v>
      </c>
      <c r="O21" s="284">
        <f>IFERROR(IF(Tabelad[[#This Row],[D1 Exp USD]]&lt;&gt;0,N21/$AE$7,0),"-")</f>
        <v>2.3229263807153671E-3</v>
      </c>
      <c r="P21" s="19">
        <f>IFERROR(IF(Tabelad[[#This Row],[D1 Exp USD]]&lt;&gt;0,((I21-K21)/L21*M21*H21)/$AD$7*10000,0),"-")</f>
        <v>4.1996775740175803E-2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3270563.0928558107</v>
      </c>
      <c r="R21" s="18">
        <f>Q21/$AE$7</f>
        <v>1.295600667403344E-3</v>
      </c>
      <c r="S21" s="19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1.0101568470259224E-2</v>
      </c>
      <c r="T21" s="13">
        <f t="shared" si="6"/>
        <v>9134466.5928558111</v>
      </c>
      <c r="U21" s="47">
        <f t="shared" si="7"/>
        <v>3.6185270481187111E-3</v>
      </c>
      <c r="V21" s="19">
        <f t="shared" si="8"/>
        <v>5.2098344210435028E-2</v>
      </c>
      <c r="W21" s="15">
        <f t="shared" si="9"/>
        <v>23504.83444214251</v>
      </c>
      <c r="X21" s="18"/>
      <c r="Y21" s="300">
        <f>Tabelad[[#This Row],[Exp %]]*$Y$10*$AD$7/Tabelad[[#This Row],[Price Today]]</f>
        <v>4961.4179527759543</v>
      </c>
      <c r="Z21" s="195">
        <f>Tabelad[[#This Row],[Vol 10d]]/16*Tabelad[[#This Row],[Exp %]]*100</f>
        <v>0.54228853926238685</v>
      </c>
      <c r="AA21" s="18">
        <f>Tabelad[[#This Row],[Exp %]]*Tabelad[[#This Row],[Beta]]</f>
        <v>4.3199799568006429E-3</v>
      </c>
      <c r="AB21" s="35">
        <f>_xll.BDP($B21&amp;" Equity","volatility_10d")</f>
        <v>23.978310823209689</v>
      </c>
      <c r="AC21" s="35" cm="1">
        <f t="array" ref="AC21">_xll.BDP(B21&amp;" EQUITY","eqy_beta")</f>
        <v>1.1938503980636597</v>
      </c>
      <c r="AD21" s="15">
        <f>Tabelad[[#This Row],[D1 P&amp;L bps]]*$AD$5/10000</f>
        <v>9955.5895891157652</v>
      </c>
      <c r="AE21" s="206"/>
      <c r="AF21" s="185" t="str">
        <f>_xll.BDP(B21&amp;" Equity","EXPECTED_REPORT_DT")</f>
        <v>30/04/2026</v>
      </c>
      <c r="AG21" s="139" t="e">
        <f>_xll.BDP(B21&amp;" Index","CHG_PCT_1D_PRE_FROM_REGULAR")/100</f>
        <v>#VALUE!</v>
      </c>
      <c r="AH21" s="19" t="e">
        <f t="shared" si="10"/>
        <v>#VALUE!</v>
      </c>
      <c r="AI21" s="360" t="str">
        <f>_xll.BDP(B21&amp;" Equity","DVD_EX_DT")</f>
        <v>16/03/2026</v>
      </c>
    </row>
    <row r="22" spans="1:35">
      <c r="B22" s="39" t="s">
        <v>316</v>
      </c>
      <c r="C22" t="s">
        <v>830</v>
      </c>
      <c r="E22" t="s">
        <v>137</v>
      </c>
      <c r="F22" s="21" t="s">
        <v>48</v>
      </c>
      <c r="G22" s="15"/>
      <c r="H22" s="488"/>
      <c r="I22" s="35" cm="1">
        <f t="array" ref="I22">_xll.BDP(B22&amp;" Equity","LAST_PRICE")</f>
        <v>204.53100000000001</v>
      </c>
      <c r="J22" s="50">
        <f t="shared" si="4"/>
        <v>-1.2647101909272207E-3</v>
      </c>
      <c r="K22" s="354">
        <f>_xll.BDP(B22&amp;" equity","PX_YEST_CLOSE")</f>
        <v>204.79</v>
      </c>
      <c r="L22" s="52">
        <f>_xll.BDP(E22&amp;" Curncy","PX_LAST")</f>
        <v>1</v>
      </c>
      <c r="M22" s="51">
        <v>1</v>
      </c>
      <c r="N22" s="15">
        <f t="shared" si="5"/>
        <v>0</v>
      </c>
      <c r="O22" s="284">
        <f>IFERROR(IF(Tabelad[[#This Row],[D1 Exp USD]]&lt;&gt;0,N22/$AE$7,0),"-")</f>
        <v>0</v>
      </c>
      <c r="P22" s="19">
        <f>IFERROR(IF(Tabelad[[#This Row],[D1 Exp USD]]&lt;&gt;0,((I22-K22)/L22*M22*H22)/$AD$7*10000,0),"-")</f>
        <v>0</v>
      </c>
      <c r="Q22" s="1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-320583.03708001995</v>
      </c>
      <c r="R22" s="18">
        <f>Q22/$AE$7</f>
        <v>-1.26995745077154E-4</v>
      </c>
      <c r="S22" s="19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-9.5073585602438501E-3</v>
      </c>
      <c r="T22" s="13">
        <f t="shared" si="6"/>
        <v>-320583.03708001995</v>
      </c>
      <c r="U22" s="47">
        <f t="shared" si="7"/>
        <v>-1.26995745077154E-4</v>
      </c>
      <c r="V22" s="19">
        <f t="shared" si="8"/>
        <v>-9.5073585602438501E-3</v>
      </c>
      <c r="W22" s="15">
        <f t="shared" si="9"/>
        <v>74053.139827214458</v>
      </c>
      <c r="X22" s="18"/>
      <c r="Y22" s="300">
        <f>Tabelad[[#This Row],[Exp %]]*$Y$10*$AD$7/Tabelad[[#This Row],[Price Today]]</f>
        <v>-548.59196394681965</v>
      </c>
      <c r="Z22" s="195">
        <f>Tabelad[[#This Row],[Vol 10d]]/16*Tabelad[[#This Row],[Exp %]]*100</f>
        <v>-2.7870576839607291E-2</v>
      </c>
      <c r="AA22" s="18">
        <f>Tabelad[[#This Row],[Exp %]]*Tabelad[[#This Row],[Beta]]</f>
        <v>-1.6272610603547801E-4</v>
      </c>
      <c r="AB22" s="35">
        <f>_xll.BDP($B22&amp;" Equity","volatility_10d")</f>
        <v>35.113714177022253</v>
      </c>
      <c r="AC22" s="35" cm="1">
        <f t="array" ref="AC22">_xll.BDP(B22&amp;" EQUITY","eqy_beta")</f>
        <v>1.28135085105896</v>
      </c>
      <c r="AD22" s="15">
        <f>Tabelad[[#This Row],[D1 P&amp;L bps]]*$AD$5/10000</f>
        <v>0</v>
      </c>
      <c r="AE22" s="206"/>
      <c r="AF22" s="185" t="str">
        <f>_xll.BDP(B22&amp;" Equity","EXPECTED_REPORT_DT")</f>
        <v>01/05/2026</v>
      </c>
      <c r="AG22" s="139">
        <f>_xll.BDP(B22&amp;" Index","CHG_PCT_1D_PRE_FROM_REGULAR")/100</f>
        <v>-4.8341729999999998E-3</v>
      </c>
      <c r="AH22" s="19">
        <f t="shared" si="10"/>
        <v>6.1391940196686076E-3</v>
      </c>
      <c r="AI22" s="360" t="str">
        <f>_xll.BDP(B22&amp;" Equity","DVD_EX_DT")</f>
        <v>#N/A Field Not Applicable</v>
      </c>
    </row>
    <row r="23" spans="1:35">
      <c r="B23" s="39" t="s">
        <v>978</v>
      </c>
      <c r="C23" t="s">
        <v>830</v>
      </c>
      <c r="E23" t="s">
        <v>137</v>
      </c>
      <c r="F23" s="21" t="s">
        <v>48</v>
      </c>
      <c r="G23" s="15"/>
      <c r="H23" s="488"/>
      <c r="I23" s="35" cm="1">
        <f t="array" ref="I23">_xll.BDP(B23&amp;" Equity","LAST_PRICE")</f>
        <v>77.209999999999994</v>
      </c>
      <c r="J23" s="50">
        <f t="shared" si="4"/>
        <v>-1.000128221566865E-2</v>
      </c>
      <c r="K23" s="354">
        <f>_xll.BDP(B23&amp;" equity","PX_YEST_CLOSE")</f>
        <v>77.989999999999995</v>
      </c>
      <c r="L23" s="52">
        <f>_xll.BDP(E23&amp;" Curncy","PX_LAST")</f>
        <v>1</v>
      </c>
      <c r="M23" s="51">
        <v>1</v>
      </c>
      <c r="N23" s="15">
        <f t="shared" si="5"/>
        <v>0</v>
      </c>
      <c r="O23" s="284">
        <f>IFERROR(IF(Tabelad[[#This Row],[D1 Exp USD]]&lt;&gt;0,N23/$AE$7,0),"-")</f>
        <v>0</v>
      </c>
      <c r="P23" s="19">
        <f>IFERROR(IF(Tabelad[[#This Row],[D1 Exp USD]]&lt;&gt;0,((I23-K23)/L23*M23*H23)/$AD$7*10000,0),"-")</f>
        <v>0</v>
      </c>
      <c r="Q23" s="15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-407828.8119256497</v>
      </c>
      <c r="R23" s="18">
        <f>Q23/$AE$7</f>
        <v>-1.6155728109064167E-4</v>
      </c>
      <c r="S23" s="19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-7.922798800203551E-4</v>
      </c>
      <c r="T23" s="13">
        <f t="shared" si="6"/>
        <v>-407828.8119256497</v>
      </c>
      <c r="U23" s="47">
        <f t="shared" si="7"/>
        <v>-1.6155728109064167E-4</v>
      </c>
      <c r="V23" s="19">
        <f t="shared" si="8"/>
        <v>-7.922798800203551E-4</v>
      </c>
      <c r="W23" s="15">
        <f t="shared" si="9"/>
        <v>196168.40748607696</v>
      </c>
      <c r="X23" s="18"/>
      <c r="Y23" s="300">
        <f>Tabelad[[#This Row],[Exp %]]*$Y$10*$AD$7/Tabelad[[#This Row],[Price Today]]</f>
        <v>-1848.725348711014</v>
      </c>
      <c r="Z23" s="195">
        <f>Tabelad[[#This Row],[Vol 10d]]/16*Tabelad[[#This Row],[Exp %]]*100</f>
        <v>-3.636138159093754E-2</v>
      </c>
      <c r="AA23" s="18">
        <f>Tabelad[[#This Row],[Exp %]]*Tabelad[[#This Row],[Beta]]</f>
        <v>-1.820722975737772E-4</v>
      </c>
      <c r="AB23" s="35">
        <f>_xll.BDP($B23&amp;" Equity","volatility_10d")</f>
        <v>36.010887378612907</v>
      </c>
      <c r="AC23" s="35" cm="1">
        <f t="array" ref="AC23">_xll.BDP(B23&amp;" EQUITY","eqy_beta")</f>
        <v>1.1269829273223877</v>
      </c>
      <c r="AD23" s="15">
        <f>Tabelad[[#This Row],[D1 P&amp;L bps]]*$AD$5/10000</f>
        <v>0</v>
      </c>
      <c r="AE23" s="206"/>
      <c r="AF23" s="185" t="str">
        <f>_xll.BDP(B23&amp;" Equity","EXPECTED_REPORT_DT")</f>
        <v>17/04/2026</v>
      </c>
      <c r="AG23" s="139">
        <f>_xll.BDP(B23&amp;" Index","CHG_PCT_1D_PRE_FROM_REGULAR")/100</f>
        <v>-5.000633E-3</v>
      </c>
      <c r="AH23" s="19">
        <f t="shared" si="10"/>
        <v>8.0788867121213883E-3</v>
      </c>
      <c r="AI23" s="360" t="str">
        <f>_xll.BDP(B23&amp;" Equity","DVD_EX_DT")</f>
        <v>#N/A Field Not Applicable</v>
      </c>
    </row>
    <row r="24" spans="1:35">
      <c r="B24" s="39" t="s">
        <v>425</v>
      </c>
      <c r="C24" t="s">
        <v>796</v>
      </c>
      <c r="E24" t="s">
        <v>137</v>
      </c>
      <c r="F24" s="21" t="s">
        <v>47</v>
      </c>
      <c r="G24" s="15"/>
      <c r="H24" s="494">
        <v>58296</v>
      </c>
      <c r="I24" s="35" cm="1">
        <f t="array" ref="I24">_xll.BDP(B24&amp;" Equity","LAST_PRICE")</f>
        <v>134.76</v>
      </c>
      <c r="J24" s="50">
        <f t="shared" si="4"/>
        <v>1.3766644098397451E-2</v>
      </c>
      <c r="K24" s="354">
        <f>_xll.BDP(B24&amp;" equity","PX_YEST_CLOSE")</f>
        <v>132.93</v>
      </c>
      <c r="L24" s="52">
        <f>_xll.BDP(E24&amp;" Curncy","PX_LAST")</f>
        <v>1</v>
      </c>
      <c r="M24" s="51">
        <v>1</v>
      </c>
      <c r="N24" s="15">
        <f t="shared" si="5"/>
        <v>7855968.959999999</v>
      </c>
      <c r="O24" s="284">
        <f>IFERROR(IF(Tabelad[[#This Row],[D1 Exp USD]]&lt;&gt;0,N24/$AE$7,0),"-")</f>
        <v>3.1120630725360783E-3</v>
      </c>
      <c r="P24" s="19">
        <f>IFERROR(IF(Tabelad[[#This Row],[D1 Exp USD]]&lt;&gt;0,((I24-K24)/L24*M24*H24)/$AD$7*10000,0),"-")</f>
        <v>0.42260874315382718</v>
      </c>
      <c r="Q24" s="15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8">
        <f>Q24/$AE$7</f>
        <v>0</v>
      </c>
      <c r="S24" s="19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13">
        <f t="shared" si="6"/>
        <v>7855968.959999999</v>
      </c>
      <c r="U24" s="47">
        <f t="shared" si="7"/>
        <v>3.1120630725360783E-3</v>
      </c>
      <c r="V24" s="19">
        <f t="shared" si="8"/>
        <v>0.42260874315382718</v>
      </c>
      <c r="W24" s="15">
        <f t="shared" si="9"/>
        <v>112393.60894924311</v>
      </c>
      <c r="X24" s="18"/>
      <c r="Y24" s="300">
        <f>Tabelad[[#This Row],[Exp %]]*$Y$10*$AD$7/Tabelad[[#This Row],[Price Today]]</f>
        <v>20403.599999999999</v>
      </c>
      <c r="Z24" s="195">
        <f>Tabelad[[#This Row],[Vol 10d]]/16*Tabelad[[#This Row],[Exp %]]*100</f>
        <v>0.71659651088026033</v>
      </c>
      <c r="AA24" s="18">
        <f>Tabelad[[#This Row],[Exp %]]*Tabelad[[#This Row],[Beta]]</f>
        <v>2.7832016134380798E-3</v>
      </c>
      <c r="AB24" s="35">
        <f>_xll.BDP($B24&amp;" Equity","volatility_10d")</f>
        <v>36.842261570041636</v>
      </c>
      <c r="AC24" s="35">
        <f>_xll.BDP(B24&amp;" EQUITY","eqy_beta")</f>
        <v>0.89432686567306519</v>
      </c>
      <c r="AD24" s="15">
        <f>Tabelad[[#This Row],[D1 P&amp;L bps]]*$AD$5/10000</f>
        <v>100181.95753029322</v>
      </c>
      <c r="AE24" s="206"/>
      <c r="AF24" s="185" t="str">
        <f>_xll.BDP(B24&amp;" Equity","EXPECTED_REPORT_DT")</f>
        <v>#N/A N/A</v>
      </c>
      <c r="AG24" s="139">
        <f>_xll.BDP(B24&amp;" Index","CHG_PCT_1D_PRE_FROM_REGULAR")/100</f>
        <v>9.3282599999999997E-3</v>
      </c>
      <c r="AH24" s="19">
        <f t="shared" si="10"/>
        <v>0.29030133477015396</v>
      </c>
      <c r="AI24" s="360" t="str">
        <f>_xll.BDP(B24&amp;" Equity","DVD_EX_DT")</f>
        <v>16/12/2025</v>
      </c>
    </row>
    <row r="25" spans="1:35" s="58" customFormat="1" ht="15.75" thickBot="1">
      <c r="A25" s="462"/>
      <c r="B25" s="348" t="s">
        <v>425</v>
      </c>
      <c r="C25" s="58" t="s">
        <v>796</v>
      </c>
      <c r="E25" s="58" t="s">
        <v>137</v>
      </c>
      <c r="F25" s="133" t="s">
        <v>47</v>
      </c>
      <c r="G25" s="329"/>
      <c r="H25" s="489">
        <v>-27796</v>
      </c>
      <c r="I25" s="14" cm="1">
        <f t="array" ref="I25">_xll.BDP(B25&amp;" Equity","LAST_PRICE")</f>
        <v>134.76</v>
      </c>
      <c r="J25" s="450">
        <f t="shared" ref="J25" si="34">I25/K25-1</f>
        <v>4.9966440450441851E-3</v>
      </c>
      <c r="K25" s="552">
        <v>134.09</v>
      </c>
      <c r="L25" s="8">
        <f>_xll.BDP(E25&amp;" Curncy","PX_LAST")</f>
        <v>1</v>
      </c>
      <c r="M25" s="449">
        <v>1</v>
      </c>
      <c r="N25" s="329">
        <f t="shared" ref="N25" si="35">IFERROR(IF(((I25/L25)*H25*M25)&lt;&gt;0,((I25/L25)*H25*M25),0),"-")</f>
        <v>-3745788.96</v>
      </c>
      <c r="O25" s="466">
        <f>IFERROR(IF(Tabelad[[#This Row],[D1 Exp USD]]&lt;&gt;0,N25/$AE$7,0),"-")</f>
        <v>-1.4838566139051194E-3</v>
      </c>
      <c r="P25" s="448">
        <f>IFERROR(IF(Tabelad[[#This Row],[D1 Exp USD]]&lt;&gt;0,((I25-K25)/L25*M25*H25)/$AD$7*10000,0),"-")</f>
        <v>-7.3774408675898753E-2</v>
      </c>
      <c r="Q25" s="329"/>
      <c r="R25" s="125"/>
      <c r="S25" s="448"/>
      <c r="T25" s="467">
        <f t="shared" ref="T25" si="36">N25+Q25</f>
        <v>-3745788.96</v>
      </c>
      <c r="U25" s="468">
        <f t="shared" ref="U25" si="37">T25/$AE$7</f>
        <v>-1.4838566139051194E-3</v>
      </c>
      <c r="V25" s="448">
        <f t="shared" ref="V25" si="38">P25+S25</f>
        <v>-7.3774408675898753E-2</v>
      </c>
      <c r="W25" s="329">
        <f t="shared" ref="W25" si="39">$W$10/(I25/L25*M25)</f>
        <v>112393.60894924311</v>
      </c>
      <c r="X25" s="125"/>
      <c r="Y25" s="447">
        <f>Tabelad[[#This Row],[Exp %]]*$Y$10*$AD$7/Tabelad[[#This Row],[Price Today]]</f>
        <v>-9728.6</v>
      </c>
      <c r="Z25" s="446">
        <f>Tabelad[[#This Row],[Vol 10d]]/16*Tabelad[[#This Row],[Exp %]]*100</f>
        <v>-0.34167895938705428</v>
      </c>
      <c r="AA25" s="125">
        <f>Tabelad[[#This Row],[Exp %]]*Tabelad[[#This Row],[Beta]]</f>
        <v>-1.327052834622013E-3</v>
      </c>
      <c r="AB25" s="14">
        <f>_xll.BDP($B25&amp;" Equity","volatility_10d")</f>
        <v>36.842261570041636</v>
      </c>
      <c r="AC25" s="14">
        <f>_xll.BDP(B25&amp;" EQUITY","eqy_beta")</f>
        <v>0.89432686567306519</v>
      </c>
      <c r="AD25" s="329">
        <f>Tabelad[[#This Row],[D1 P&amp;L bps]]*$AD$5/10000</f>
        <v>-17488.66959456433</v>
      </c>
      <c r="AE25" s="265"/>
      <c r="AF25" s="445" t="str">
        <f>_xll.BDP(B25&amp;" Equity","EXPECTED_REPORT_DT")</f>
        <v>#N/A N/A</v>
      </c>
      <c r="AG25" s="444">
        <f>_xll.BDP(B25&amp;" Index","CHG_PCT_1D_PRE_FROM_REGULAR")/100</f>
        <v>9.3282599999999997E-3</v>
      </c>
      <c r="AH25" s="448">
        <f t="shared" ref="AH25" si="40">(T25*AG25)/$AD$7*10000</f>
        <v>-0.1384180029722657</v>
      </c>
      <c r="AI25" s="443" t="str">
        <f>_xll.BDP(B25&amp;" Equity","DVD_EX_DT")</f>
        <v>16/12/2025</v>
      </c>
    </row>
    <row r="26" spans="1:35">
      <c r="B26" s="407" t="s">
        <v>432</v>
      </c>
      <c r="C26" s="423" t="s">
        <v>796</v>
      </c>
      <c r="D26" s="423"/>
      <c r="E26" s="423" t="s">
        <v>770</v>
      </c>
      <c r="F26" s="424" t="s">
        <v>47</v>
      </c>
      <c r="G26" s="408"/>
      <c r="H26" s="490">
        <v>1563</v>
      </c>
      <c r="I26" s="409" cm="1">
        <f t="array" ref="I26">_xll.BDP(B26&amp;" Equity","LAST_PRICE")</f>
        <v>890000</v>
      </c>
      <c r="J26" s="410">
        <f t="shared" si="4"/>
        <v>4.5146726862301811E-3</v>
      </c>
      <c r="K26" s="411">
        <f>_xll.BDP(B26&amp;" equity","PX_YEST_CLOSE")</f>
        <v>886000</v>
      </c>
      <c r="L26" s="412">
        <f>_xll.BDP(E26&amp;" Curncy","PX_LAST")</f>
        <v>1450.25</v>
      </c>
      <c r="M26" s="413">
        <v>1</v>
      </c>
      <c r="N26" s="408">
        <f t="shared" si="5"/>
        <v>959193.24254438898</v>
      </c>
      <c r="O26" s="414">
        <f>IFERROR(IF(Tabelad[[#This Row],[D1 Exp USD]]&lt;&gt;0,N26/$AE$7,0),"-")</f>
        <v>3.7997475355968507E-4</v>
      </c>
      <c r="P26" s="415">
        <f>IFERROR(IF(Tabelad[[#This Row],[D1 Exp USD]]&lt;&gt;0,((I26-K26)/L26*M26*H26)/$AD$7*10000,0),"-")</f>
        <v>1.7077517013918429E-2</v>
      </c>
      <c r="Q26" s="408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416">
        <f t="shared" si="33"/>
        <v>0</v>
      </c>
      <c r="S26" s="417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25">
        <f t="shared" si="6"/>
        <v>959193.24254438898</v>
      </c>
      <c r="U26" s="405">
        <f t="shared" si="7"/>
        <v>3.7997475355968507E-4</v>
      </c>
      <c r="V26" s="402">
        <f t="shared" si="8"/>
        <v>1.7077517013918429E-2</v>
      </c>
      <c r="W26" s="15">
        <f t="shared" si="9"/>
        <v>24680.58709728708</v>
      </c>
      <c r="X26" s="18"/>
      <c r="Y26" s="300">
        <f>Tabelad[[#This Row],[Exp %]]*$Y$10*$AD$7/Tabelad[[#This Row],[Price Today]]</f>
        <v>0.37721082571970344</v>
      </c>
      <c r="Z26" s="195">
        <f>Tabelad[[#This Row],[Vol 10d]]/16*Tabelad[[#This Row],[Exp %]]*100</f>
        <v>9.8893393034126434E-2</v>
      </c>
      <c r="AA26" s="18">
        <f>Tabelad[[#This Row],[Exp %]]*Tabelad[[#This Row],[Beta]]</f>
        <v>6.0648416372742389E-4</v>
      </c>
      <c r="AB26" s="35">
        <f>_xll.BDP($B26&amp;" Equity","volatility_10d")</f>
        <v>41.642090000000003</v>
      </c>
      <c r="AC26" s="35">
        <f>_xll.BDP(B26&amp;" EQUITY","eqy_beta")</f>
        <v>1.596117</v>
      </c>
      <c r="AD26" s="15">
        <f>Tabelad[[#This Row],[D1 P&amp;L bps]]*$AD$5/10000</f>
        <v>4048.328653693975</v>
      </c>
      <c r="AE26" s="206"/>
      <c r="AF26" s="185" t="str">
        <f>_xll.BDP(B26&amp;" Equity","EXPECTED_REPORT_DT")</f>
        <v>23/04/2026</v>
      </c>
      <c r="AG26" s="139" t="e">
        <f>_xll.BDP(B26&amp;" Index","CHG_PCT_1D_PRE_FROM_REGULAR")/100</f>
        <v>#VALUE!</v>
      </c>
      <c r="AH26" s="19" t="e">
        <f t="shared" si="10"/>
        <v>#VALUE!</v>
      </c>
      <c r="AI26" s="360" t="str">
        <f>_xll.BDP(B26&amp;" Equity","DVD_EX_DT")</f>
        <v>26/02/2026</v>
      </c>
    </row>
    <row r="27" spans="1:35">
      <c r="B27" s="418" t="s">
        <v>523</v>
      </c>
      <c r="C27" t="s">
        <v>796</v>
      </c>
      <c r="E27" t="s">
        <v>770</v>
      </c>
      <c r="F27" s="21" t="s">
        <v>47</v>
      </c>
      <c r="G27" s="419"/>
      <c r="H27" s="512">
        <v>1468</v>
      </c>
      <c r="I27" s="420" cm="1">
        <f t="array" ref="I27">_xll.BDP(B27&amp;" Equity","LAST_PRICE")</f>
        <v>567000</v>
      </c>
      <c r="J27" s="50">
        <f t="shared" si="4"/>
        <v>8.8967971530249379E-3</v>
      </c>
      <c r="K27" s="354">
        <f>_xll.BDP(B27&amp;" equity","PX_YEST_CLOSE")</f>
        <v>562000</v>
      </c>
      <c r="L27" s="421">
        <f>_xll.BDP(E27&amp;" Curncy","PX_LAST")</f>
        <v>1450.25</v>
      </c>
      <c r="M27" s="51">
        <v>1</v>
      </c>
      <c r="N27" s="419">
        <f t="shared" si="5"/>
        <v>573939.66557490081</v>
      </c>
      <c r="O27" s="422">
        <f>IFERROR(IF(Tabelad[[#This Row],[D1 Exp USD]]&lt;&gt;0,N27/$AE$7,0),"-")</f>
        <v>2.2736042469029247E-4</v>
      </c>
      <c r="P27" s="19">
        <f>IFERROR(IF(Tabelad[[#This Row],[D1 Exp USD]]&lt;&gt;0,((I27-K27)/L27*M27*H27)/$AD$7*10000,0),"-")</f>
        <v>2.0049420166692464E-2</v>
      </c>
      <c r="Q27" s="419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139">
        <f t="shared" si="33"/>
        <v>0</v>
      </c>
      <c r="S27" s="185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426">
        <f t="shared" si="6"/>
        <v>573939.66557490081</v>
      </c>
      <c r="U27" s="406">
        <f t="shared" si="7"/>
        <v>2.2736042469029247E-4</v>
      </c>
      <c r="V27" s="403">
        <f t="shared" si="8"/>
        <v>2.0049420166692464E-2</v>
      </c>
      <c r="W27" s="15">
        <f t="shared" si="9"/>
        <v>38740.251352002648</v>
      </c>
      <c r="X27" s="18"/>
      <c r="Y27" s="300">
        <f>Tabelad[[#This Row],[Exp %]]*$Y$10*$AD$7/Tabelad[[#This Row],[Price Today]]</f>
        <v>0.35428374418203751</v>
      </c>
      <c r="Z27" s="195">
        <f>Tabelad[[#This Row],[Vol 10d]]/16*Tabelad[[#This Row],[Exp %]]*100</f>
        <v>8.6331950510876262E-2</v>
      </c>
      <c r="AA27" s="18">
        <f>Tabelad[[#This Row],[Exp %]]*Tabelad[[#This Row],[Beta]]</f>
        <v>4.3132159655273416E-4</v>
      </c>
      <c r="AB27" s="35">
        <f>_xll.BDP($B27&amp;" Equity","volatility_10d")</f>
        <v>60.754249999999999</v>
      </c>
      <c r="AC27" s="35">
        <f>_xll.BDP(B27&amp;" EQUITY","eqy_beta")</f>
        <v>1.8970830000000001</v>
      </c>
      <c r="AD27" s="15">
        <f>Tabelad[[#This Row],[D1 P&amp;L bps]]*$AD$5/10000</f>
        <v>4752.8362632939507</v>
      </c>
      <c r="AE27" s="206"/>
      <c r="AF27" s="185" t="str">
        <f>_xll.BDP(B27&amp;" Equity","EXPECTED_REPORT_DT")</f>
        <v>11/03/2026</v>
      </c>
      <c r="AG27" s="139" t="e">
        <f>_xll.BDP(B27&amp;" Index","CHG_PCT_1D_PRE_FROM_REGULAR")/100</f>
        <v>#VALUE!</v>
      </c>
      <c r="AH27" s="19" t="e">
        <f t="shared" si="10"/>
        <v>#VALUE!</v>
      </c>
      <c r="AI27" s="360" t="str">
        <f>_xll.BDP(B27&amp;" Equity","DVD_EX_DT")</f>
        <v>#N/A N/A</v>
      </c>
    </row>
    <row r="28" spans="1:35">
      <c r="B28" s="418" t="s">
        <v>952</v>
      </c>
      <c r="C28" t="s">
        <v>796</v>
      </c>
      <c r="E28" t="s">
        <v>770</v>
      </c>
      <c r="F28" s="21" t="s">
        <v>47</v>
      </c>
      <c r="G28" s="419"/>
      <c r="H28" s="512">
        <v>7080</v>
      </c>
      <c r="I28" s="420" cm="1">
        <f t="array" ref="I28">_xll.BDP(B28&amp;" Equity","LAST_PRICE")</f>
        <v>188900</v>
      </c>
      <c r="J28" s="50">
        <f t="shared" si="4"/>
        <v>3.5635964912280604E-2</v>
      </c>
      <c r="K28" s="354">
        <f>_xll.BDP(B28&amp;" equity","PX_YEST_CLOSE")</f>
        <v>182400</v>
      </c>
      <c r="L28" s="421">
        <f>_xll.BDP(E28&amp;" Curncy","PX_LAST")</f>
        <v>1450.25</v>
      </c>
      <c r="M28" s="51">
        <v>1</v>
      </c>
      <c r="N28" s="419">
        <f t="shared" si="5"/>
        <v>922194.10446474759</v>
      </c>
      <c r="O28" s="422">
        <f>IFERROR(IF(Tabelad[[#This Row],[D1 Exp USD]]&lt;&gt;0,N28/$AE$7,0),"-")</f>
        <v>3.6531791722038833E-4</v>
      </c>
      <c r="P28" s="19">
        <f>IFERROR(IF(Tabelad[[#This Row],[D1 Exp USD]]&lt;&gt;0,((I28-K28)/L28*M28*H28)/$AD$7*10000,0),"-")</f>
        <v>0.1257049476936222</v>
      </c>
      <c r="Q28" s="419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0</v>
      </c>
      <c r="R28" s="139">
        <f t="shared" ref="R28:R38" si="41">Q28/$AE$7</f>
        <v>0</v>
      </c>
      <c r="S28" s="185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0</v>
      </c>
      <c r="T28" s="426">
        <f t="shared" si="6"/>
        <v>922194.10446474759</v>
      </c>
      <c r="U28" s="406">
        <f t="shared" si="7"/>
        <v>3.6531791722038833E-4</v>
      </c>
      <c r="V28" s="403">
        <f t="shared" si="8"/>
        <v>0.1257049476936222</v>
      </c>
      <c r="W28" s="15">
        <f t="shared" si="9"/>
        <v>116282.27907138962</v>
      </c>
      <c r="X28" s="18"/>
      <c r="Y28" s="300">
        <f>Tabelad[[#This Row],[Exp %]]*$Y$10*$AD$7/Tabelad[[#This Row],[Price Today]]</f>
        <v>1.7086709188071025</v>
      </c>
      <c r="Z28" s="195">
        <f>Tabelad[[#This Row],[Vol 10d]]/16*Tabelad[[#This Row],[Exp %]]*100</f>
        <v>0.11583968582805511</v>
      </c>
      <c r="AA28" s="18">
        <f>Tabelad[[#This Row],[Exp %]]*Tabelad[[#This Row],[Beta]]</f>
        <v>4.3005590533101338E-4</v>
      </c>
      <c r="AB28" s="35">
        <f>_xll.BDP($B28&amp;" Equity","volatility_10d")</f>
        <v>50.734850000000002</v>
      </c>
      <c r="AC28" s="35">
        <f>_xll.BDP(B28&amp;" EQUITY","eqy_beta")</f>
        <v>1.1772100000000001</v>
      </c>
      <c r="AD28" s="15">
        <f>Tabelad[[#This Row],[D1 P&amp;L bps]]*$AD$5/10000</f>
        <v>29799.117825175417</v>
      </c>
      <c r="AE28" s="206"/>
      <c r="AF28" s="185" t="str">
        <f>_xll.BDP(B28&amp;" Equity","EXPECTED_REPORT_DT")</f>
        <v>07/04/2026</v>
      </c>
      <c r="AG28" s="139" t="e">
        <f>_xll.BDP(B28&amp;" Index","CHG_PCT_1D_PRE_FROM_REGULAR")/100</f>
        <v>#VALUE!</v>
      </c>
      <c r="AH28" s="19" t="e">
        <f t="shared" si="10"/>
        <v>#VALUE!</v>
      </c>
      <c r="AI28" s="360" t="str">
        <f>_xll.BDP(B28&amp;" Equity","DVD_EX_DT")</f>
        <v>29/12/2025</v>
      </c>
    </row>
    <row r="29" spans="1:35">
      <c r="B29" s="418" t="s">
        <v>1035</v>
      </c>
      <c r="C29" t="s">
        <v>796</v>
      </c>
      <c r="E29" t="s">
        <v>770</v>
      </c>
      <c r="F29" s="21" t="s">
        <v>47</v>
      </c>
      <c r="G29" s="419"/>
      <c r="H29" s="512">
        <v>4400</v>
      </c>
      <c r="I29" s="420" cm="1">
        <f t="array" ref="I29">_xll.BDP(B29&amp;" Equity","LAST_PRICE")</f>
        <v>133500</v>
      </c>
      <c r="J29" s="50">
        <f t="shared" si="4"/>
        <v>4.6238244514106519E-2</v>
      </c>
      <c r="K29" s="354">
        <f>_xll.BDP(B29&amp;" equity","PX_YEST_CLOSE")</f>
        <v>127600</v>
      </c>
      <c r="L29" s="421">
        <f>_xll.BDP(E29&amp;" Curncy","PX_LAST")</f>
        <v>1450.25</v>
      </c>
      <c r="M29" s="51">
        <v>1</v>
      </c>
      <c r="N29" s="419">
        <f t="shared" si="5"/>
        <v>405033.61489398382</v>
      </c>
      <c r="O29" s="422">
        <f>IFERROR(IF(Tabelad[[#This Row],[D1 Exp USD]]&lt;&gt;0,N29/$AE$7,0),"-")</f>
        <v>1.6044999190620098E-4</v>
      </c>
      <c r="P29" s="19">
        <f>IFERROR(IF(Tabelad[[#This Row],[D1 Exp USD]]&lt;&gt;0,((I29-K29)/L29*M29*H29)/$AD$7*10000,0),"-")</f>
        <v>7.0910483314351E-2</v>
      </c>
      <c r="Q29" s="419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39">
        <f t="shared" si="41"/>
        <v>0</v>
      </c>
      <c r="S29" s="185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426">
        <f t="shared" si="6"/>
        <v>405033.61489398382</v>
      </c>
      <c r="U29" s="406">
        <f t="shared" si="7"/>
        <v>1.6044999190620098E-4</v>
      </c>
      <c r="V29" s="403">
        <f t="shared" si="8"/>
        <v>7.0910483314351E-2</v>
      </c>
      <c r="W29" s="15">
        <f t="shared" si="9"/>
        <v>164537.24731524719</v>
      </c>
      <c r="X29" s="18"/>
      <c r="Y29" s="300">
        <f>Tabelad[[#This Row],[Exp %]]*$Y$10*$AD$7/Tabelad[[#This Row],[Price Today]]</f>
        <v>1.0618858817445269</v>
      </c>
      <c r="Z29" s="195">
        <f>Tabelad[[#This Row],[Vol 10d]]/16*Tabelad[[#This Row],[Exp %]]*100</f>
        <v>5.7066877580672221E-2</v>
      </c>
      <c r="AA29" s="18">
        <f>Tabelad[[#This Row],[Exp %]]*Tabelad[[#This Row],[Beta]]</f>
        <v>1.8495856771988129E-4</v>
      </c>
      <c r="AB29" s="35">
        <f>_xll.BDP($B29&amp;" Equity","volatility_10d")</f>
        <v>56.906829999999999</v>
      </c>
      <c r="AC29" s="35">
        <f>_xll.BDP(B29&amp;" EQUITY","eqy_beta")</f>
        <v>1.152749</v>
      </c>
      <c r="AD29" s="15">
        <f>Tabelad[[#This Row],[D1 P&amp;L bps]]*$AD$5/10000</f>
        <v>16809.758773175876</v>
      </c>
      <c r="AE29" s="206"/>
      <c r="AF29" s="185" t="str">
        <f>_xll.BDP(B29&amp;" Equity","EXPECTED_REPORT_DT")</f>
        <v>07/04/2026</v>
      </c>
      <c r="AG29" s="139" t="e">
        <f>_xll.BDP(B29&amp;" Index","CHG_PCT_1D_PRE_FROM_REGULAR")/100</f>
        <v>#VALUE!</v>
      </c>
      <c r="AH29" s="19" t="e">
        <f t="shared" si="10"/>
        <v>#VALUE!</v>
      </c>
      <c r="AI29" s="360" t="str">
        <f>_xll.BDP(B29&amp;" Equity","DVD_EX_DT")</f>
        <v>29/12/2025</v>
      </c>
    </row>
    <row r="30" spans="1:35" ht="15.75" thickBot="1">
      <c r="B30" s="427" t="s">
        <v>433</v>
      </c>
      <c r="C30" s="428" t="s">
        <v>545</v>
      </c>
      <c r="D30" s="428"/>
      <c r="E30" s="428" t="s">
        <v>1009</v>
      </c>
      <c r="F30" s="429" t="s">
        <v>47</v>
      </c>
      <c r="G30" s="430"/>
      <c r="H30" s="491">
        <v>17950</v>
      </c>
      <c r="I30" s="431" cm="1">
        <f t="array" ref="I30">_xll.BDP(B30&amp;" Equity","LAST_PRICE")</f>
        <v>1915</v>
      </c>
      <c r="J30" s="432">
        <f t="shared" si="4"/>
        <v>0</v>
      </c>
      <c r="K30" s="433">
        <f>_xll.BDP(B30&amp;" equity","PX_YEST_CLOSE")</f>
        <v>1915</v>
      </c>
      <c r="L30" s="434">
        <f>_xll.BDP(E30&amp;" Curncy","PX_LAST")</f>
        <v>31.510999999999999</v>
      </c>
      <c r="M30" s="435">
        <v>1</v>
      </c>
      <c r="N30" s="430">
        <f t="shared" si="5"/>
        <v>1090865.0947288249</v>
      </c>
      <c r="O30" s="436">
        <f>IFERROR(IF(Tabelad[[#This Row],[D1 Exp USD]]&lt;&gt;0,N30/$AE$7,0),"-")</f>
        <v>4.3213523318505416E-4</v>
      </c>
      <c r="P30" s="437">
        <f>IFERROR(IF(Tabelad[[#This Row],[D1 Exp USD]]&lt;&gt;0,((I30-K30)/L30*M30*H30)/$AD$7*10000,0),"-")</f>
        <v>0</v>
      </c>
      <c r="Q30" s="430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0</v>
      </c>
      <c r="R30" s="438">
        <f t="shared" si="41"/>
        <v>0</v>
      </c>
      <c r="S30" s="441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0</v>
      </c>
      <c r="T30" s="442">
        <f t="shared" si="6"/>
        <v>1090865.0947288249</v>
      </c>
      <c r="U30" s="439">
        <f t="shared" si="7"/>
        <v>4.3213523318505416E-4</v>
      </c>
      <c r="V30" s="440">
        <f t="shared" si="8"/>
        <v>0</v>
      </c>
      <c r="W30" s="15">
        <f t="shared" si="9"/>
        <v>249227.5374220167</v>
      </c>
      <c r="X30" s="18"/>
      <c r="Y30" s="300">
        <f>Tabelad[[#This Row],[Exp %]]*$Y$10*$AD$7/Tabelad[[#This Row],[Price Today]]</f>
        <v>199.37482149090795</v>
      </c>
      <c r="Z30" s="195">
        <f>Tabelad[[#This Row],[Vol 10d]]/16*Tabelad[[#This Row],[Exp %]]*100</f>
        <v>7.7532893284500207E-2</v>
      </c>
      <c r="AA30" s="18">
        <f>Tabelad[[#This Row],[Exp %]]*Tabelad[[#This Row],[Beta]]</f>
        <v>5.4632091866094006E-4</v>
      </c>
      <c r="AB30" s="35">
        <f>_xll.BDP($B30&amp;" Equity","volatility_10d")</f>
        <v>28.706900000000001</v>
      </c>
      <c r="AC30" s="35" cm="1">
        <f t="array" ref="AC30">_xll.BDP(B30&amp;" EQUITY","eqy_beta")</f>
        <v>1.2642359999999999</v>
      </c>
      <c r="AD30" s="15">
        <f>Tabelad[[#This Row],[D1 P&amp;L bps]]*$AD$5/10000</f>
        <v>0</v>
      </c>
      <c r="AE30" s="206"/>
      <c r="AF30" s="185" t="str">
        <f>_xll.BDP(B30&amp;" Equity","EXPECTED_REPORT_DT")</f>
        <v>17/04/2026</v>
      </c>
      <c r="AG30" s="139" t="e">
        <f>_xll.BDP(B30&amp;" Index","CHG_PCT_1D_PRE_FROM_REGULAR")/100</f>
        <v>#VALUE!</v>
      </c>
      <c r="AH30" s="19" t="e">
        <f t="shared" si="10"/>
        <v>#VALUE!</v>
      </c>
      <c r="AI30" s="360" t="str">
        <f>_xll.BDP(B30&amp;" Equity","DVD_EX_DT")</f>
        <v>17/03/2026</v>
      </c>
    </row>
    <row r="31" spans="1:35">
      <c r="B31" s="39" t="s">
        <v>44</v>
      </c>
      <c r="C31" t="s">
        <v>545</v>
      </c>
      <c r="E31" t="s">
        <v>137</v>
      </c>
      <c r="F31" s="21" t="s">
        <v>47</v>
      </c>
      <c r="G31" s="15"/>
      <c r="H31" s="488"/>
      <c r="I31" s="35" cm="1">
        <f t="array" ref="I31">_xll.BDP(B31&amp;" Equity","LAST_PRICE")</f>
        <v>359.95</v>
      </c>
      <c r="J31" s="50">
        <f t="shared" si="4"/>
        <v>-6.3766355656158513E-3</v>
      </c>
      <c r="K31" s="354">
        <f>_xll.BDP(B31&amp;" equity","PX_YEST_CLOSE")</f>
        <v>362.26</v>
      </c>
      <c r="L31" s="52">
        <f>_xll.BDP(E31&amp;" Curncy","PX_LAST")</f>
        <v>1</v>
      </c>
      <c r="M31" s="51">
        <v>1</v>
      </c>
      <c r="N31" s="15">
        <f t="shared" si="5"/>
        <v>0</v>
      </c>
      <c r="O31" s="284">
        <f>IFERROR(IF(Tabelad[[#This Row],[D1 Exp USD]]&lt;&gt;0,N31/$AE$7,0),"-")</f>
        <v>0</v>
      </c>
      <c r="P31" s="19">
        <f>IFERROR(IF(Tabelad[[#This Row],[D1 Exp USD]]&lt;&gt;0,((I31-K31)/L31*M31*H31)/$AD$7*10000,0),"-")</f>
        <v>0</v>
      </c>
      <c r="Q31" s="15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14380805.914919823</v>
      </c>
      <c r="R31" s="18">
        <f t="shared" si="41"/>
        <v>5.6968115924340926E-3</v>
      </c>
      <c r="S31" s="19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-0.13741104169102392</v>
      </c>
      <c r="T31" s="13">
        <f t="shared" si="6"/>
        <v>14380805.914919823</v>
      </c>
      <c r="U31" s="47">
        <f t="shared" si="7"/>
        <v>5.6968115924340926E-3</v>
      </c>
      <c r="V31" s="19">
        <f t="shared" si="8"/>
        <v>-0.13741104169102392</v>
      </c>
      <c r="W31" s="15">
        <f t="shared" si="9"/>
        <v>42078.518522016951</v>
      </c>
      <c r="X31" s="18"/>
      <c r="Y31" s="300">
        <f>Tabelad[[#This Row],[Exp %]]*$Y$10*$AD$7/Tabelad[[#This Row],[Price Today]]</f>
        <v>13983.281206339598</v>
      </c>
      <c r="Z31" s="195">
        <f>Tabelad[[#This Row],[Vol 10d]]/16*Tabelad[[#This Row],[Exp %]]*100</f>
        <v>1.3182727399327208</v>
      </c>
      <c r="AA31" s="18">
        <f>Tabelad[[#This Row],[Exp %]]*Tabelad[[#This Row],[Beta]]</f>
        <v>8.1898417023094708E-3</v>
      </c>
      <c r="AB31" s="35">
        <f>_xll.BDP($B31&amp;" Equity","volatility_10d")</f>
        <v>37.024857671150997</v>
      </c>
      <c r="AC31" s="35" cm="1">
        <f t="array" ref="AC31">_xll.BDP(B31&amp;" EQUITY","eqy_beta")</f>
        <v>1.4376184940338135</v>
      </c>
      <c r="AD31" s="15">
        <f>Tabelad[[#This Row],[D1 P&amp;L bps]]*$AD$5/10000</f>
        <v>0</v>
      </c>
      <c r="AE31" s="206"/>
      <c r="AF31" s="185" t="str">
        <f>_xll.BDP(B31&amp;" Equity","EXPECTED_REPORT_DT")</f>
        <v>17/04/2026</v>
      </c>
      <c r="AG31" s="139" t="e">
        <f>_xll.BDP(B31&amp;" Index","CHG_PCT_1D_PRE_FROM_REGULAR")/100</f>
        <v>#VALUE!</v>
      </c>
      <c r="AH31" s="19" t="e">
        <f t="shared" si="10"/>
        <v>#VALUE!</v>
      </c>
      <c r="AI31" s="360" t="str">
        <f>_xll.BDP(B31&amp;" Equity","DVD_EX_DT")</f>
        <v>17/03/2026</v>
      </c>
    </row>
    <row r="32" spans="1:35">
      <c r="B32" s="39" t="s">
        <v>84</v>
      </c>
      <c r="C32" t="s">
        <v>545</v>
      </c>
      <c r="E32" t="s">
        <v>137</v>
      </c>
      <c r="F32" s="21" t="s">
        <v>47</v>
      </c>
      <c r="G32" s="15"/>
      <c r="H32" s="488">
        <v>12750</v>
      </c>
      <c r="I32" s="35" cm="1">
        <f t="array" ref="I32">_xll.BDP(B32&amp;" Equity","LAST_PRICE")</f>
        <v>333.565</v>
      </c>
      <c r="J32" s="50">
        <f t="shared" si="4"/>
        <v>1.6491259632389621E-4</v>
      </c>
      <c r="K32" s="354">
        <f>_xll.BDP(B32&amp;" equity","PX_YEST_CLOSE")</f>
        <v>333.51</v>
      </c>
      <c r="L32" s="52">
        <f>_xll.BDP(E32&amp;" Curncy","PX_LAST")</f>
        <v>1</v>
      </c>
      <c r="M32" s="51">
        <v>1</v>
      </c>
      <c r="N32" s="15">
        <f t="shared" si="5"/>
        <v>4252953.75</v>
      </c>
      <c r="O32" s="284">
        <f>IFERROR(IF(Tabelad[[#This Row],[D1 Exp USD]]&lt;&gt;0,N32/$AE$7,0),"-")</f>
        <v>1.6847648433909849E-3</v>
      </c>
      <c r="P32" s="19">
        <f>IFERROR(IF(Tabelad[[#This Row],[D1 Exp USD]]&lt;&gt;0,((I32-K32)/L32*M32*H32)/$AD$7*10000,0),"-")</f>
        <v>2.7779313293215912E-3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934314.65010881401</v>
      </c>
      <c r="R32" s="18">
        <f t="shared" si="41"/>
        <v>3.7011934944471917E-4</v>
      </c>
      <c r="S32" s="19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5.3003523973359369E-2</v>
      </c>
      <c r="T32" s="13">
        <f t="shared" si="6"/>
        <v>5187268.4001088142</v>
      </c>
      <c r="U32" s="47">
        <f t="shared" si="7"/>
        <v>2.0548841928357043E-3</v>
      </c>
      <c r="V32" s="19">
        <f t="shared" si="8"/>
        <v>5.5781455302680957E-2</v>
      </c>
      <c r="W32" s="15">
        <f t="shared" si="9"/>
        <v>45406.930409365494</v>
      </c>
      <c r="X32" s="18"/>
      <c r="Y32" s="300">
        <f>Tabelad[[#This Row],[Exp %]]*$Y$10*$AD$7/Tabelad[[#This Row],[Price Today]]</f>
        <v>5442.8490400314331</v>
      </c>
      <c r="Z32" s="195">
        <f>Tabelad[[#This Row],[Vol 10d]]/16*Tabelad[[#This Row],[Exp %]]*100</f>
        <v>0.63437722912166561</v>
      </c>
      <c r="AA32" s="18">
        <f>Tabelad[[#This Row],[Exp %]]*Tabelad[[#This Row],[Beta]]</f>
        <v>4.1630244387409572E-3</v>
      </c>
      <c r="AB32" s="35">
        <f>_xll.BDP($B32&amp;" Equity","volatility_10d")</f>
        <v>49.39468463154499</v>
      </c>
      <c r="AC32" s="35">
        <f>_xll.BDP(B32&amp;" EQUITY","eqy_beta")</f>
        <v>2.0259168148040771</v>
      </c>
      <c r="AD32" s="15">
        <f>Tabelad[[#This Row],[D1 P&amp;L bps]]*$AD$5/10000</f>
        <v>658.52541615512087</v>
      </c>
      <c r="AE32" s="206"/>
      <c r="AF32" s="185" t="str">
        <f>_xll.BDP(B32&amp;" Equity","EXPECTED_REPORT_DT")</f>
        <v>04/03/2026</v>
      </c>
      <c r="AG32" s="139">
        <f>_xll.BDP(B32&amp;" Index","CHG_PCT_1D_PRE_FROM_REGULAR")/100</f>
        <v>-8.995781999999999E-4</v>
      </c>
      <c r="AH32" s="19">
        <f t="shared" si="10"/>
        <v>-1.8485290233995956E-2</v>
      </c>
      <c r="AI32" s="360" t="str">
        <f>_xll.BDP(B32&amp;" Equity","DVD_EX_DT")</f>
        <v>22/12/2025</v>
      </c>
    </row>
    <row r="33" spans="1:35">
      <c r="B33" s="39" t="s">
        <v>342</v>
      </c>
      <c r="C33" t="s">
        <v>545</v>
      </c>
      <c r="E33" t="s">
        <v>137</v>
      </c>
      <c r="F33" s="21" t="s">
        <v>47</v>
      </c>
      <c r="G33" s="15"/>
      <c r="H33" s="488"/>
      <c r="I33" s="35" cm="1">
        <f t="array" ref="I33">_xll.BDP(B33&amp;" Equity","LAST_PRICE")</f>
        <v>44.615000000000002</v>
      </c>
      <c r="J33" s="50">
        <f t="shared" si="4"/>
        <v>-1.8587769467663828E-2</v>
      </c>
      <c r="K33" s="354">
        <f>_xll.BDP(B33&amp;" equity","PX_YEST_CLOSE")</f>
        <v>45.46</v>
      </c>
      <c r="L33" s="52">
        <f>_xll.BDP(E33&amp;" Curncy","PX_LAST")</f>
        <v>1</v>
      </c>
      <c r="M33" s="51">
        <v>1</v>
      </c>
      <c r="N33" s="15">
        <f t="shared" si="5"/>
        <v>0</v>
      </c>
      <c r="O33" s="284">
        <f>IFERROR(IF(Tabelad[[#This Row],[D1 Exp USD]]&lt;&gt;0,N33/$AE$7,0),"-")</f>
        <v>0</v>
      </c>
      <c r="P33" s="19">
        <f>IFERROR(IF(Tabelad[[#This Row],[D1 Exp USD]]&lt;&gt;0,((I33-K33)/L33*M33*H33)/$AD$7*10000,0),"-")</f>
        <v>0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626245.80731391918</v>
      </c>
      <c r="R33" s="18">
        <f t="shared" si="41"/>
        <v>2.4808097654095012E-4</v>
      </c>
      <c r="S33" s="19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-6.2392040551600234E-2</v>
      </c>
      <c r="T33" s="13">
        <f t="shared" si="6"/>
        <v>626245.80731391918</v>
      </c>
      <c r="U33" s="47">
        <f t="shared" si="7"/>
        <v>2.4808097654095012E-4</v>
      </c>
      <c r="V33" s="19">
        <f t="shared" si="8"/>
        <v>-6.2392040551600234E-2</v>
      </c>
      <c r="W33" s="15">
        <f t="shared" si="9"/>
        <v>339485.8846127984</v>
      </c>
      <c r="X33" s="18"/>
      <c r="Y33" s="300">
        <f>Tabelad[[#This Row],[Exp %]]*$Y$10*$AD$7/Tabelad[[#This Row],[Price Today]]</f>
        <v>4912.8327369689941</v>
      </c>
      <c r="Z33" s="195">
        <f>Tabelad[[#This Row],[Vol 10d]]/16*Tabelad[[#This Row],[Exp %]]*100</f>
        <v>8.1941589935317485E-2</v>
      </c>
      <c r="AA33" s="18">
        <f>Tabelad[[#This Row],[Exp %]]*Tabelad[[#This Row],[Beta]]</f>
        <v>3.6944544236237751E-4</v>
      </c>
      <c r="AB33" s="35">
        <f>_xll.BDP($B33&amp;" Equity","volatility_10d")</f>
        <v>52.848285960719977</v>
      </c>
      <c r="AC33" s="35">
        <f>_xll.BDP(B33&amp;" EQUITY","eqy_beta")</f>
        <v>1.4892131090164185</v>
      </c>
      <c r="AD33" s="15">
        <f>Tabelad[[#This Row],[D1 P&amp;L bps]]*$AD$5/10000</f>
        <v>0</v>
      </c>
      <c r="AE33" s="206"/>
      <c r="AF33" s="185" t="str">
        <f>_xll.BDP(B33&amp;" Equity","EXPECTED_REPORT_DT")</f>
        <v>24/04/2026</v>
      </c>
      <c r="AG33" s="139" t="e">
        <f>_xll.BDP(B33&amp;" Index","CHG_PCT_1D_PRE_FROM_REGULAR")/100</f>
        <v>#VALUE!</v>
      </c>
      <c r="AH33" s="19" t="e">
        <f t="shared" si="10"/>
        <v>#VALUE!</v>
      </c>
      <c r="AI33" s="360" t="str">
        <f>_xll.BDP(B33&amp;" Equity","DVD_EX_DT")</f>
        <v>03/09/2024</v>
      </c>
    </row>
    <row r="34" spans="1:35">
      <c r="B34" s="39" t="s">
        <v>42</v>
      </c>
      <c r="C34" t="s">
        <v>545</v>
      </c>
      <c r="E34" t="s">
        <v>137</v>
      </c>
      <c r="F34" s="21" t="s">
        <v>47</v>
      </c>
      <c r="G34" s="15"/>
      <c r="H34" s="488">
        <v>55970</v>
      </c>
      <c r="I34" s="35" cm="1">
        <f t="array" ref="I34">_xll.BDP(B34&amp;" Equity","LAST_PRICE")</f>
        <v>186.66499999999999</v>
      </c>
      <c r="J34" s="50">
        <f t="shared" si="4"/>
        <v>-6.9954250452175515E-3</v>
      </c>
      <c r="K34" s="354">
        <f>_xll.BDP(B34&amp;" equity","PX_YEST_CLOSE")</f>
        <v>187.98</v>
      </c>
      <c r="L34" s="52">
        <f>_xll.BDP(E34&amp;" Curncy","PX_LAST")</f>
        <v>1</v>
      </c>
      <c r="M34" s="51">
        <v>1</v>
      </c>
      <c r="N34" s="15">
        <f t="shared" si="5"/>
        <v>10447640.049999999</v>
      </c>
      <c r="O34" s="284">
        <f>IFERROR(IF(Tabelad[[#This Row],[D1 Exp USD]]&lt;&gt;0,N34/$AE$7,0),"-")</f>
        <v>4.1387275026547442E-3</v>
      </c>
      <c r="P34" s="19">
        <f>IFERROR(IF(Tabelad[[#This Row],[D1 Exp USD]]&lt;&gt;0,((I34-K34)/L34*M34*H34)/$AD$7*10000,0),"-")</f>
        <v>-0.29156117461714731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5607230.1973089576</v>
      </c>
      <c r="R34" s="18">
        <f t="shared" si="41"/>
        <v>2.2212478339851279E-3</v>
      </c>
      <c r="S34" s="19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-0.16835947450431799</v>
      </c>
      <c r="T34" s="13">
        <f t="shared" si="6"/>
        <v>16054870.247308956</v>
      </c>
      <c r="U34" s="47">
        <f t="shared" si="7"/>
        <v>6.3599753366398717E-3</v>
      </c>
      <c r="V34" s="19">
        <f t="shared" si="8"/>
        <v>-0.4599206491214653</v>
      </c>
      <c r="W34" s="15">
        <f t="shared" si="9"/>
        <v>81140.882018589458</v>
      </c>
      <c r="X34" s="18"/>
      <c r="Y34" s="300">
        <f>Tabelad[[#This Row],[Exp %]]*$Y$10*$AD$7/Tabelad[[#This Row],[Price Today]]</f>
        <v>30103.150491833683</v>
      </c>
      <c r="Z34" s="195">
        <f>Tabelad[[#This Row],[Vol 10d]]/16*Tabelad[[#This Row],[Exp %]]*100</f>
        <v>1.8893203134116423</v>
      </c>
      <c r="AA34" s="18">
        <f>Tabelad[[#This Row],[Exp %]]*Tabelad[[#This Row],[Beta]]</f>
        <v>1.1652724386997554E-2</v>
      </c>
      <c r="AB34" s="35">
        <f>_xll.BDP($B34&amp;" Equity","volatility_10d")</f>
        <v>47.530255094600811</v>
      </c>
      <c r="AC34" s="35" cm="1">
        <f t="array" ref="AC34">_xll.BDP(B34&amp;" EQUITY","eqy_beta")</f>
        <v>1.8321964740753174</v>
      </c>
      <c r="AD34" s="15">
        <f>Tabelad[[#This Row],[D1 P&amp;L bps]]*$AD$5/10000</f>
        <v>-69116.339134388152</v>
      </c>
      <c r="AE34" s="206"/>
      <c r="AF34" s="185" t="str">
        <f>_xll.BDP(B34&amp;" Equity","EXPECTED_REPORT_DT")</f>
        <v>25/02/2026</v>
      </c>
      <c r="AG34" s="139">
        <f>_xll.BDP(B34&amp;" Index","CHG_PCT_1D_PRE_FROM_REGULAR")/100</f>
        <v>-5.7453019999999999E-3</v>
      </c>
      <c r="AH34" s="19">
        <f t="shared" si="10"/>
        <v>-0.36539979021547725</v>
      </c>
      <c r="AI34" s="360" t="str">
        <f>_xll.BDP(B34&amp;" Equity","DVD_EX_DT")</f>
        <v>04/12/2025</v>
      </c>
    </row>
    <row r="35" spans="1:35">
      <c r="B35" s="39" t="s">
        <v>85</v>
      </c>
      <c r="C35" t="s">
        <v>545</v>
      </c>
      <c r="E35" t="s">
        <v>137</v>
      </c>
      <c r="F35" s="21" t="s">
        <v>48</v>
      </c>
      <c r="G35" s="15"/>
      <c r="H35" s="488">
        <v>-8800</v>
      </c>
      <c r="I35" s="35" cm="1">
        <f t="array" ref="I35">_xll.BDP(B35&amp;" Equity","LAST_PRICE")</f>
        <v>78.834999999999994</v>
      </c>
      <c r="J35" s="50">
        <f t="shared" si="4"/>
        <v>-3.2241749905173034E-3</v>
      </c>
      <c r="K35" s="354">
        <f>_xll.BDP(B35&amp;" equity","PX_YEST_CLOSE")</f>
        <v>79.09</v>
      </c>
      <c r="L35" s="52">
        <f>_xll.BDP(E35&amp;" Curncy","PX_LAST")</f>
        <v>1</v>
      </c>
      <c r="M35" s="51">
        <v>1</v>
      </c>
      <c r="N35" s="15">
        <f t="shared" si="5"/>
        <v>-693748</v>
      </c>
      <c r="O35" s="284">
        <f>IFERROR(IF(Tabelad[[#This Row],[D1 Exp USD]]&lt;&gt;0,N35/$AE$7,0),"-")</f>
        <v>-2.7482129110216848E-4</v>
      </c>
      <c r="P35" s="19">
        <f>IFERROR(IF(Tabelad[[#This Row],[D1 Exp USD]]&lt;&gt;0,((I35-K35)/L35*M35*H35)/$AD$7*10000,0),"-")</f>
        <v>8.889380253828327E-3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-526992.54392869771</v>
      </c>
      <c r="R35" s="47">
        <f t="shared" si="41"/>
        <v>-2.0876279473771591E-4</v>
      </c>
      <c r="S35" s="19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1.7826297300456637E-3</v>
      </c>
      <c r="T35" s="13">
        <f t="shared" si="6"/>
        <v>-1220740.5439286977</v>
      </c>
      <c r="U35" s="47">
        <f t="shared" si="7"/>
        <v>-4.8358408583988436E-4</v>
      </c>
      <c r="V35" s="19">
        <f t="shared" si="8"/>
        <v>1.0672009983873991E-2</v>
      </c>
      <c r="W35" s="15">
        <f t="shared" si="9"/>
        <v>192124.8524386377</v>
      </c>
      <c r="X35" s="18"/>
      <c r="Y35" s="300">
        <f>Tabelad[[#This Row],[Exp %]]*$Y$10*$AD$7/Tabelad[[#This Row],[Price Today]]</f>
        <v>-5419.6637327969074</v>
      </c>
      <c r="Z35" s="195">
        <f>Tabelad[[#This Row],[Vol 10d]]/16*Tabelad[[#This Row],[Exp %]]*100</f>
        <v>-0.1547216807754179</v>
      </c>
      <c r="AA35" s="18">
        <f>Tabelad[[#This Row],[Exp %]]*Tabelad[[#This Row],[Beta]]</f>
        <v>-9.5756717528557684E-4</v>
      </c>
      <c r="AB35" s="35">
        <f>_xll.BDP($B35&amp;" Equity","volatility_10d")</f>
        <v>51.191653424805729</v>
      </c>
      <c r="AC35" s="35">
        <f>_xll.BDP(B35&amp;" EQUITY","eqy_beta")</f>
        <v>1.9801461696624756</v>
      </c>
      <c r="AD35" s="15">
        <f>Tabelad[[#This Row],[D1 P&amp;L bps]]*$AD$5/10000</f>
        <v>2107.2813316962056</v>
      </c>
      <c r="AE35" s="206"/>
      <c r="AF35" s="185" t="str">
        <f>_xll.BDP(B35&amp;" Equity","EXPECTED_REPORT_DT")</f>
        <v>05/03/2026</v>
      </c>
      <c r="AG35" s="139">
        <f>_xll.BDP(B35&amp;" Index","CHG_PCT_1D_PRE_FROM_REGULAR")/100</f>
        <v>-1.1252999999999999E-2</v>
      </c>
      <c r="AH35" s="19">
        <f t="shared" si="10"/>
        <v>5.4417717179562189E-2</v>
      </c>
      <c r="AI35" s="360" t="str">
        <f>_xll.BDP(B35&amp;" Equity","DVD_EX_DT")</f>
        <v>09/01/2026</v>
      </c>
    </row>
    <row r="36" spans="1:35">
      <c r="B36" s="39" t="s">
        <v>728</v>
      </c>
      <c r="C36" t="s">
        <v>729</v>
      </c>
      <c r="E36" t="s">
        <v>137</v>
      </c>
      <c r="F36" s="21" t="s">
        <v>47</v>
      </c>
      <c r="G36" s="15"/>
      <c r="H36" s="488">
        <v>4025</v>
      </c>
      <c r="I36" s="35" cm="1">
        <f t="array" ref="I36">_xll.BDP(B36&amp;" Equity","LAST_PRICE")</f>
        <v>631.85500000000002</v>
      </c>
      <c r="J36" s="50">
        <f t="shared" si="4"/>
        <v>6.326355467303868E-2</v>
      </c>
      <c r="K36" s="354">
        <f>_xll.BDP(B36&amp;" equity","PX_YEST_CLOSE")</f>
        <v>594.26</v>
      </c>
      <c r="L36" s="52">
        <f>_xll.BDP(E36&amp;" Curncy","PX_LAST")</f>
        <v>1</v>
      </c>
      <c r="M36" s="51">
        <v>1</v>
      </c>
      <c r="N36" s="15">
        <f t="shared" si="5"/>
        <v>2543216.375</v>
      </c>
      <c r="O36" s="284">
        <f>IFERROR(IF(Tabelad[[#This Row],[D1 Exp USD]]&lt;&gt;0,N36/$AE$7,0),"-")</f>
        <v>1.0074695822253565E-3</v>
      </c>
      <c r="P36" s="19">
        <f>IFERROR(IF(Tabelad[[#This Row],[D1 Exp USD]]&lt;&gt;0,((I36-K36)/L36*M36*H36)/$AD$7*10000,0),"-")</f>
        <v>0.59943846204844953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1132657.5333282351</v>
      </c>
      <c r="R36" s="18">
        <f t="shared" si="41"/>
        <v>4.4869088730470282E-4</v>
      </c>
      <c r="S36" s="19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0.30304705410777277</v>
      </c>
      <c r="T36" s="13">
        <f t="shared" si="6"/>
        <v>3675873.9083282351</v>
      </c>
      <c r="U36" s="47">
        <f t="shared" si="7"/>
        <v>1.4561604695300593E-3</v>
      </c>
      <c r="V36" s="19">
        <f t="shared" si="8"/>
        <v>0.9024855161562223</v>
      </c>
      <c r="W36" s="15">
        <f t="shared" si="9"/>
        <v>23970.947040064573</v>
      </c>
      <c r="X36" s="18"/>
      <c r="Y36" s="300">
        <f>Tabelad[[#This Row],[Exp %]]*$Y$10*$AD$7/Tabelad[[#This Row],[Price Today]]</f>
        <v>2036.1568206548689</v>
      </c>
      <c r="Z36" s="195">
        <f>Tabelad[[#This Row],[Vol 10d]]/16*Tabelad[[#This Row],[Exp %]]*100</f>
        <v>0.64474505096241774</v>
      </c>
      <c r="AA36" s="18">
        <f>Tabelad[[#This Row],[Exp %]]*Tabelad[[#This Row],[Beta]]</f>
        <v>2.9462608364784408E-3</v>
      </c>
      <c r="AB36" s="35">
        <f>_xll.BDP($B36&amp;" Equity","volatility_10d")</f>
        <v>70.843296678201256</v>
      </c>
      <c r="AC36" s="35">
        <f>_xll.BDP(B36&amp;" EQUITY","eqy_beta")</f>
        <v>2.0233078002929688</v>
      </c>
      <c r="AD36" s="15">
        <f>Tabelad[[#This Row],[D1 P&amp;L bps]]*$AD$5/10000</f>
        <v>142100.51145369495</v>
      </c>
      <c r="AE36" s="206"/>
      <c r="AF36" s="185" t="str">
        <f>_xll.BDP(B36&amp;" Equity","EXPECTED_REPORT_DT")</f>
        <v>06/05/2026</v>
      </c>
      <c r="AG36" s="139" t="e">
        <f>_xll.BDP(B36&amp;" Index","CHG_PCT_1D_PRE_FROM_REGULAR")/100</f>
        <v>#VALUE!</v>
      </c>
      <c r="AH36" s="19" t="e">
        <f t="shared" si="10"/>
        <v>#VALUE!</v>
      </c>
      <c r="AI36" s="360" t="str">
        <f>_xll.BDP(B36&amp;" Equity","DVD_EX_DT")</f>
        <v>#N/A N/A</v>
      </c>
    </row>
    <row r="37" spans="1:35">
      <c r="B37" s="39" t="s">
        <v>1066</v>
      </c>
      <c r="C37" t="s">
        <v>729</v>
      </c>
      <c r="E37" t="s">
        <v>137</v>
      </c>
      <c r="F37" s="21" t="s">
        <v>47</v>
      </c>
      <c r="G37" s="15"/>
      <c r="H37" s="488">
        <v>23060</v>
      </c>
      <c r="I37" s="35" cm="1">
        <f t="array" ref="I37">_xll.BDP(B37&amp;" Equity","LAST_PRICE")</f>
        <v>108.97</v>
      </c>
      <c r="J37" s="50">
        <f t="shared" si="4"/>
        <v>-3.1104199066874783E-3</v>
      </c>
      <c r="K37" s="354">
        <f>_xll.BDP(B37&amp;" equity","PX_YEST_CLOSE")</f>
        <v>109.31</v>
      </c>
      <c r="L37" s="52">
        <f>_xll.BDP(E37&amp;" Curncy","PX_LAST")</f>
        <v>1</v>
      </c>
      <c r="M37" s="51">
        <v>1</v>
      </c>
      <c r="N37" s="15">
        <f t="shared" si="5"/>
        <v>2512848.2000000002</v>
      </c>
      <c r="O37" s="284">
        <f>IFERROR(IF(Tabelad[[#This Row],[D1 Exp USD]]&lt;&gt;0,N37/$AE$7,0),"-")</f>
        <v>9.9543953520263859E-4</v>
      </c>
      <c r="P37" s="19">
        <f>IFERROR(IF(Tabelad[[#This Row],[D1 Exp USD]]&lt;&gt;0,((I37-K37)/L37*M37*H37)/$AD$7*10000,0),"-")</f>
        <v>-3.1058955856556891E-2</v>
      </c>
      <c r="Q37" s="1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0</v>
      </c>
      <c r="R37" s="18">
        <f t="shared" si="41"/>
        <v>0</v>
      </c>
      <c r="S37" s="19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0</v>
      </c>
      <c r="T37" s="13">
        <f t="shared" si="6"/>
        <v>2512848.2000000002</v>
      </c>
      <c r="U37" s="47">
        <f t="shared" si="7"/>
        <v>9.9543953520263859E-4</v>
      </c>
      <c r="V37" s="19">
        <f t="shared" si="8"/>
        <v>-3.1058955856556891E-2</v>
      </c>
      <c r="W37" s="15">
        <f t="shared" si="9"/>
        <v>138993.8766816555</v>
      </c>
      <c r="X37" s="18"/>
      <c r="Y37" s="300">
        <f>Tabelad[[#This Row],[Exp %]]*$Y$10*$AD$7/Tabelad[[#This Row],[Price Today]]</f>
        <v>8071.0000000000009</v>
      </c>
      <c r="Z37" s="195">
        <f>Tabelad[[#This Row],[Vol 10d]]/16*Tabelad[[#This Row],[Exp %]]*100</f>
        <v>0.40884831158977547</v>
      </c>
      <c r="AA37" s="18">
        <f>Tabelad[[#This Row],[Exp %]]*Tabelad[[#This Row],[Beta]]</f>
        <v>6.7958892244595682E-4</v>
      </c>
      <c r="AB37" s="35">
        <f>_xll.BDP($B37&amp;" Equity","volatility_10d")</f>
        <v>65.715422726351321</v>
      </c>
      <c r="AC37" s="35">
        <f>_xll.BDP(B37&amp;" EQUITY","eqy_beta")</f>
        <v>0.68270236253738403</v>
      </c>
      <c r="AD37" s="15">
        <f>Tabelad[[#This Row],[D1 P&amp;L bps]]*$AD$5/10000</f>
        <v>-7362.7132589262319</v>
      </c>
      <c r="AE37" s="206"/>
      <c r="AF37" s="185" t="str">
        <f>_xll.BDP(B37&amp;" Equity","EXPECTED_REPORT_DT")</f>
        <v>19/02/2026</v>
      </c>
      <c r="AG37" s="139">
        <f>_xll.BDP(B37&amp;" Index","CHG_PCT_1D_PRE_FROM_REGULAR")/100</f>
        <v>-7.5930310000000001E-3</v>
      </c>
      <c r="AH37" s="19">
        <f t="shared" si="10"/>
        <v>-7.5584032494192266E-2</v>
      </c>
      <c r="AI37" s="360" t="str">
        <f>_xll.BDP(B37&amp;" Equity","DVD_EX_DT")</f>
        <v>#N/A Field Not Applicable</v>
      </c>
    </row>
    <row r="38" spans="1:35">
      <c r="B38" s="39" t="s">
        <v>890</v>
      </c>
      <c r="C38" t="s">
        <v>729</v>
      </c>
      <c r="E38" t="s">
        <v>137</v>
      </c>
      <c r="F38" s="21" t="s">
        <v>47</v>
      </c>
      <c r="G38" s="15"/>
      <c r="H38" s="488">
        <v>41610</v>
      </c>
      <c r="I38" s="35" cm="1">
        <f t="array" ref="I38">_xll.BDP(B38&amp;" Equity","LAST_PRICE")</f>
        <v>79.025000000000006</v>
      </c>
      <c r="J38" s="50">
        <f t="shared" si="4"/>
        <v>1.0808390892811381E-2</v>
      </c>
      <c r="K38" s="354">
        <f>_xll.BDP(B38&amp;" equity","PX_YEST_CLOSE")</f>
        <v>78.180000000000007</v>
      </c>
      <c r="L38" s="52">
        <f>_xll.BDP(E38&amp;" Curncy","PX_LAST")</f>
        <v>1</v>
      </c>
      <c r="M38" s="51">
        <v>1</v>
      </c>
      <c r="N38" s="15">
        <f t="shared" si="5"/>
        <v>3288230.2500000005</v>
      </c>
      <c r="O38" s="284">
        <f>IFERROR(IF(Tabelad[[#This Row],[D1 Exp USD]]&lt;&gt;0,N38/$AE$7,0),"-")</f>
        <v>1.3025993339745934E-3</v>
      </c>
      <c r="P38" s="19">
        <f>IFERROR(IF(Tabelad[[#This Row],[D1 Exp USD]]&lt;&gt;0,((I38-K38)/L38*M38*H38)/$AD$7*10000,0),"-")</f>
        <v>0.13928458553730211</v>
      </c>
      <c r="Q38" s="15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-212779.04723305264</v>
      </c>
      <c r="R38" s="18">
        <f t="shared" si="41"/>
        <v>-8.4290279006320469E-5</v>
      </c>
      <c r="S38" s="19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-5.2946598069134893E-3</v>
      </c>
      <c r="T38" s="13">
        <f t="shared" si="6"/>
        <v>3075451.2027669479</v>
      </c>
      <c r="U38" s="47">
        <f t="shared" si="7"/>
        <v>1.2183090549682731E-3</v>
      </c>
      <c r="V38" s="19">
        <f t="shared" si="8"/>
        <v>0.13398992573038862</v>
      </c>
      <c r="W38" s="15">
        <f t="shared" si="9"/>
        <v>191662.9261879152</v>
      </c>
      <c r="X38" s="18"/>
      <c r="Y38" s="300">
        <f>Tabelad[[#This Row],[Exp %]]*$Y$10*$AD$7/Tabelad[[#This Row],[Price Today]]</f>
        <v>13621.106244459748</v>
      </c>
      <c r="Z38" s="195">
        <f>Tabelad[[#This Row],[Vol 10d]]/16*Tabelad[[#This Row],[Exp %]]*100</f>
        <v>0.60783862360069707</v>
      </c>
      <c r="AA38" s="18">
        <f>Tabelad[[#This Row],[Exp %]]*Tabelad[[#This Row],[Beta]]</f>
        <v>1.1556542682238965E-3</v>
      </c>
      <c r="AB38" s="35">
        <f>_xll.BDP($B38&amp;" Equity","volatility_10d")</f>
        <v>79.8271829134884</v>
      </c>
      <c r="AC38" s="35">
        <f>_xll.BDP(B38&amp;" EQUITY","eqy_beta")</f>
        <v>0.94857233762741089</v>
      </c>
      <c r="AD38" s="15">
        <f>Tabelad[[#This Row],[D1 P&amp;L bps]]*$AD$5/10000</f>
        <v>33018.253074436245</v>
      </c>
      <c r="AE38" s="206"/>
      <c r="AF38" s="185" t="str">
        <f>_xll.BDP(B38&amp;" Equity","EXPECTED_REPORT_DT")</f>
        <v>14/05/2026</v>
      </c>
      <c r="AG38" s="139">
        <f>_xll.BDP(B38&amp;" Index","CHG_PCT_1D_PRE_FROM_REGULAR")/100</f>
        <v>-4.2210520000000003E-3</v>
      </c>
      <c r="AH38" s="19">
        <f t="shared" si="10"/>
        <v>-5.1425458730919395E-2</v>
      </c>
      <c r="AI38" s="360" t="str">
        <f>_xll.BDP(B38&amp;" Equity","DVD_EX_DT")</f>
        <v>02/04/2026</v>
      </c>
    </row>
    <row r="39" spans="1:35">
      <c r="B39" s="39" t="s">
        <v>790</v>
      </c>
      <c r="C39" t="s">
        <v>791</v>
      </c>
      <c r="E39" t="s">
        <v>137</v>
      </c>
      <c r="F39" s="21" t="s">
        <v>47</v>
      </c>
      <c r="G39" s="15"/>
      <c r="H39" s="488">
        <v>30000</v>
      </c>
      <c r="I39" s="35" cm="1">
        <f t="array" ref="I39">_xll.BDP(B39&amp;" Equity","LAST_PRICE")</f>
        <v>15.81</v>
      </c>
      <c r="J39" s="50">
        <f t="shared" si="4"/>
        <v>2.0658489347966436E-2</v>
      </c>
      <c r="K39" s="354">
        <f>_xll.BDP(B39&amp;" equity","PX_YEST_CLOSE")</f>
        <v>15.49</v>
      </c>
      <c r="L39" s="52">
        <f>_xll.BDP(E39&amp;" Curncy","PX_LAST")</f>
        <v>1</v>
      </c>
      <c r="M39" s="51">
        <v>1</v>
      </c>
      <c r="N39" s="15">
        <f t="shared" si="5"/>
        <v>474300</v>
      </c>
      <c r="O39" s="284">
        <f>IFERROR(IF(Tabelad[[#This Row],[D1 Exp USD]]&lt;&gt;0,N39/$AE$7,0),"-")</f>
        <v>1.8788917354681887E-4</v>
      </c>
      <c r="P39" s="19">
        <f>IFERROR(IF(Tabelad[[#This Row],[D1 Exp USD]]&lt;&gt;0,((I39-K39)/L39*M39*H39)/$AD$7*10000,0),"-")</f>
        <v>3.8029434240975393E-2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8">
        <f t="shared" ref="R39:R44" si="42">Q39/$AE$7</f>
        <v>0</v>
      </c>
      <c r="S39" s="19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>
        <f t="shared" si="6"/>
        <v>474300</v>
      </c>
      <c r="U39" s="47">
        <f t="shared" si="7"/>
        <v>1.8788917354681887E-4</v>
      </c>
      <c r="V39" s="19">
        <f t="shared" si="8"/>
        <v>3.8029434240975393E-2</v>
      </c>
      <c r="W39" s="15">
        <f t="shared" si="9"/>
        <v>958011.55863377615</v>
      </c>
      <c r="X39" s="18"/>
      <c r="Y39" s="300">
        <f>Tabelad[[#This Row],[Exp %]]*$Y$10*$AD$7/Tabelad[[#This Row],[Price Today]]</f>
        <v>10500</v>
      </c>
      <c r="Z39" s="195">
        <f>Tabelad[[#This Row],[Vol 10d]]/16*Tabelad[[#This Row],[Exp %]]*100</f>
        <v>0.1294903177807713</v>
      </c>
      <c r="AA39" s="18">
        <f>Tabelad[[#This Row],[Exp %]]*Tabelad[[#This Row],[Beta]]</f>
        <v>3.8616001700525975E-4</v>
      </c>
      <c r="AB39" s="35">
        <f>_xll.BDP($B39&amp;" Equity","volatility_10d")</f>
        <v>110.26952992456862</v>
      </c>
      <c r="AC39" s="35">
        <f>_xll.BDP(B39&amp;" EQUITY","eqy_beta")</f>
        <v>2.0552542209625244</v>
      </c>
      <c r="AD39" s="15">
        <f>Tabelad[[#This Row],[D1 P&amp;L bps]]*$AD$5/10000</f>
        <v>9015.1073013738078</v>
      </c>
      <c r="AE39" s="206"/>
      <c r="AF39" s="185" t="str">
        <f>_xll.BDP(B39&amp;" Equity","EXPECTED_REPORT_DT")</f>
        <v>24/02/2026</v>
      </c>
      <c r="AG39" s="139">
        <f>_xll.BDP(B39&amp;" Index","CHG_PCT_1D_PRE_FROM_REGULAR")/100</f>
        <v>-1.4202669999999999E-2</v>
      </c>
      <c r="AH39" s="19">
        <f t="shared" si="10"/>
        <v>-2.6685279284581979E-2</v>
      </c>
      <c r="AI39" s="360" t="str">
        <f>_xll.BDP(B39&amp;" Equity","DVD_EX_DT")</f>
        <v>12/10/2017</v>
      </c>
    </row>
    <row r="40" spans="1:35">
      <c r="A40" s="361"/>
      <c r="B40" s="39" t="s">
        <v>1030</v>
      </c>
      <c r="C40" t="s">
        <v>791</v>
      </c>
      <c r="E40" t="s">
        <v>137</v>
      </c>
      <c r="F40" s="21" t="s">
        <v>47</v>
      </c>
      <c r="G40" s="15"/>
      <c r="H40" s="488">
        <v>4217</v>
      </c>
      <c r="I40" s="35" cm="1">
        <f t="array" ref="I40">_xll.BDP(B40&amp;" Equity","LAST_PRICE")</f>
        <v>429.8</v>
      </c>
      <c r="J40" s="50">
        <f t="shared" si="4"/>
        <v>3.78634212305613E-2</v>
      </c>
      <c r="K40" s="354">
        <f>_xll.BDP(B40&amp;" equity","PX_YEST_CLOSE")</f>
        <v>414.12</v>
      </c>
      <c r="L40" s="52">
        <f>_xll.BDP(E40&amp;" Curncy","PX_LAST")</f>
        <v>1</v>
      </c>
      <c r="M40" s="51">
        <v>1</v>
      </c>
      <c r="N40" s="15">
        <f t="shared" si="5"/>
        <v>1812466.6</v>
      </c>
      <c r="O40" s="284">
        <f>IFERROR(IF(Tabelad[[#This Row],[D1 Exp USD]]&lt;&gt;0,N40/$AE$7,0),"-")</f>
        <v>7.1799041019441864E-4</v>
      </c>
      <c r="P40" s="19">
        <f>IFERROR(IF(Tabelad[[#This Row],[D1 Exp USD]]&lt;&gt;0,((I40-K40)/L40*M40*H40)/$AD$7*10000,0),"-")</f>
        <v>0.26193786951718218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18">
        <f t="shared" si="42"/>
        <v>0</v>
      </c>
      <c r="S40" s="19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13">
        <f t="shared" si="6"/>
        <v>1812466.6</v>
      </c>
      <c r="U40" s="47">
        <f t="shared" si="7"/>
        <v>7.1799041019441864E-4</v>
      </c>
      <c r="V40" s="19">
        <f t="shared" si="8"/>
        <v>0.26193786951718218</v>
      </c>
      <c r="W40" s="15">
        <f t="shared" si="9"/>
        <v>35240.024993020008</v>
      </c>
      <c r="X40" s="18"/>
      <c r="Y40" s="300">
        <f>Tabelad[[#This Row],[Exp %]]*$Y$10*$AD$7/Tabelad[[#This Row],[Price Today]]</f>
        <v>1475.9499999999998</v>
      </c>
      <c r="Z40" s="195">
        <f>Tabelad[[#This Row],[Vol 10d]]/16*Tabelad[[#This Row],[Exp %]]*100</f>
        <v>0.32762587333543164</v>
      </c>
      <c r="AA40" s="18">
        <f>Tabelad[[#This Row],[Exp %]]*Tabelad[[#This Row],[Beta]]</f>
        <v>8.8258214684534657E-4</v>
      </c>
      <c r="AB40" s="35">
        <f>_xll.BDP($B40&amp;" Equity","volatility_10d")</f>
        <v>73.009526296423161</v>
      </c>
      <c r="AC40" s="35">
        <f>_xll.BDP(B40&amp;" EQUITY","eqy_beta")</f>
        <v>1.2292394638061523</v>
      </c>
      <c r="AD40" s="15">
        <f>Tabelad[[#This Row],[D1 P&amp;L bps]]*$AD$5/10000</f>
        <v>62093.955566825774</v>
      </c>
      <c r="AE40" s="206"/>
      <c r="AF40" s="185" t="str">
        <f>_xll.BDP(B40&amp;" Equity","EXPECTED_REPORT_DT")</f>
        <v>27/03/2026</v>
      </c>
      <c r="AG40" s="139">
        <f>_xll.BDP(B40&amp;" Index","CHG_PCT_1D_PRE_FROM_REGULAR")/100</f>
        <v>2.2414459999999997E-2</v>
      </c>
      <c r="AH40" s="19">
        <f t="shared" si="10"/>
        <v>0.16093367329686389</v>
      </c>
      <c r="AI40" s="360" t="str">
        <f>_xll.BDP(B40&amp;" Equity","DVD_EX_DT")</f>
        <v>22/01/2026</v>
      </c>
    </row>
    <row r="41" spans="1:35">
      <c r="A41" s="361"/>
      <c r="B41" s="39" t="s">
        <v>1031</v>
      </c>
      <c r="C41" t="s">
        <v>791</v>
      </c>
      <c r="E41" t="s">
        <v>137</v>
      </c>
      <c r="F41" s="21" t="s">
        <v>47</v>
      </c>
      <c r="G41" s="15"/>
      <c r="H41" s="488">
        <v>965</v>
      </c>
      <c r="I41" s="35" cm="1">
        <f t="array" ref="I41">_xll.BDP(B41&amp;" Equity","LAST_PRICE")</f>
        <v>835.28499999999997</v>
      </c>
      <c r="J41" s="50">
        <f t="shared" si="4"/>
        <v>2.1692862821845793E-2</v>
      </c>
      <c r="K41" s="354">
        <f>_xll.BDP(B41&amp;" equity","PX_YEST_CLOSE")</f>
        <v>817.55</v>
      </c>
      <c r="L41" s="52">
        <f>_xll.BDP(E41&amp;" Curncy","PX_LAST")</f>
        <v>1</v>
      </c>
      <c r="M41" s="51">
        <v>1</v>
      </c>
      <c r="N41" s="15">
        <f t="shared" si="5"/>
        <v>806050.02500000002</v>
      </c>
      <c r="O41" s="284">
        <f>IFERROR(IF(Tabelad[[#This Row],[D1 Exp USD]]&lt;&gt;0,N41/$AE$7,0),"-")</f>
        <v>3.1930860854868798E-4</v>
      </c>
      <c r="P41" s="19">
        <f>IFERROR(IF(Tabelad[[#This Row],[D1 Exp USD]]&lt;&gt;0,((I41-K41)/L41*M41*H41)/$AD$7*10000,0),"-")</f>
        <v>6.7796478718173847E-2</v>
      </c>
      <c r="Q41" s="15">
        <f>IF(SUM(SUMIFS(Options!$AL$4:$AL$28, Options!$D$4:$D$28, B41), SUMIFS(Options!$AL$4:$AL$28, Options!$D$4:$D$28, B41 &amp; " US"))=0,0,SUM(SUMIFS(Options!$AL$4:$AL$28, Options!$D$4:$D$28, B41), SUMIFS(Options!$AL$4:$AL$28, Options!$D$4:$D$28, B41 &amp; " US")))</f>
        <v>0</v>
      </c>
      <c r="R41" s="18">
        <f t="shared" si="42"/>
        <v>0</v>
      </c>
      <c r="S41" s="19">
        <f>IF(SUM(SUMIFS(Options!$AK$4:$AK$28, Options!$D$4:$D$28, B41), SUMIFS(Options!$AK$4:$AK$28, Options!$D$4:$D$28, B41 &amp; " US"))=0,0,SUM(SUMIFS(Options!$AK$4:$AK$28, Options!$D$4:$D$28, B41), SUMIFS(Options!AK$4:$AK$28, Options!$D$4:$D$28, B41 &amp; " US")))</f>
        <v>0</v>
      </c>
      <c r="T41" s="13">
        <f t="shared" si="6"/>
        <v>806050.02500000002</v>
      </c>
      <c r="U41" s="47">
        <f t="shared" si="7"/>
        <v>3.1930860854868798E-4</v>
      </c>
      <c r="V41" s="19">
        <f t="shared" si="8"/>
        <v>6.7796478718173847E-2</v>
      </c>
      <c r="W41" s="15">
        <f t="shared" si="9"/>
        <v>18132.927973087033</v>
      </c>
      <c r="X41" s="18"/>
      <c r="Y41" s="300">
        <f>Tabelad[[#This Row],[Exp %]]*$Y$10*$AD$7/Tabelad[[#This Row],[Price Today]]</f>
        <v>337.75000000000006</v>
      </c>
      <c r="Z41" s="195">
        <f>Tabelad[[#This Row],[Vol 10d]]/16*Tabelad[[#This Row],[Exp %]]*100</f>
        <v>8.2566228096027608E-2</v>
      </c>
      <c r="AA41" s="18">
        <f>Tabelad[[#This Row],[Exp %]]*Tabelad[[#This Row],[Beta]]</f>
        <v>4.0161627530576878E-4</v>
      </c>
      <c r="AB41" s="35">
        <f>_xll.BDP($B41&amp;" Equity","volatility_10d")</f>
        <v>41.372503407937636</v>
      </c>
      <c r="AC41" s="35">
        <f>_xll.BDP(B41&amp;" EQUITY","eqy_beta")</f>
        <v>1.2577683925628662</v>
      </c>
      <c r="AD41" s="15">
        <f>Tabelad[[#This Row],[D1 P&amp;L bps]]*$AD$5/10000</f>
        <v>16071.565157314497</v>
      </c>
      <c r="AE41" s="206"/>
      <c r="AF41" s="185" t="str">
        <f>_xll.BDP(B41&amp;" Equity","EXPECTED_REPORT_DT")</f>
        <v>23/04/2026</v>
      </c>
      <c r="AG41" s="139">
        <f>_xll.BDP(B41&amp;" Index","CHG_PCT_1D_PRE_FROM_REGULAR")/100</f>
        <v>-3.3147339999999997E-3</v>
      </c>
      <c r="AH41" s="19">
        <f t="shared" si="10"/>
        <v>-1.0584231012490265E-2</v>
      </c>
      <c r="AI41" s="360" t="str">
        <f>_xll.BDP(B41&amp;" Equity","DVD_EX_DT")</f>
        <v>17/03/2026</v>
      </c>
    </row>
    <row r="42" spans="1:35">
      <c r="A42" s="361"/>
      <c r="B42" s="39" t="s">
        <v>1041</v>
      </c>
      <c r="C42" t="s">
        <v>791</v>
      </c>
      <c r="E42" t="s">
        <v>1042</v>
      </c>
      <c r="F42" s="21" t="s">
        <v>47</v>
      </c>
      <c r="G42" s="15"/>
      <c r="H42" s="488">
        <v>2000</v>
      </c>
      <c r="I42" s="35" cm="1">
        <f t="array" ref="I42">_xll.BDP(B42&amp;" Equity","LAST_PRICE")</f>
        <v>164.2</v>
      </c>
      <c r="J42" s="50">
        <f>I42/K42-1</f>
        <v>-1.4701470147014839E-2</v>
      </c>
      <c r="K42" s="354">
        <f>_xll.BDP(B42&amp;" equity","PX_YEST_CLOSE")</f>
        <v>166.65</v>
      </c>
      <c r="L42" s="206" cm="1">
        <f t="array" ref="L42">1/_xll.BDP(E42&amp;" Curncy","PX_LAST")</f>
        <v>0.84954549316115879</v>
      </c>
      <c r="M42" s="51">
        <v>1</v>
      </c>
      <c r="N42" s="15">
        <f t="shared" si="5"/>
        <v>386559.63999999996</v>
      </c>
      <c r="O42" s="284">
        <f>IFERROR(IF(Tabelad[[#This Row],[D1 Exp USD]]&lt;&gt;0,N42/$AE$7,0),"-")</f>
        <v>1.5313171259994903E-4</v>
      </c>
      <c r="P42" s="19">
        <f>IFERROR(IF(Tabelad[[#This Row],[D1 Exp USD]]&lt;&gt;0,((I42-K42)/L42*M42*H42)/$AD$7*10000,0),"-")</f>
        <v>-2.2848519845912164E-2</v>
      </c>
      <c r="Q42" s="15">
        <f>IF(SUM(SUMIFS(Options!$AL$4:$AL$28, Options!$D$4:$D$28, B42), SUMIFS(Options!$AL$4:$AL$28, Options!$D$4:$D$28, B42 &amp; " US"))=0,0,SUM(SUMIFS(Options!$AL$4:$AL$28, Options!$D$4:$D$28, B42), SUMIFS(Options!$AL$4:$AL$28, Options!$D$4:$D$28, B42 &amp; " US")))</f>
        <v>0</v>
      </c>
      <c r="R42" s="18">
        <f t="shared" si="42"/>
        <v>0</v>
      </c>
      <c r="S42" s="19">
        <f>IF(SUM(SUMIFS(Options!$AK$4:$AK$28, Options!$D$4:$D$28, B42), SUMIFS(Options!$AK$4:$AK$28, Options!$D$4:$D$28, B42 &amp; " US"))=0,0,SUM(SUMIFS(Options!$AK$4:$AK$28, Options!$D$4:$D$28, B42), SUMIFS(Options!AK$4:$AK$28, Options!$D$4:$D$28, B42 &amp; " US")))</f>
        <v>0</v>
      </c>
      <c r="T42" s="13">
        <f t="shared" si="6"/>
        <v>386559.63999999996</v>
      </c>
      <c r="U42" s="47">
        <f t="shared" si="7"/>
        <v>1.5313171259994903E-4</v>
      </c>
      <c r="V42" s="19">
        <f t="shared" si="8"/>
        <v>-2.2848519845912164E-2</v>
      </c>
      <c r="W42" s="15">
        <f t="shared" si="9"/>
        <v>78363.911669619745</v>
      </c>
      <c r="X42" s="18"/>
      <c r="Y42" s="300">
        <f>Tabelad[[#This Row],[Exp %]]*$Y$10*$AD$7/Tabelad[[#This Row],[Price Today]]</f>
        <v>823.96999999999991</v>
      </c>
      <c r="Z42" s="195">
        <f>Tabelad[[#This Row],[Vol 10d]]/16*Tabelad[[#This Row],[Exp %]]*100</f>
        <v>5.8111896190162424E-2</v>
      </c>
      <c r="AA42" s="18">
        <f>Tabelad[[#This Row],[Exp %]]*Tabelad[[#This Row],[Beta]]</f>
        <v>2.1184746455728528E-4</v>
      </c>
      <c r="AB42" s="35">
        <f>_xll.BDP($B42&amp;" Equity","volatility_10d")</f>
        <v>60.718339999999998</v>
      </c>
      <c r="AC42" s="35">
        <f>_xll.BDP(B42&amp;" EQUITY","eqy_beta")</f>
        <v>1.3834329999999999</v>
      </c>
      <c r="AD42" s="15">
        <f>Tabelad[[#This Row],[D1 P&amp;L bps]]*$AD$5/10000</f>
        <v>-5416.3797647699112</v>
      </c>
      <c r="AE42" s="206"/>
      <c r="AF42" s="185" t="str">
        <f>_xll.BDP(B42&amp;" Equity","EXPECTED_REPORT_DT")</f>
        <v>12/05/2026</v>
      </c>
      <c r="AG42" s="139" t="e">
        <f>_xll.BDP(B42&amp;" Index","CHG_PCT_1D_PRE_FROM_REGULAR")/100</f>
        <v>#VALUE!</v>
      </c>
      <c r="AH42" s="19" t="e">
        <f t="shared" si="10"/>
        <v>#VALUE!</v>
      </c>
      <c r="AI42" s="360" t="str">
        <f>_xll.BDP(B42&amp;" Equity","DVD_EX_DT")</f>
        <v>27/02/2026</v>
      </c>
    </row>
    <row r="43" spans="1:35" ht="15.75" thickBot="1">
      <c r="A43" s="361"/>
      <c r="B43" s="39" t="s">
        <v>970</v>
      </c>
      <c r="C43" t="s">
        <v>791</v>
      </c>
      <c r="E43" t="s">
        <v>137</v>
      </c>
      <c r="F43" s="21" t="s">
        <v>47</v>
      </c>
      <c r="G43" s="15"/>
      <c r="H43" s="488">
        <v>53300</v>
      </c>
      <c r="I43" s="35" cm="1">
        <f t="array" ref="I43">_xll.BDP(B43&amp;" Equity","LAST_PRICE")</f>
        <v>72.284999999999997</v>
      </c>
      <c r="J43" s="50">
        <f t="shared" si="4"/>
        <v>2.0099805932907167E-3</v>
      </c>
      <c r="K43" s="354">
        <f>_xll.BDP(B43&amp;" equity","PX_YEST_CLOSE")</f>
        <v>72.14</v>
      </c>
      <c r="L43" s="52">
        <f>_xll.BDP(E43&amp;" Curncy","PX_LAST")</f>
        <v>1</v>
      </c>
      <c r="M43" s="51">
        <v>1</v>
      </c>
      <c r="N43" s="15">
        <f t="shared" si="5"/>
        <v>3852790.5</v>
      </c>
      <c r="O43" s="284">
        <f>IFERROR(IF(Tabelad[[#This Row],[D1 Exp USD]]&lt;&gt;0,N43/$AE$7,0),"-")</f>
        <v>1.5262441975417143E-3</v>
      </c>
      <c r="P43" s="19">
        <f>IFERROR(IF(Tabelad[[#This Row],[D1 Exp USD]]&lt;&gt;0,((I43-K43)/L43*M43*H43)/$AD$7*10000,0),"-")</f>
        <v>3.0615675263684375E-2</v>
      </c>
      <c r="Q43" s="15">
        <f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8">
        <f t="shared" si="42"/>
        <v>0</v>
      </c>
      <c r="S43" s="19">
        <f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>
        <f t="shared" si="6"/>
        <v>3852790.5</v>
      </c>
      <c r="U43" s="47">
        <f t="shared" si="7"/>
        <v>1.5262441975417143E-3</v>
      </c>
      <c r="V43" s="19">
        <f t="shared" si="8"/>
        <v>3.0615675263684375E-2</v>
      </c>
      <c r="W43" s="15">
        <f t="shared" si="9"/>
        <v>209533.96613405272</v>
      </c>
      <c r="X43" s="18"/>
      <c r="Y43" s="300">
        <f>Tabelad[[#This Row],[Exp %]]*$Y$10*$AD$7/Tabelad[[#This Row],[Price Today]]</f>
        <v>18655</v>
      </c>
      <c r="Z43" s="195">
        <f>Tabelad[[#This Row],[Vol 10d]]/16*Tabelad[[#This Row],[Exp %]]*100</f>
        <v>0.19325342518197441</v>
      </c>
      <c r="AA43" s="18">
        <f>Tabelad[[#This Row],[Exp %]]*Tabelad[[#This Row],[Beta]]</f>
        <v>1.0228948504480036E-3</v>
      </c>
      <c r="AB43" s="35">
        <f>_xll.BDP($B43&amp;" Equity","volatility_10d")</f>
        <v>20.259240348902821</v>
      </c>
      <c r="AC43" s="35">
        <f>_xll.BDP(B43&amp;" EQUITY","eqy_beta")</f>
        <v>0.67020392417907715</v>
      </c>
      <c r="AD43" s="15">
        <f>Tabelad[[#This Row],[D1 P&amp;L bps]]*$AD$5/10000</f>
        <v>7257.630914444323</v>
      </c>
      <c r="AE43" s="206"/>
      <c r="AF43" s="185" t="str">
        <f>_xll.BDP(B43&amp;" Equity","EXPECTED_REPORT_DT")</f>
        <v>05/05/2026</v>
      </c>
      <c r="AG43" s="139">
        <f>_xll.BDP(B43&amp;" Index","CHG_PCT_1D_PRE_FROM_REGULAR")/100</f>
        <v>5.8219869999999998E-3</v>
      </c>
      <c r="AH43" s="19">
        <f t="shared" si="10"/>
        <v>8.8857738769132916E-2</v>
      </c>
      <c r="AI43" s="360" t="str">
        <f>_xll.BDP(B43&amp;" Equity","DVD_EX_DT")</f>
        <v>13/03/2026</v>
      </c>
    </row>
    <row r="44" spans="1:35" ht="15.75" thickBot="1">
      <c r="B44" s="451" t="s">
        <v>78</v>
      </c>
      <c r="C44" s="463" t="s">
        <v>797</v>
      </c>
      <c r="D44" s="463"/>
      <c r="E44" s="463" t="s">
        <v>137</v>
      </c>
      <c r="F44" s="464"/>
      <c r="G44" s="452"/>
      <c r="H44" s="492">
        <v>14909</v>
      </c>
      <c r="I44" s="453" cm="1">
        <f t="array" ref="I44">_xll.BDP(B44&amp;" Equity","LAST_PRICE")</f>
        <v>103.43</v>
      </c>
      <c r="J44" s="454">
        <f t="shared" si="4"/>
        <v>8.4828393135725211E-3</v>
      </c>
      <c r="K44" s="513">
        <f>_xll.BDP(B44&amp;" equity","PX_YEST_CLOSE")</f>
        <v>102.56</v>
      </c>
      <c r="L44" s="455">
        <f>_xll.BDP(E44&amp;" Curncy","PX_LAST")</f>
        <v>1</v>
      </c>
      <c r="M44" s="456">
        <v>1</v>
      </c>
      <c r="N44" s="452">
        <f t="shared" si="5"/>
        <v>1542037.87</v>
      </c>
      <c r="O44" s="457">
        <f>IFERROR(IF(Tabelad[[#This Row],[D1 Exp USD]]&lt;&gt;0,N44/$AE$7,0),"-")</f>
        <v>6.108627893151949E-4</v>
      </c>
      <c r="P44" s="458">
        <f>IFERROR(IF(Tabelad[[#This Row],[D1 Exp USD]]&lt;&gt;0,((I44-K44)/L44*M44*H44)/$AD$7*10000,0),"-")</f>
        <v>5.1382638180820103E-2</v>
      </c>
      <c r="Q44" s="452">
        <f>IF(SUM(SUMIFS(Options!$AL$4:$AL$28, Options!$D$4:$D$28, B44), SUMIFS(Options!$AL$4:$AL$28, Options!$D$4:$D$28, B44 &amp; " US"))=0,0,SUM(SUMIFS(Options!$AL$4:$AL$28, Options!$D$4:$D$28, B44), SUMIFS(Options!$AL$4:$AL$28, Options!$D$4:$D$28, B44 &amp; " US")))</f>
        <v>0</v>
      </c>
      <c r="R44" s="459">
        <f t="shared" si="42"/>
        <v>0</v>
      </c>
      <c r="S44" s="458">
        <f>IF(SUM(SUMIFS(Options!$AK$4:$AK$28, Options!$D$4:$D$28, B44), SUMIFS(Options!$AK$4:$AK$28, Options!$D$4:$D$28, B44 &amp; " US"))=0,0,SUM(SUMIFS(Options!$AK$4:$AK$28, Options!$D$4:$D$28, B44), SUMIFS(Options!AK$4:$AK$28, Options!$D$4:$D$28, B44 &amp; " US")))</f>
        <v>0</v>
      </c>
      <c r="T44" s="465">
        <f t="shared" si="6"/>
        <v>1542037.87</v>
      </c>
      <c r="U44" s="460">
        <f t="shared" si="7"/>
        <v>6.108627893151949E-4</v>
      </c>
      <c r="V44" s="461">
        <f t="shared" si="8"/>
        <v>5.1382638180820103E-2</v>
      </c>
      <c r="W44" s="15">
        <f t="shared" si="9"/>
        <v>146438.77735666634</v>
      </c>
      <c r="X44" s="18"/>
      <c r="Y44" s="300">
        <f>Tabelad[[#This Row],[Exp %]]*$Y$10*$AD$7/Tabelad[[#This Row],[Price Today]]</f>
        <v>5218.1499999999996</v>
      </c>
      <c r="Z44" s="195">
        <f>Tabelad[[#This Row],[Vol 10d]]/16*Tabelad[[#This Row],[Exp %]]*100</f>
        <v>0.27459554940252101</v>
      </c>
      <c r="AA44" s="18">
        <f>Tabelad[[#This Row],[Exp %]]*Tabelad[[#This Row],[Beta]]</f>
        <v>6.0915358250049909E-4</v>
      </c>
      <c r="AB44" s="35">
        <f>_xll.BDP($B44&amp;" Equity","volatility_10d")</f>
        <v>71.923333149260614</v>
      </c>
      <c r="AC44" s="35">
        <f>_xll.BDP(B44&amp;" EQUITY","eqy_beta")</f>
        <v>0.99720197916030884</v>
      </c>
      <c r="AD44" s="15">
        <f>Tabelad[[#This Row],[D1 P&amp;L bps]]*$AD$5/10000</f>
        <v>12180.565024779055</v>
      </c>
      <c r="AE44" s="206"/>
      <c r="AF44" s="185" t="str">
        <f>_xll.BDP(B44&amp;" Equity","EXPECTED_REPORT_DT")</f>
        <v>#N/A N/A</v>
      </c>
      <c r="AG44" s="139">
        <f>_xll.BDP(B44&amp;" Index","CHG_PCT_1D_PRE_FROM_REGULAR")/100</f>
        <v>-9.0678660000000008E-3</v>
      </c>
      <c r="AH44" s="19">
        <f t="shared" si="10"/>
        <v>-5.5392219178964204E-2</v>
      </c>
      <c r="AI44" s="360" t="str">
        <f>_xll.BDP(B44&amp;" Equity","DVD_EX_DT")</f>
        <v>22/12/2025</v>
      </c>
    </row>
    <row r="45" spans="1:35">
      <c r="C45" s="39"/>
      <c r="D45" s="39"/>
      <c r="E45" s="39"/>
      <c r="H45" s="488"/>
      <c r="I45" s="52"/>
      <c r="K45" s="52"/>
      <c r="L45" s="52"/>
      <c r="M45" s="35"/>
      <c r="S45" s="206"/>
      <c r="U45" s="70"/>
      <c r="V45" s="64"/>
      <c r="X45" s="52"/>
      <c r="Y45" s="359"/>
      <c r="Z45" s="18"/>
      <c r="AG45" s="52"/>
      <c r="AI45" s="47"/>
    </row>
    <row r="46" spans="1:35">
      <c r="C46" s="20"/>
      <c r="D46" s="20"/>
      <c r="E46" s="20"/>
      <c r="H46" s="13"/>
      <c r="L46" s="3"/>
      <c r="S46" s="205"/>
    </row>
    <row r="47" spans="1:35">
      <c r="C47" s="20"/>
      <c r="D47" s="20"/>
      <c r="E47" s="20"/>
      <c r="H47" s="13"/>
      <c r="L47" s="3"/>
      <c r="S47" s="205"/>
    </row>
    <row r="48" spans="1:35">
      <c r="C48" s="20"/>
      <c r="D48" s="20"/>
      <c r="E48" s="20"/>
      <c r="H48" s="13"/>
      <c r="L48" s="3"/>
      <c r="S48" s="205"/>
    </row>
    <row r="49" spans="3:19">
      <c r="C49" s="20"/>
      <c r="D49" s="20"/>
      <c r="E49" s="20"/>
      <c r="H49" s="17"/>
      <c r="J49" s="17"/>
      <c r="S49" s="205"/>
    </row>
    <row r="50" spans="3:19">
      <c r="C50" s="20"/>
      <c r="D50" s="20"/>
      <c r="E50" s="20"/>
      <c r="H50" s="13"/>
      <c r="S50" s="205"/>
    </row>
    <row r="51" spans="3:19">
      <c r="C51" s="20"/>
      <c r="D51" s="20"/>
      <c r="E51" s="20"/>
      <c r="H51" s="13"/>
      <c r="J51" s="17"/>
    </row>
    <row r="52" spans="3:19">
      <c r="C52" s="20"/>
      <c r="D52" s="20"/>
      <c r="E52" s="20"/>
      <c r="J52" s="17"/>
    </row>
    <row r="53" spans="3:19">
      <c r="C53" s="20"/>
      <c r="D53" s="20"/>
      <c r="E53" s="20"/>
      <c r="J53" s="17"/>
    </row>
    <row r="54" spans="3:19">
      <c r="C54" s="20"/>
      <c r="D54" s="20"/>
      <c r="E54" s="20"/>
      <c r="H54" s="13"/>
      <c r="J54" s="17"/>
    </row>
    <row r="55" spans="3:19">
      <c r="C55" s="20"/>
      <c r="D55" s="20"/>
      <c r="E55" s="20"/>
      <c r="H55" s="13"/>
      <c r="J55" s="17"/>
    </row>
    <row r="56" spans="3:19">
      <c r="H56" s="13"/>
      <c r="J56" s="17"/>
    </row>
    <row r="57" spans="3:19">
      <c r="H57" s="13"/>
      <c r="J57" s="17"/>
    </row>
    <row r="58" spans="3:19">
      <c r="H58" s="13"/>
      <c r="J58" s="17"/>
    </row>
    <row r="59" spans="3:19">
      <c r="H59" s="13"/>
      <c r="J59" s="17"/>
    </row>
    <row r="60" spans="3:19">
      <c r="H60" s="13"/>
      <c r="J60" s="17"/>
    </row>
    <row r="61" spans="3:19">
      <c r="H61" s="13"/>
      <c r="J61" s="17"/>
    </row>
    <row r="62" spans="3:19">
      <c r="H62" s="13"/>
      <c r="J62" s="17"/>
    </row>
    <row r="63" spans="3:19">
      <c r="H63" s="13"/>
      <c r="J63" s="17"/>
    </row>
    <row r="64" spans="3:19">
      <c r="H64" s="13"/>
      <c r="J64" s="17"/>
    </row>
    <row r="65" spans="8:10">
      <c r="H65" s="13"/>
      <c r="J65" s="17"/>
    </row>
    <row r="66" spans="8:10">
      <c r="H66" s="13"/>
      <c r="J66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93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93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4">
    <cfRule type="dataBar" priority="59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4">
    <cfRule type="colorScale" priority="59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4">
    <cfRule type="dataBar" priority="5939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4">
    <cfRule type="colorScale" priority="59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4">
    <cfRule type="colorScale" priority="594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4">
    <cfRule type="colorScale" priority="59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4">
    <cfRule type="colorScale" priority="59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37</xdr:col>
                    <xdr:colOff>342900</xdr:colOff>
                    <xdr:row>2</xdr:row>
                    <xdr:rowOff>85725</xdr:rowOff>
                  </from>
                  <to>
                    <xdr:col>39</xdr:col>
                    <xdr:colOff>361950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K25" sqref="K25:K26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1.8296560020671218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SUM(V4:V28)</f>
        <v>22.24808815973185</v>
      </c>
      <c r="W1" s="49">
        <f>SUM(W4:W28)</f>
        <v>8.1055951964141375</v>
      </c>
      <c r="X1" s="49">
        <f>SUM(X4:X28)</f>
        <v>51.805000000000007</v>
      </c>
      <c r="Y1" s="198"/>
      <c r="AG1" s="42"/>
      <c r="AI1" s="340">
        <f>SUM(AI4:AI28)*252</f>
        <v>-28.062615202219671</v>
      </c>
      <c r="AJ1" s="340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75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263"/>
      <c r="B4" s="72" t="s">
        <v>1063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148</v>
      </c>
      <c r="G4" s="72" t="str" cm="1">
        <f t="array" ref="G4">_xll.BDP(B4&amp;" Equity","QUOTED_CURRENCY_REALTIME")</f>
        <v>USD</v>
      </c>
      <c r="H4" s="41">
        <v>-300</v>
      </c>
      <c r="I4" s="334">
        <v>7.61</v>
      </c>
      <c r="J4" s="14">
        <f>VLOOKUP(B4,Precificação!$B:$O,14,FALSE)</f>
        <v>7.65</v>
      </c>
      <c r="K4" s="73">
        <f>J4</f>
        <v>7.65</v>
      </c>
      <c r="L4" s="73" cm="1">
        <f t="array" ref="L4">_xll.BDP($B4&amp;" Equity","mid")</f>
        <v>7.58</v>
      </c>
      <c r="M4" s="74">
        <f t="shared" ref="M4:M28" si="0">L4/Z4</f>
        <v>3.7060396712478794E-2</v>
      </c>
      <c r="N4" s="279"/>
      <c r="O4" s="74">
        <f t="shared" ref="O4:O28" si="1">L4/K4-1</f>
        <v>-9.1503267973856994E-3</v>
      </c>
      <c r="P4" s="73" cm="1">
        <f t="array" ref="P4">_xll.BDP($B4&amp;" Equity","bid")</f>
        <v>7.5</v>
      </c>
      <c r="Q4" s="73" cm="1">
        <f t="array" ref="Q4">_xll.BDP($B4&amp;" Equity","ask")</f>
        <v>7.65</v>
      </c>
      <c r="R4" s="75">
        <f t="shared" ref="R4:R28" si="2">(Q4/P4-1)</f>
        <v>2.0000000000000018E-2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8" si="3">(L4/S4)*H4*T4</f>
        <v>-227400</v>
      </c>
      <c r="V4" s="111">
        <f>U4/'Master P&amp;L'!$AD$7*10000</f>
        <v>-0.90082222358310371</v>
      </c>
      <c r="W4" s="111">
        <f>(Y4*H4*T4/S4)/'Master P&amp;L'!$AD$7*10000</f>
        <v>-0.90082222358310371</v>
      </c>
      <c r="X4" s="116">
        <f t="shared" ref="X4:X28" si="4">IF(C4="Put",IF(Z4&lt;AA4,AA4-Z4,0),IF(Z4&gt;AA4,Z4-AA4,0))</f>
        <v>0</v>
      </c>
      <c r="Y4" s="201">
        <f t="shared" ref="Y4:Y28" si="5">L4-X4</f>
        <v>7.58</v>
      </c>
      <c r="Z4" s="76">
        <f>_xll.BDP(D4&amp;" Equity","LAST_PRICE")</f>
        <v>204.53100000000001</v>
      </c>
      <c r="AA4" s="76" cm="1">
        <f t="array" ref="AA4">_xll.BDP(B4&amp;" Equity","OPT_STRIKE_PX")</f>
        <v>240</v>
      </c>
      <c r="AB4" s="75">
        <f t="shared" ref="AB4:AB28" si="6">AA4/Z4-1</f>
        <v>0.17341625474866884</v>
      </c>
      <c r="AC4" s="251" cm="1">
        <f t="array" ref="AC4">_xll.BDP($D4&amp;" Equity","volatility_10d")</f>
        <v>35.159065396273512</v>
      </c>
      <c r="AD4" s="76" cm="1">
        <f t="array" ref="AD4">_xll.BDP(B4&amp;" Equity","ivol_mid")</f>
        <v>35.015770000000003</v>
      </c>
      <c r="AE4" s="76">
        <f t="shared" ref="AE4:AE28" si="7">AD4/AC4</f>
        <v>0.99592436844784005</v>
      </c>
      <c r="AF4" s="77" cm="1">
        <f t="array" ref="AF4">_xll.BDP(B4&amp;" Equity","DELTA_MID_RT")</f>
        <v>0.29479104280471802</v>
      </c>
      <c r="AG4" s="74">
        <f>AL4/'Master P&amp;L'!$AE$7</f>
        <v>-7.1654473839539848E-4</v>
      </c>
      <c r="AH4" s="74">
        <f>AM4/'Master P&amp;L'!$AE$7</f>
        <v>-2.4306869421065408E-3</v>
      </c>
      <c r="AI4" s="352">
        <f>AO4/'Master P&amp;L'!$AD$7*10000</f>
        <v>6.2263313079801812E-3</v>
      </c>
      <c r="AJ4" s="277">
        <f t="shared" ref="AJ4:AJ28" si="8">(252*AI4)/$AI$1</f>
        <v>-5.591194827369117E-2</v>
      </c>
      <c r="AK4" s="77">
        <f>AP4/'Master P&amp;L'!$AD$7*10000</f>
        <v>8.3189387402133937E-3</v>
      </c>
      <c r="AL4" s="41">
        <f t="shared" ref="AL4:AL28" si="9">Z4*AF4*H4*T4/S4</f>
        <v>-1808817.2032767537</v>
      </c>
      <c r="AM4" s="41">
        <f t="shared" ref="AM4:AM28" si="10">IF(C4="Put",-Z4*H4*T4/S4,Z4*H4*T4/S4)</f>
        <v>-6135930</v>
      </c>
      <c r="AN4" s="77" cm="1">
        <f t="array" ref="AN4">_xll.BDP($B4&amp;" Equity","theta_mid_rt")</f>
        <v>-5.239168182015419E-2</v>
      </c>
      <c r="AO4" s="41">
        <f t="shared" ref="AO4:AO28" si="11">AN4*H4*T4/S4</f>
        <v>1571.7504546046257</v>
      </c>
      <c r="AP4" s="41">
        <f t="shared" ref="AP4:AP28" si="12">(L4-K4)*T4/S4*H4</f>
        <v>2100.0000000000086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1.5484E-2</v>
      </c>
      <c r="AS4" s="72">
        <f t="shared" ref="AS4:AS28" si="13">$Z4*($AR4*$Z4*$AS$3)*$H4*$T4/$S4</f>
        <v>-194322.32625483721</v>
      </c>
      <c r="AT4" s="72">
        <f t="shared" ref="AT4:AT28" si="14">$Z4*($AR4*$Z4*$AT$3)*$H4*$T4/$S4</f>
        <v>-971611.63127418607</v>
      </c>
      <c r="AU4" s="72" t="s">
        <v>95</v>
      </c>
      <c r="AV4" s="250" cm="1">
        <f t="array" ref="AV4">_xll.BDP($D4&amp;" Equity","EST_PE_NXT_YR")*(AA4/Z4)</f>
        <v>21.911271379768063</v>
      </c>
      <c r="AW4" s="72"/>
      <c r="AX4" s="41"/>
      <c r="AY4" s="250">
        <v>7.63</v>
      </c>
      <c r="AZ4" s="281"/>
      <c r="BA4" s="41">
        <f t="shared" ref="BA4:BA28" si="15">+AY4</f>
        <v>7.63</v>
      </c>
      <c r="BB4" s="273">
        <f t="shared" ref="BB4:BB28" si="16">+J4</f>
        <v>7.65</v>
      </c>
      <c r="BC4" s="273">
        <f t="shared" ref="BC4:BC28" si="17">(BB4-BA4)*H4*100</f>
        <v>-600.00000000001387</v>
      </c>
      <c r="BD4" s="273">
        <f>BC4/'Master P&amp;L'!$AD$7*10000</f>
        <v>-2.3768396400610146E-3</v>
      </c>
    </row>
    <row r="5" spans="1:56" ht="15.75" customHeight="1">
      <c r="A5" s="283"/>
      <c r="B5" t="s">
        <v>1062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148</v>
      </c>
      <c r="G5" t="str" cm="1">
        <f t="array" ref="G5">_xll.BDP(B5&amp;" Equity","QUOTED_CURRENCY_REALTIME")</f>
        <v>USD</v>
      </c>
      <c r="H5" s="15">
        <v>-300</v>
      </c>
      <c r="I5" s="335">
        <v>7.7</v>
      </c>
      <c r="J5" s="14">
        <f>VLOOKUP(B5,Precificação!$B:$O,14,FALSE)</f>
        <v>7.9</v>
      </c>
      <c r="K5" s="73">
        <f t="shared" ref="K5:K28" si="18">J5</f>
        <v>7.9</v>
      </c>
      <c r="L5" s="35" cm="1">
        <f t="array" ref="L5">_xll.BDP($B5&amp;" Equity","mid")</f>
        <v>8.0500000000000007</v>
      </c>
      <c r="M5" s="18">
        <f t="shared" si="0"/>
        <v>3.9358336878028269E-2</v>
      </c>
      <c r="N5" s="277"/>
      <c r="O5" s="18">
        <f t="shared" si="1"/>
        <v>1.8987341772152E-2</v>
      </c>
      <c r="P5" s="35" cm="1">
        <f t="array" ref="P5">_xll.BDP($B5&amp;" Equity","bid")</f>
        <v>8</v>
      </c>
      <c r="Q5" s="35" cm="1">
        <f t="array" ref="Q5">_xll.BDP($B5&amp;" Equity","ask")</f>
        <v>8.1</v>
      </c>
      <c r="R5" s="39">
        <f t="shared" si="2"/>
        <v>1.2499999999999956E-2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-241500</v>
      </c>
      <c r="V5" s="122">
        <f>U5/'Master P&amp;L'!$AD$7*10000</f>
        <v>-0.95667795512453635</v>
      </c>
      <c r="W5" s="122">
        <f>(Y5*H5*T5/S5)/'Master P&amp;L'!$AD$7*10000</f>
        <v>-0.95667795512453635</v>
      </c>
      <c r="X5" s="338">
        <f t="shared" si="4"/>
        <v>0</v>
      </c>
      <c r="Y5" s="202">
        <f t="shared" si="5"/>
        <v>8.0500000000000007</v>
      </c>
      <c r="Z5" s="36">
        <f>_xll.BDP(D5&amp;" Equity","LAST_PRICE")</f>
        <v>204.53100000000001</v>
      </c>
      <c r="AA5" s="36" cm="1">
        <f t="array" ref="AA5">_xll.BDP(B5&amp;" Equity","OPT_STRIKE_PX")</f>
        <v>180</v>
      </c>
      <c r="AB5" s="39">
        <f t="shared" si="6"/>
        <v>-0.11993780893849837</v>
      </c>
      <c r="AC5" s="252" cm="1">
        <f t="array" ref="AC5">_xll.BDP($D5&amp;" Equity","volatility_10d")</f>
        <v>35.159065396273512</v>
      </c>
      <c r="AD5" s="36" cm="1">
        <f t="array" ref="AD5">_xll.BDP(B5&amp;" Equity","ivol_mid")</f>
        <v>38.450749999999999</v>
      </c>
      <c r="AE5" s="36">
        <f t="shared" si="7"/>
        <v>1.0936226423150421</v>
      </c>
      <c r="AF5" s="37" cm="1">
        <f t="array" ref="AF5">_xll.BDP(B5&amp;" Equity","DELTA_MID_RT")</f>
        <v>-0.24254418909549713</v>
      </c>
      <c r="AG5" s="18">
        <f>AL5/'Master P&amp;L'!$AE$7</f>
        <v>5.8954899331824457E-4</v>
      </c>
      <c r="AH5" s="18">
        <f>AM5/'Master P&amp;L'!$AE$7</f>
        <v>2.4306869421065408E-3</v>
      </c>
      <c r="AI5" s="351">
        <f>AO5/'Master P&amp;L'!$AD$7*10000</f>
        <v>6.2638496891766213E-3</v>
      </c>
      <c r="AJ5" s="277">
        <f t="shared" si="8"/>
        <v>-5.6248860282546102E-2</v>
      </c>
      <c r="AK5" s="37">
        <f>AP5/'Master P&amp;L'!$AD$7*10000</f>
        <v>-1.7826297300457244E-2</v>
      </c>
      <c r="AL5" s="15">
        <f t="shared" si="9"/>
        <v>1488234.1661967337</v>
      </c>
      <c r="AM5" s="15">
        <f t="shared" si="10"/>
        <v>6135930</v>
      </c>
      <c r="AN5" s="37" cm="1">
        <f t="array" ref="AN5">_xll.BDP($B5&amp;" Equity","theta_mid_rt")</f>
        <v>-5.2707381546497345E-2</v>
      </c>
      <c r="AO5" s="15">
        <f t="shared" si="11"/>
        <v>1581.2214463949203</v>
      </c>
      <c r="AP5" s="15">
        <f t="shared" si="12"/>
        <v>-4500.0000000000109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1.2893999999999999E-2</v>
      </c>
      <c r="AS5">
        <f t="shared" si="13"/>
        <v>-161818.13967514021</v>
      </c>
      <c r="AT5">
        <f t="shared" si="14"/>
        <v>-809090.69837570109</v>
      </c>
      <c r="AU5" t="s">
        <v>95</v>
      </c>
      <c r="AV5" s="206" cm="1">
        <f t="array" ref="AV5">_xll.BDP($D5&amp;" Equity","EST_PE_NXT_YR")*(AA5/Z5)</f>
        <v>16.433453534826047</v>
      </c>
      <c r="AX5" s="15"/>
      <c r="AY5" s="206">
        <v>7.6</v>
      </c>
      <c r="AZ5" s="282"/>
      <c r="BA5" s="15">
        <f t="shared" si="15"/>
        <v>7.6</v>
      </c>
      <c r="BB5" s="339">
        <f t="shared" si="16"/>
        <v>7.9</v>
      </c>
      <c r="BC5" s="339">
        <f t="shared" si="17"/>
        <v>-9000.0000000000218</v>
      </c>
      <c r="BD5" s="339">
        <f>BC5/'Master P&amp;L'!$AD$7*10000</f>
        <v>-3.5652594600914488E-2</v>
      </c>
    </row>
    <row r="6" spans="1:56" s="58" customFormat="1" ht="15.75" customHeight="1">
      <c r="A6" s="478"/>
      <c r="B6" s="58" t="s">
        <v>819</v>
      </c>
      <c r="C6" s="58" t="str" cm="1">
        <f t="array" ref="C6">_xll.BDP($B6&amp;" Equity","opt_put_call")</f>
        <v>Call</v>
      </c>
      <c r="D6" s="58" t="str" cm="1">
        <f t="array" ref="D6">_xll.BDP(B6&amp;" Equity","OPT_UNDL_TICKER")</f>
        <v>ASHR US</v>
      </c>
      <c r="E6" s="58" t="str" cm="1">
        <f t="array" ref="E6">_xll.BDP($B6&amp;" Equity","mifid_Maturity_date")</f>
        <v>20/02/2026</v>
      </c>
      <c r="F6" s="58" cm="1">
        <f t="array" ref="F6">_xll.BDP($B6&amp;" Equity","opt_days_expire")</f>
        <v>1</v>
      </c>
      <c r="G6" s="58" t="str" cm="1">
        <f t="array" ref="G6">_xll.BDP(B6&amp;" Equity","QUOTED_CURRENCY_REALTIME")</f>
        <v>USD</v>
      </c>
      <c r="H6" s="329">
        <v>2000</v>
      </c>
      <c r="I6" s="336">
        <v>0.28999999999999998</v>
      </c>
      <c r="J6" s="14">
        <f>VLOOKUP(B6,Precificação!$B:$O,14,FALSE)</f>
        <v>4.8130979466514106E-3</v>
      </c>
      <c r="K6" s="73">
        <f t="shared" si="18"/>
        <v>4.8130979466514106E-3</v>
      </c>
      <c r="L6" s="14">
        <f>+K6</f>
        <v>4.8130979466514106E-3</v>
      </c>
      <c r="M6" s="125">
        <f t="shared" si="0"/>
        <v>1.4233407599034201E-4</v>
      </c>
      <c r="N6" s="349"/>
      <c r="O6" s="125">
        <f t="shared" si="1"/>
        <v>0</v>
      </c>
      <c r="P6" s="14" t="str" cm="1">
        <f t="array" ref="P6">_xll.BDP($B6&amp;" Equity","bid")</f>
        <v>#N/A N/A</v>
      </c>
      <c r="Q6" s="14" cm="1">
        <f t="array" ref="Q6">_xll.BDP($B6&amp;" Equity","ask")</f>
        <v>0.05</v>
      </c>
      <c r="R6" s="348" t="e">
        <f t="shared" si="2"/>
        <v>#VALUE!</v>
      </c>
      <c r="S6" s="14" cm="1">
        <f t="array" ref="S6">_xll.BDP(G6&amp;" Curncy","PX_LAST")</f>
        <v>1</v>
      </c>
      <c r="T6" s="329" cm="1">
        <f t="array" ref="T6">_xll.BDP(B6&amp;" Equity","OPT_MULTIPLIER")</f>
        <v>100</v>
      </c>
      <c r="U6" s="329">
        <f t="shared" si="3"/>
        <v>962.61958933028211</v>
      </c>
      <c r="V6" s="479">
        <f>U6/'Master P&amp;L'!$AD$7*10000</f>
        <v>3.8133206636990278E-3</v>
      </c>
      <c r="W6" s="479">
        <f>(Y6*H6*T6/S6)/'Master P&amp;L'!$AD$7*10000</f>
        <v>3.8133206636990278E-3</v>
      </c>
      <c r="X6" s="480">
        <f t="shared" si="4"/>
        <v>0</v>
      </c>
      <c r="Y6" s="481">
        <f t="shared" si="5"/>
        <v>4.8130979466514106E-3</v>
      </c>
      <c r="Z6" s="482">
        <f>_xll.BDP(D6&amp;" Equity","LAST_PRICE")</f>
        <v>33.8155</v>
      </c>
      <c r="AA6" s="482" cm="1">
        <f t="array" ref="AA6">_xll.BDP(B6&amp;" Equity","OPT_STRIKE_PX")</f>
        <v>35</v>
      </c>
      <c r="AB6" s="348">
        <f t="shared" si="6"/>
        <v>3.5028315417485967E-2</v>
      </c>
      <c r="AC6" s="350" cm="1">
        <f t="array" ref="AC6">_xll.BDP($D6&amp;" Equity","volatility_10d")</f>
        <v>12.20974778688017</v>
      </c>
      <c r="AD6" s="482" cm="1">
        <f t="array" ref="AD6">_xll.BDP(B6&amp;" Equity","ivol_mid")</f>
        <v>42.581049999999998</v>
      </c>
      <c r="AE6" s="482">
        <f t="shared" si="7"/>
        <v>3.4874635203976059</v>
      </c>
      <c r="AF6" s="483"/>
      <c r="AG6" s="125"/>
      <c r="AH6" s="125"/>
      <c r="AI6" s="351">
        <f>AO6/'Master P&amp;L'!$AD$7*10000</f>
        <v>-3.6451816415209323E-2</v>
      </c>
      <c r="AJ6" s="277">
        <f t="shared" ref="AJ6:AJ7" si="19">(252*AI6)/$AI$1</f>
        <v>0.32733434394618272</v>
      </c>
      <c r="AK6" s="483">
        <f>AP6/'Master P&amp;L'!$AD$7*10000</f>
        <v>0</v>
      </c>
      <c r="AL6" s="329">
        <f t="shared" si="9"/>
        <v>0</v>
      </c>
      <c r="AM6" s="329">
        <f t="shared" si="10"/>
        <v>6763100</v>
      </c>
      <c r="AN6" s="483" cm="1">
        <f t="array" ref="AN6">_xll.BDP($B6&amp;" Equity","theta_mid_rt")</f>
        <v>-4.600876197218895E-2</v>
      </c>
      <c r="AO6" s="329">
        <f t="shared" si="11"/>
        <v>-9201.7523944377899</v>
      </c>
      <c r="AP6" s="329">
        <f t="shared" si="12"/>
        <v>0</v>
      </c>
      <c r="AQ6" s="14" t="str" cm="1">
        <f t="array" ref="AQ6">_xll.BDP($D6&amp;" Equity","EXPECTED_REPORT_DT")</f>
        <v>#N/A N/A</v>
      </c>
      <c r="AR6" s="112" cm="1">
        <f t="array" ref="AR6">_xll.BDP($B6&amp;" Equity","GAMMA_LAST")</f>
        <v>7.7254000000000003E-2</v>
      </c>
      <c r="AS6" s="58">
        <f t="shared" si="13"/>
        <v>176678.05012294702</v>
      </c>
      <c r="AT6" s="58">
        <f t="shared" si="14"/>
        <v>883390.25061473507</v>
      </c>
      <c r="AU6" s="58" t="s">
        <v>95</v>
      </c>
      <c r="AV6" s="265" t="e" cm="1">
        <f t="array" ref="AV6">_xll.BDP($D6&amp;" Equity","EST_PE_NXT_YR")*(AA6/Z6)</f>
        <v>#VALUE!</v>
      </c>
      <c r="AX6" s="329"/>
      <c r="AY6" s="265">
        <v>4.8130979466514106E-3</v>
      </c>
      <c r="AZ6" s="484"/>
      <c r="BA6" s="329">
        <f t="shared" si="15"/>
        <v>4.8130979466514106E-3</v>
      </c>
      <c r="BB6" s="485">
        <f t="shared" si="16"/>
        <v>4.8130979466514106E-3</v>
      </c>
      <c r="BC6" s="485">
        <f t="shared" si="17"/>
        <v>0</v>
      </c>
      <c r="BD6" s="485">
        <f>BC6/'Master P&amp;L'!$AD$7*10000</f>
        <v>0</v>
      </c>
    </row>
    <row r="7" spans="1:56" s="58" customFormat="1" ht="15.75" customHeight="1">
      <c r="A7" s="478"/>
      <c r="B7" s="58" t="s">
        <v>1043</v>
      </c>
      <c r="C7" s="58" t="str" cm="1">
        <f t="array" ref="C7">_xll.BDP($B7&amp;" Equity","opt_put_call")</f>
        <v>Call</v>
      </c>
      <c r="D7" s="58" t="str" cm="1">
        <f t="array" ref="D7">_xll.BDP(B7&amp;" Equity","OPT_UNDL_TICKER")</f>
        <v>ASHR US</v>
      </c>
      <c r="E7" s="58" t="str" cm="1">
        <f t="array" ref="E7">_xll.BDP($B7&amp;" Equity","mifid_Maturity_date")</f>
        <v>27/02/2026</v>
      </c>
      <c r="F7" s="58" cm="1">
        <f t="array" ref="F7">_xll.BDP($B7&amp;" Equity","opt_days_expire")</f>
        <v>8</v>
      </c>
      <c r="G7" s="58" t="str" cm="1">
        <f t="array" ref="G7">_xll.BDP(B7&amp;" Equity","QUOTED_CURRENCY_REALTIME")</f>
        <v>USD</v>
      </c>
      <c r="H7" s="329">
        <v>1000</v>
      </c>
      <c r="I7" s="336">
        <v>0.17</v>
      </c>
      <c r="J7" s="14">
        <f>VLOOKUP(B7,Precificação!$B:$O,14,FALSE)</f>
        <v>0.11621779838368697</v>
      </c>
      <c r="K7" s="73">
        <f t="shared" si="18"/>
        <v>0.11621779838368697</v>
      </c>
      <c r="L7" s="14">
        <f>+K7</f>
        <v>0.11621779838368697</v>
      </c>
      <c r="M7" s="125">
        <f t="shared" si="0"/>
        <v>3.4368203452170443E-3</v>
      </c>
      <c r="N7" s="349"/>
      <c r="O7" s="125">
        <f t="shared" si="1"/>
        <v>0</v>
      </c>
      <c r="P7" s="14" cm="1">
        <f t="array" ref="P7">_xll.BDP($B7&amp;" Equity","bid")</f>
        <v>0.06</v>
      </c>
      <c r="Q7" s="14" cm="1">
        <f t="array" ref="Q7">_xll.BDP($B7&amp;" Equity","ask")</f>
        <v>0.08</v>
      </c>
      <c r="R7" s="348">
        <f t="shared" si="2"/>
        <v>0.33333333333333348</v>
      </c>
      <c r="S7" s="14" cm="1">
        <f t="array" ref="S7">_xll.BDP(G7&amp;" Curncy","PX_LAST")</f>
        <v>1</v>
      </c>
      <c r="T7" s="329" cm="1">
        <f t="array" ref="T7">_xll.BDP(B7&amp;" Equity","OPT_MULTIPLIER")</f>
        <v>100</v>
      </c>
      <c r="U7" s="329">
        <f t="shared" si="3"/>
        <v>11621.779838368697</v>
      </c>
      <c r="V7" s="479">
        <f>U7/'Master P&amp;L'!$AD$7*10000</f>
        <v>4.6038511679826623E-2</v>
      </c>
      <c r="W7" s="479">
        <f>(Y7*H7*T7/S7)/'Master P&amp;L'!$AD$7*10000</f>
        <v>4.6038511679826623E-2</v>
      </c>
      <c r="X7" s="480">
        <f t="shared" si="4"/>
        <v>0</v>
      </c>
      <c r="Y7" s="481">
        <f t="shared" si="5"/>
        <v>0.11621779838368697</v>
      </c>
      <c r="Z7" s="482">
        <f>_xll.BDP(D7&amp;" Equity","LAST_PRICE")</f>
        <v>33.8155</v>
      </c>
      <c r="AA7" s="482" cm="1">
        <f t="array" ref="AA7">_xll.BDP(B7&amp;" Equity","OPT_STRIKE_PX")</f>
        <v>35</v>
      </c>
      <c r="AB7" s="348">
        <f t="shared" si="6"/>
        <v>3.5028315417485967E-2</v>
      </c>
      <c r="AC7" s="350" cm="1">
        <f t="array" ref="AC7">_xll.BDP($D7&amp;" Equity","volatility_10d")</f>
        <v>12.20974778688017</v>
      </c>
      <c r="AD7" s="482" cm="1">
        <f t="array" ref="AD7">_xll.BDP(B7&amp;" Equity","ivol_mid")</f>
        <v>19.416589999999999</v>
      </c>
      <c r="AE7" s="482">
        <f t="shared" si="7"/>
        <v>1.5902531599271732</v>
      </c>
      <c r="AF7" s="483"/>
      <c r="AG7" s="125"/>
      <c r="AH7" s="125"/>
      <c r="AI7" s="351">
        <f>AO7/'Master P&amp;L'!$AD$7*10000</f>
        <v>-5.017042168614606E-3</v>
      </c>
      <c r="AJ7" s="277">
        <f t="shared" si="19"/>
        <v>4.5052630247763889E-2</v>
      </c>
      <c r="AK7" s="483">
        <f>AP7/'Master P&amp;L'!$AD$7*10000</f>
        <v>0</v>
      </c>
      <c r="AL7" s="329">
        <f t="shared" si="9"/>
        <v>0</v>
      </c>
      <c r="AM7" s="329">
        <f t="shared" si="10"/>
        <v>3381550</v>
      </c>
      <c r="AN7" s="483" cm="1">
        <f t="array" ref="AN7">_xll.BDP($B7&amp;" Equity","theta_mid_rt")</f>
        <v>-1.2664822861552238E-2</v>
      </c>
      <c r="AO7" s="329">
        <f t="shared" si="11"/>
        <v>-1266.4822861552238</v>
      </c>
      <c r="AP7" s="329">
        <f t="shared" si="12"/>
        <v>0</v>
      </c>
      <c r="AQ7" s="14" t="str" cm="1">
        <f t="array" ref="AQ7">_xll.BDP($D7&amp;" Equity","EXPECTED_REPORT_DT")</f>
        <v>#N/A N/A</v>
      </c>
      <c r="AR7" s="112" cm="1">
        <f t="array" ref="AR7">_xll.BDP($B7&amp;" Equity","GAMMA_LAST")</f>
        <v>7.4581999999999996E-2</v>
      </c>
      <c r="AS7" s="58">
        <f t="shared" si="13"/>
        <v>85283.6250179255</v>
      </c>
      <c r="AT7" s="58">
        <f t="shared" si="14"/>
        <v>426418.1250896274</v>
      </c>
      <c r="AU7" s="58" t="s">
        <v>95</v>
      </c>
      <c r="AV7" s="265" t="e" cm="1">
        <f t="array" ref="AV7">_xll.BDP($D7&amp;" Equity","EST_PE_NXT_YR")*(AA7/Z7)</f>
        <v>#VALUE!</v>
      </c>
      <c r="AX7" s="329"/>
      <c r="AY7" s="265">
        <v>0.11621779838368697</v>
      </c>
      <c r="AZ7" s="484"/>
      <c r="BA7" s="329">
        <f t="shared" si="15"/>
        <v>0.11621779838368697</v>
      </c>
      <c r="BB7" s="485">
        <f t="shared" si="16"/>
        <v>0.11621779838368697</v>
      </c>
      <c r="BC7" s="485">
        <f t="shared" si="17"/>
        <v>0</v>
      </c>
      <c r="BD7" s="485">
        <f>BC7/'Master P&amp;L'!$AD$7*10000</f>
        <v>0</v>
      </c>
    </row>
    <row r="8" spans="1:56" ht="15.75" customHeight="1">
      <c r="A8" s="263"/>
      <c r="B8" s="72" t="s">
        <v>765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AVGO US</v>
      </c>
      <c r="E8" s="72" t="str" cm="1">
        <f t="array" ref="E8">_xll.BDP($B8&amp;" Equity","mifid_Maturity_date")</f>
        <v>18/06/2026</v>
      </c>
      <c r="F8" s="72" cm="1">
        <f t="array" ref="F8">_xll.BDP($B8&amp;" Equity","opt_days_expire")</f>
        <v>119</v>
      </c>
      <c r="G8" s="72" t="str" cm="1">
        <f t="array" ref="G8">_xll.BDP(B8&amp;" Equity","QUOTED_CURRENCY_REALTIME")</f>
        <v>USD</v>
      </c>
      <c r="H8" s="41">
        <v>120</v>
      </c>
      <c r="I8" s="334">
        <v>37.5</v>
      </c>
      <c r="J8" s="14">
        <f>VLOOKUP(B8,Precificação!$B:$O,14,FALSE)</f>
        <v>34.774999999999999</v>
      </c>
      <c r="K8" s="73">
        <f t="shared" si="18"/>
        <v>34.774999999999999</v>
      </c>
      <c r="L8" s="73" cm="1">
        <f t="array" ref="L8">_xll.BDP($B8&amp;" Equity","mid")</f>
        <v>35.33</v>
      </c>
      <c r="M8" s="74">
        <f t="shared" si="0"/>
        <v>0.10591638811026337</v>
      </c>
      <c r="N8" s="279"/>
      <c r="O8" s="74">
        <f t="shared" si="1"/>
        <v>1.5959741193386057E-2</v>
      </c>
      <c r="P8" s="73" cm="1">
        <f t="array" ref="P8">_xll.BDP($B8&amp;" Equity","bid")</f>
        <v>35.1</v>
      </c>
      <c r="Q8" s="73" cm="1">
        <f t="array" ref="Q8">_xll.BDP($B8&amp;" Equity","ask")</f>
        <v>35.549999999999997</v>
      </c>
      <c r="R8" s="75">
        <f t="shared" si="2"/>
        <v>1.2820512820512775E-2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423959.99999999994</v>
      </c>
      <c r="V8" s="111">
        <f>U8/'Master P&amp;L'!$AD$7*10000</f>
        <v>1.6794748896670739</v>
      </c>
      <c r="W8" s="111">
        <f>(Y8*H8*T8/S8)/'Master P&amp;L'!$AD$7*10000</f>
        <v>1.6794748896670739</v>
      </c>
      <c r="X8" s="116">
        <f t="shared" si="4"/>
        <v>0</v>
      </c>
      <c r="Y8" s="201">
        <f t="shared" si="5"/>
        <v>35.33</v>
      </c>
      <c r="Z8" s="76">
        <f>_xll.BDP(D8&amp;" Equity","LAST_PRICE")</f>
        <v>333.565</v>
      </c>
      <c r="AA8" s="76" cm="1">
        <f t="array" ref="AA8">_xll.BDP(B8&amp;" Equity","OPT_STRIKE_PX")</f>
        <v>350</v>
      </c>
      <c r="AB8" s="75">
        <f t="shared" si="6"/>
        <v>4.9270756824007389E-2</v>
      </c>
      <c r="AC8" s="251" cm="1">
        <f t="array" ref="AC8">_xll.BDP($D8&amp;" Equity","volatility_10d")</f>
        <v>49.433860585628459</v>
      </c>
      <c r="AD8" s="76" cm="1">
        <f t="array" ref="AD8">_xll.BDP(B8&amp;" Equity","ivol_mid")</f>
        <v>53.240049999999997</v>
      </c>
      <c r="AE8" s="76">
        <f t="shared" si="7"/>
        <v>1.0769955930870203</v>
      </c>
      <c r="AF8" s="77" cm="1">
        <f t="array" ref="AF8">_xll.BDP(B8&amp;" Equity","DELTA_MID_RT")</f>
        <v>0.51342421770095825</v>
      </c>
      <c r="AG8" s="74">
        <f>AL8/'Master P&amp;L'!$AE$7</f>
        <v>8.1411677339114706E-4</v>
      </c>
      <c r="AH8" s="74">
        <f>AM8/'Master P&amp;L'!$AE$7</f>
        <v>1.5856610290738682E-3</v>
      </c>
      <c r="AI8" s="352">
        <f>AO8/'Master P&amp;L'!$AD$7*10000</f>
        <v>-7.9041870504162493E-3</v>
      </c>
      <c r="AJ8" s="277">
        <f t="shared" si="8"/>
        <v>7.0978956250212374E-2</v>
      </c>
      <c r="AK8" s="77">
        <f>AP8/'Master P&amp;L'!$AD$7*10000</f>
        <v>2.6382920004676638E-2</v>
      </c>
      <c r="AL8" s="41">
        <f t="shared" si="9"/>
        <v>2055124.1901290414</v>
      </c>
      <c r="AM8" s="41">
        <f t="shared" si="10"/>
        <v>4002780.0000000005</v>
      </c>
      <c r="AN8" s="77" cm="1">
        <f t="array" ref="AN8">_xll.BDP($B8&amp;" Equity","theta_mid_rt")</f>
        <v>-0.16627514362335205</v>
      </c>
      <c r="AO8" s="41">
        <f t="shared" si="11"/>
        <v>-1995.3017234802246</v>
      </c>
      <c r="AP8" s="41">
        <f t="shared" si="12"/>
        <v>6659.9999999999964</v>
      </c>
      <c r="AQ8" s="73" t="str" cm="1">
        <f t="array" ref="AQ8">_xll.BDP($D8&amp;" Equity","EXPECTED_REPORT_DT")</f>
        <v>04/03/2026</v>
      </c>
      <c r="AR8" s="189" cm="1">
        <f t="array" ref="AR8">_xll.BDP($B8&amp;" Equity","GAMMA_LAST")</f>
        <v>1.3062000000000001E-2</v>
      </c>
      <c r="AS8" s="72">
        <f t="shared" si="13"/>
        <v>174402.16652363402</v>
      </c>
      <c r="AT8" s="72">
        <f t="shared" si="14"/>
        <v>872010.83261817007</v>
      </c>
      <c r="AU8" s="72" t="s">
        <v>95</v>
      </c>
      <c r="AV8" s="250" cm="1">
        <f t="array" ref="AV8">_xll.BDP($D8&amp;" Equity","EST_PE_NXT_YR")*(AA8/Z8)</f>
        <v>24.643281397811453</v>
      </c>
      <c r="AW8" s="72"/>
      <c r="AX8" s="41"/>
      <c r="AY8" s="250">
        <v>36.799999999999997</v>
      </c>
      <c r="AZ8" s="281"/>
      <c r="BA8" s="41">
        <f t="shared" si="15"/>
        <v>36.799999999999997</v>
      </c>
      <c r="BB8" s="273">
        <f t="shared" si="16"/>
        <v>34.774999999999999</v>
      </c>
      <c r="BC8" s="273">
        <f t="shared" si="17"/>
        <v>-24299.999999999982</v>
      </c>
      <c r="BD8" s="273">
        <f>BC8/'Master P&amp;L'!$AD$7*10000</f>
        <v>-9.6262005422468808E-2</v>
      </c>
    </row>
    <row r="9" spans="1:56" s="496" customFormat="1" ht="15.75" customHeight="1">
      <c r="A9" s="499" t="s">
        <v>1096</v>
      </c>
      <c r="B9" t="s">
        <v>1095</v>
      </c>
      <c r="C9" s="496" t="str" cm="1">
        <f t="array" ref="C9">_xll.BDP($B9&amp;" Equity","opt_put_call")</f>
        <v>Call</v>
      </c>
      <c r="D9" s="496" t="str" cm="1">
        <f t="array" ref="D9">_xll.BDP(B9&amp;" Equity","OPT_UNDL_TICKER")</f>
        <v>AVGO US</v>
      </c>
      <c r="E9" s="496" t="str" cm="1">
        <f t="array" ref="E9">_xll.BDP($B9&amp;" Equity","mifid_Maturity_date")</f>
        <v>27/02/2026</v>
      </c>
      <c r="F9" s="496" cm="1">
        <f t="array" ref="F9">_xll.BDP($B9&amp;" Equity","opt_days_expire")</f>
        <v>8</v>
      </c>
      <c r="G9" s="496" t="str" cm="1">
        <f t="array" ref="G9">_xll.BDP(B9&amp;" Equity","QUOTED_CURRENCY_REALTIME")</f>
        <v>USD</v>
      </c>
      <c r="H9" s="275">
        <v>-120</v>
      </c>
      <c r="I9" s="500">
        <v>4.8099999999999996</v>
      </c>
      <c r="J9" s="159"/>
      <c r="K9" s="159">
        <v>4.8099999999999996</v>
      </c>
      <c r="L9" s="159" cm="1">
        <f t="array" ref="L9">_xll.BDP($B9&amp;" Equity","mid")</f>
        <v>4.25</v>
      </c>
      <c r="M9" s="497">
        <f t="shared" ref="M9" si="20">L9/Z9</f>
        <v>1.2741144904291518E-2</v>
      </c>
      <c r="N9" s="501"/>
      <c r="O9" s="497">
        <f t="shared" ref="O9" si="21">L9/K9-1</f>
        <v>-0.11642411642411632</v>
      </c>
      <c r="P9" s="159" cm="1">
        <f t="array" ref="P9">_xll.BDP($B9&amp;" Equity","bid")</f>
        <v>4.05</v>
      </c>
      <c r="Q9" s="159" cm="1">
        <f t="array" ref="Q9">_xll.BDP($B9&amp;" Equity","ask")</f>
        <v>4.45</v>
      </c>
      <c r="R9" s="495">
        <f t="shared" ref="R9" si="22">(Q9/P9-1)</f>
        <v>9.8765432098765427E-2</v>
      </c>
      <c r="S9" s="159" cm="1">
        <f t="array" ref="S9">_xll.BDP(G9&amp;" Curncy","PX_LAST")</f>
        <v>1</v>
      </c>
      <c r="T9" s="275" cm="1">
        <f t="array" ref="T9">_xll.BDP(B9&amp;" Equity","OPT_MULTIPLIER")</f>
        <v>100</v>
      </c>
      <c r="U9" s="275">
        <f t="shared" ref="U9" si="23">(L9/S9)*H9*T9</f>
        <v>-51000</v>
      </c>
      <c r="V9" s="502">
        <f>U9/'Master P&amp;L'!$AD$7*10000</f>
        <v>-0.2020313694051816</v>
      </c>
      <c r="W9" s="502">
        <f>(Y9*H9*T9/S9)/'Master P&amp;L'!$AD$7*10000</f>
        <v>-0.2020313694051816</v>
      </c>
      <c r="X9" s="503">
        <f t="shared" ref="X9" si="24">IF(C9="Put",IF(Z9&lt;AA9,AA9-Z9,0),IF(Z9&gt;AA9,Z9-AA9,0))</f>
        <v>0</v>
      </c>
      <c r="Y9" s="504">
        <f t="shared" ref="Y9" si="25">L9-X9</f>
        <v>4.25</v>
      </c>
      <c r="Z9" s="505">
        <f>_xll.BDP(D9&amp;" Equity","LAST_PRICE")</f>
        <v>333.565</v>
      </c>
      <c r="AA9" s="505" cm="1">
        <f t="array" ref="AA9">_xll.BDP(B9&amp;" Equity","OPT_STRIKE_PX")</f>
        <v>350</v>
      </c>
      <c r="AB9" s="495">
        <f t="shared" ref="AB9" si="26">AA9/Z9-1</f>
        <v>4.9270756824007389E-2</v>
      </c>
      <c r="AC9" s="506" cm="1">
        <f t="array" ref="AC9">_xll.BDP($D9&amp;" Equity","volatility_10d")</f>
        <v>49.433860585628459</v>
      </c>
      <c r="AD9" s="505" cm="1">
        <f t="array" ref="AD9">_xll.BDP(B9&amp;" Equity","ivol_mid")</f>
        <v>48.834240000000001</v>
      </c>
      <c r="AE9" s="505">
        <f t="shared" ref="AE9" si="27">AD9/AC9</f>
        <v>0.98787024564691228</v>
      </c>
      <c r="AF9" s="507" cm="1">
        <f t="array" ref="AF9">_xll.BDP(B9&amp;" Equity","DELTA_MID_RT")</f>
        <v>0.28000777959823608</v>
      </c>
      <c r="AG9" s="497">
        <f>AL9/'Master P&amp;L'!$AE$7</f>
        <v>-4.4399742394642789E-4</v>
      </c>
      <c r="AH9" s="497">
        <f>AM9/'Master P&amp;L'!$AE$7</f>
        <v>-1.5856610290738682E-3</v>
      </c>
      <c r="AI9" s="508">
        <f>AO9/'Master P&amp;L'!$AD$7*10000</f>
        <v>2.3642857758784445E-2</v>
      </c>
      <c r="AJ9" s="501">
        <f t="shared" ref="AJ9" si="28">(252*AI9)/$AI$1</f>
        <v>-0.21231093796070794</v>
      </c>
      <c r="AK9" s="507">
        <f>AP9/'Master P&amp;L'!$AD$7*10000</f>
        <v>2.6620603968682731E-2</v>
      </c>
      <c r="AL9" s="275">
        <f t="shared" ref="AL9" si="29">Z9*AF9*H9*T9/S9</f>
        <v>-1120809.5400202274</v>
      </c>
      <c r="AM9" s="275">
        <f t="shared" ref="AM9" si="30">IF(C9="Put",-Z9*H9*T9/S9,Z9*H9*T9/S9)</f>
        <v>-4002780.0000000005</v>
      </c>
      <c r="AN9" s="507" cm="1">
        <f t="array" ref="AN9">_xll.BDP($B9&amp;" Equity","theta_mid_rt")</f>
        <v>-0.49735912680625916</v>
      </c>
      <c r="AO9" s="275">
        <f t="shared" ref="AO9" si="31">AN9*H9*T9/S9</f>
        <v>5968.3095216751099</v>
      </c>
      <c r="AP9" s="275">
        <f t="shared" ref="AP9" si="32">(L9-K9)*T9/S9*H9</f>
        <v>6719.9999999999945</v>
      </c>
      <c r="AQ9" s="159" t="str" cm="1">
        <f t="array" ref="AQ9">_xll.BDP($D9&amp;" Equity","EXPECTED_REPORT_DT")</f>
        <v>04/03/2026</v>
      </c>
      <c r="AR9" s="509" cm="1">
        <f t="array" ref="AR9">_xll.BDP($B9&amp;" Equity","GAMMA_LAST")</f>
        <v>4.4821E-2</v>
      </c>
      <c r="AS9" s="496">
        <f t="shared" si="13"/>
        <v>-598444.30452884699</v>
      </c>
      <c r="AT9" s="496">
        <f t="shared" si="14"/>
        <v>-2992221.5226442358</v>
      </c>
      <c r="AU9" s="496" t="s">
        <v>95</v>
      </c>
      <c r="AV9" s="498" cm="1">
        <f t="array" ref="AV9">_xll.BDP($D9&amp;" Equity","EST_PE_NXT_YR")*(AA9/Z9)</f>
        <v>24.643281397811453</v>
      </c>
      <c r="AX9" s="275"/>
      <c r="AY9" s="498">
        <v>5.35</v>
      </c>
      <c r="AZ9" s="510"/>
      <c r="BA9" s="275">
        <f t="shared" ref="BA9" si="33">+AY9</f>
        <v>5.35</v>
      </c>
      <c r="BB9" s="511">
        <f t="shared" ref="BB9" si="34">+J9</f>
        <v>0</v>
      </c>
      <c r="BC9" s="511">
        <f t="shared" ref="BC9" si="35">(BB9-BA9)*H9*100</f>
        <v>64200</v>
      </c>
      <c r="BD9" s="511">
        <f>BC9/'Master P&amp;L'!$AD$7*10000</f>
        <v>0.2543218414865227</v>
      </c>
    </row>
    <row r="10" spans="1:56" ht="15.75" customHeight="1">
      <c r="A10" s="283"/>
      <c r="B10" t="s">
        <v>1045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CSCO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57</v>
      </c>
      <c r="G10" t="s">
        <v>137</v>
      </c>
      <c r="H10" s="15">
        <v>1000</v>
      </c>
      <c r="I10" s="335">
        <v>1.52</v>
      </c>
      <c r="J10" s="14">
        <f>VLOOKUP(B10,Precificação!$B:$O,14,FALSE)</f>
        <v>0.1</v>
      </c>
      <c r="K10" s="73">
        <f t="shared" si="18"/>
        <v>0.1</v>
      </c>
      <c r="L10" s="35" cm="1">
        <f t="array" ref="L10">_xll.BDP($B10&amp;" Equity","mid")</f>
        <v>0.12</v>
      </c>
      <c r="M10" s="18">
        <f t="shared" si="0"/>
        <v>1.5185068016450489E-3</v>
      </c>
      <c r="N10" s="277"/>
      <c r="O10" s="18">
        <f t="shared" si="1"/>
        <v>0.19999999999999996</v>
      </c>
      <c r="P10" s="35" cm="1">
        <f t="array" ref="P10">_xll.BDP($B10&amp;" Equity","bid")</f>
        <v>0.1</v>
      </c>
      <c r="Q10" s="35" cm="1">
        <f t="array" ref="Q10">_xll.BDP($B10&amp;" Equity","ask")</f>
        <v>0.14000000000000001</v>
      </c>
      <c r="R10" s="39">
        <f t="shared" si="2"/>
        <v>0.40000000000000013</v>
      </c>
      <c r="S10" s="35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3"/>
        <v>12000</v>
      </c>
      <c r="V10" s="122">
        <f>U10/'Master P&amp;L'!$AD$7*10000</f>
        <v>4.7536792801219196E-2</v>
      </c>
      <c r="W10" s="122">
        <f>(Y10*H10*T10/S10)/'Master P&amp;L'!$AD$7*10000</f>
        <v>4.7536792801219196E-2</v>
      </c>
      <c r="X10" s="338">
        <f t="shared" si="4"/>
        <v>0</v>
      </c>
      <c r="Y10" s="202">
        <f t="shared" si="5"/>
        <v>0.12</v>
      </c>
      <c r="Z10" s="36">
        <f>_xll.BDP(D10&amp;" Equity","LAST_PRICE")</f>
        <v>79.025000000000006</v>
      </c>
      <c r="AA10" s="36" cm="1">
        <f t="array" ref="AA10">_xll.BDP(B10&amp;" Equity","OPT_STRIKE_PX")</f>
        <v>95</v>
      </c>
      <c r="AB10" s="39">
        <f t="shared" si="6"/>
        <v>0.20215121796899704</v>
      </c>
      <c r="AC10" s="252" cm="1">
        <f t="array" ref="AC10">_xll.BDP($D10&amp;" Equity","volatility_10d")</f>
        <v>79.80346626043638</v>
      </c>
      <c r="AD10" s="36" cm="1">
        <f t="array" ref="AD10">_xll.BDP(B10&amp;" Equity","ivol_mid")</f>
        <v>25.138290000000001</v>
      </c>
      <c r="AE10" s="36">
        <f t="shared" si="7"/>
        <v>0.31500248269870751</v>
      </c>
      <c r="AF10" s="37" cm="1">
        <f t="array" ref="AF10">_xll.BDP(B10&amp;" Equity","DELTA_MID_RT")</f>
        <v>3.8968250155448914E-2</v>
      </c>
      <c r="AG10" s="18">
        <f>AL10/'Master P&amp;L'!$AE$7</f>
        <v>1.2198994640385267E-4</v>
      </c>
      <c r="AH10" s="18">
        <f>AM10/'Master P&amp;L'!$AE$7</f>
        <v>3.1304958759302893E-3</v>
      </c>
      <c r="AI10" s="351">
        <f>AO10/'Master P&amp;L'!$AD$7*10000</f>
        <v>-2.2494192411632802E-3</v>
      </c>
      <c r="AJ10" s="277">
        <f t="shared" si="8"/>
        <v>2.0199601665361184E-2</v>
      </c>
      <c r="AK10" s="37">
        <f>AP10/'Master P&amp;L'!$AD$7*10000</f>
        <v>7.9227988002031954E-3</v>
      </c>
      <c r="AL10" s="15">
        <f t="shared" si="9"/>
        <v>307946.59685343504</v>
      </c>
      <c r="AM10" s="15">
        <f t="shared" si="10"/>
        <v>7902500</v>
      </c>
      <c r="AN10" s="37" cm="1">
        <f t="array" ref="AN10">_xll.BDP($B10&amp;" Equity","theta_mid_rt")</f>
        <v>-5.6783449836075306E-3</v>
      </c>
      <c r="AO10" s="15">
        <f t="shared" si="11"/>
        <v>-567.83449836075306</v>
      </c>
      <c r="AP10" s="15">
        <f t="shared" si="12"/>
        <v>1999.9999999999991</v>
      </c>
      <c r="AQ10" s="35" t="str" cm="1">
        <f t="array" ref="AQ10">_xll.BDP($D10&amp;" Equity","EXPECTED_REPORT_DT")</f>
        <v>14/05/2026</v>
      </c>
      <c r="AR10" s="65" cm="1">
        <f t="array" ref="AR10">_xll.BDP($B10&amp;" Equity","GAMMA_LAST")</f>
        <v>8.1040000000000001E-3</v>
      </c>
      <c r="AS10">
        <f t="shared" si="13"/>
        <v>50609.079865000007</v>
      </c>
      <c r="AT10">
        <f t="shared" si="14"/>
        <v>253045.39932500006</v>
      </c>
      <c r="AU10" t="s">
        <v>95</v>
      </c>
      <c r="AV10" s="206" cm="1">
        <f t="array" ref="AV10">_xll.BDP($D10&amp;" Equity","EST_PE_NXT_YR")*(AA10/Z10)</f>
        <v>21.028992955745604</v>
      </c>
      <c r="AX10" s="15"/>
      <c r="AY10" s="206">
        <v>0.12</v>
      </c>
      <c r="AZ10" s="282"/>
      <c r="BA10" s="15">
        <f t="shared" si="15"/>
        <v>0.12</v>
      </c>
      <c r="BB10" s="339">
        <f t="shared" si="16"/>
        <v>0.1</v>
      </c>
      <c r="BC10" s="339">
        <f t="shared" si="17"/>
        <v>-1999.9999999999989</v>
      </c>
      <c r="BD10" s="339">
        <f>BC10/'Master P&amp;L'!$AD$7*10000</f>
        <v>-7.9227988002031954E-3</v>
      </c>
    </row>
    <row r="11" spans="1:56" ht="15.75" customHeight="1">
      <c r="A11" s="263"/>
      <c r="B11" s="72" t="s">
        <v>1044</v>
      </c>
      <c r="C11" s="72" t="str" cm="1">
        <f t="array" ref="C11">_xll.BDP($B11&amp;" Equity","opt_put_call")</f>
        <v>Call</v>
      </c>
      <c r="D11" s="72" t="str" cm="1">
        <f t="array" ref="D11">_xll.BDP(B11&amp;" Equity","OPT_UNDL_TICKER")</f>
        <v>CSCO US</v>
      </c>
      <c r="E11" s="72" t="str" cm="1">
        <f t="array" ref="E11">_xll.BDP($B11&amp;" Equity","mifid_Maturity_date")</f>
        <v>17/04/2026</v>
      </c>
      <c r="F11" s="72" cm="1">
        <f t="array" ref="F11">_xll.BDP($B11&amp;" Equity","opt_days_expire")</f>
        <v>57</v>
      </c>
      <c r="G11" s="72" t="s">
        <v>137</v>
      </c>
      <c r="H11" s="41">
        <v>-1000</v>
      </c>
      <c r="I11" s="334">
        <v>0.69</v>
      </c>
      <c r="J11" s="14">
        <f>VLOOKUP(B11,Precificação!$B:$O,14,FALSE)</f>
        <v>4.5666564037905373E-2</v>
      </c>
      <c r="K11" s="73">
        <f t="shared" si="18"/>
        <v>4.5666564037905373E-2</v>
      </c>
      <c r="L11" s="73" cm="1">
        <f t="array" ref="L11">_xll.BDP($B11&amp;" Equity","mid")</f>
        <v>0.08</v>
      </c>
      <c r="M11" s="74">
        <f t="shared" si="0"/>
        <v>1.012337867763366E-3</v>
      </c>
      <c r="N11" s="279"/>
      <c r="O11" s="74">
        <f t="shared" si="1"/>
        <v>0.75182875448208186</v>
      </c>
      <c r="P11" s="73" cm="1">
        <f t="array" ref="P11">_xll.BDP($B11&amp;" Equity","bid")</f>
        <v>0.06</v>
      </c>
      <c r="Q11" s="73" cm="1">
        <f t="array" ref="Q11">_xll.BDP($B11&amp;" Equity","ask")</f>
        <v>0.1</v>
      </c>
      <c r="R11" s="75">
        <f t="shared" si="2"/>
        <v>0.66666666666666674</v>
      </c>
      <c r="S11" s="35" cm="1">
        <f t="array" ref="S11">_xll.BDP(G11&amp;" Curncy","PX_LAST")</f>
        <v>1</v>
      </c>
      <c r="T11" s="41" cm="1">
        <f t="array" ref="T11">_xll.BDP(B11&amp;" Equity","OPT_MULTIPLIER")</f>
        <v>100</v>
      </c>
      <c r="U11" s="41">
        <f t="shared" si="3"/>
        <v>-8000</v>
      </c>
      <c r="V11" s="111">
        <f>U11/'Master P&amp;L'!$AD$7*10000</f>
        <v>-3.1691195200812795E-2</v>
      </c>
      <c r="W11" s="111">
        <f>(Y11*H11*T11/S11)/'Master P&amp;L'!$AD$7*10000</f>
        <v>-3.1691195200812795E-2</v>
      </c>
      <c r="X11" s="116">
        <f t="shared" si="4"/>
        <v>0</v>
      </c>
      <c r="Y11" s="201">
        <f t="shared" si="5"/>
        <v>0.08</v>
      </c>
      <c r="Z11" s="76">
        <f>_xll.BDP(D11&amp;" Equity","LAST_PRICE")</f>
        <v>79.025000000000006</v>
      </c>
      <c r="AA11" s="76" cm="1">
        <f t="array" ref="AA11">_xll.BDP(B11&amp;" Equity","OPT_STRIKE_PX")</f>
        <v>100</v>
      </c>
      <c r="AB11" s="75">
        <f t="shared" si="6"/>
        <v>0.26542233470420751</v>
      </c>
      <c r="AC11" s="251" cm="1">
        <f t="array" ref="AC11">_xll.BDP($D11&amp;" Equity","volatility_10d")</f>
        <v>79.80346626043638</v>
      </c>
      <c r="AD11" s="76" cm="1">
        <f t="array" ref="AD11">_xll.BDP(B11&amp;" Equity","ivol_mid")</f>
        <v>28.79091</v>
      </c>
      <c r="AE11" s="76">
        <f t="shared" si="7"/>
        <v>0.36077267503696731</v>
      </c>
      <c r="AF11" s="77" cm="1">
        <f t="array" ref="AF11">_xll.BDP(B11&amp;" Equity","DELTA_MID_RT")</f>
        <v>2.430887334048748E-2</v>
      </c>
      <c r="AG11" s="74">
        <f>AL11/'Master P&amp;L'!$AE$7</f>
        <v>-7.6098827740907814E-5</v>
      </c>
      <c r="AH11" s="74">
        <f>AM11/'Master P&amp;L'!$AE$7</f>
        <v>-3.1304958759302893E-3</v>
      </c>
      <c r="AI11" s="352">
        <f>AO11/'Master P&amp;L'!$AD$7*10000</f>
        <v>1.7311849333475201E-3</v>
      </c>
      <c r="AJ11" s="277">
        <f t="shared" si="8"/>
        <v>-1.5545899769493625E-2</v>
      </c>
      <c r="AK11" s="77">
        <f>AP11/'Master P&amp;L'!$AD$7*10000</f>
        <v>-1.3600845262366835E-2</v>
      </c>
      <c r="AL11" s="41">
        <f t="shared" si="9"/>
        <v>-192100.87157320234</v>
      </c>
      <c r="AM11" s="41">
        <f t="shared" si="10"/>
        <v>-7902500</v>
      </c>
      <c r="AN11" s="77" cm="1">
        <f t="array" ref="AN11">_xll.BDP($B11&amp;" Equity","theta_mid_rt")</f>
        <v>-4.3701347894966602E-3</v>
      </c>
      <c r="AO11" s="41">
        <f t="shared" si="11"/>
        <v>437.01347894966602</v>
      </c>
      <c r="AP11" s="41">
        <f t="shared" si="12"/>
        <v>-3433.3435962094632</v>
      </c>
      <c r="AQ11" s="73" t="str" cm="1">
        <f t="array" ref="AQ11">_xll.BDP($D11&amp;" Equity","EXPECTED_REPORT_DT")</f>
        <v>14/05/2026</v>
      </c>
      <c r="AR11" s="189" cm="1">
        <f t="array" ref="AR11">_xll.BDP($B11&amp;" Equity","GAMMA_LAST")</f>
        <v>4.9170000000000004E-3</v>
      </c>
      <c r="AS11" s="72">
        <f t="shared" si="13"/>
        <v>-30706.42222312501</v>
      </c>
      <c r="AT11" s="72">
        <f t="shared" si="14"/>
        <v>-153532.11111562501</v>
      </c>
      <c r="AU11" s="72" t="s">
        <v>95</v>
      </c>
      <c r="AV11" s="250" cm="1">
        <f t="array" ref="AV11">_xll.BDP($D11&amp;" Equity","EST_PE_NXT_YR")*(AA11/Z11)</f>
        <v>22.135782058679585</v>
      </c>
      <c r="AW11" s="72"/>
      <c r="AX11" s="41"/>
      <c r="AY11" s="250">
        <v>0.09</v>
      </c>
      <c r="AZ11" s="281"/>
      <c r="BA11" s="41">
        <f t="shared" si="15"/>
        <v>0.09</v>
      </c>
      <c r="BB11" s="273">
        <f t="shared" si="16"/>
        <v>4.5666564037905373E-2</v>
      </c>
      <c r="BC11" s="273">
        <f t="shared" si="17"/>
        <v>4433.3435962094627</v>
      </c>
      <c r="BD11" s="273">
        <f>BC11/'Master P&amp;L'!$AD$7*10000</f>
        <v>1.7562244662468435E-2</v>
      </c>
    </row>
    <row r="12" spans="1:56" ht="15.75" customHeight="1">
      <c r="A12" s="283"/>
      <c r="B12" t="s">
        <v>1065</v>
      </c>
      <c r="C12" t="str" cm="1">
        <f t="array" ref="C12">_xll.BDP($B12&amp;" Equity","opt_put_call")</f>
        <v>Call</v>
      </c>
      <c r="D12" t="str" cm="1">
        <f t="array" ref="D12">_xll.BDP(B12&amp;" Equity","OPT_UNDL_TICKER")</f>
        <v>CSCO US</v>
      </c>
      <c r="E12" t="str" cm="1">
        <f t="array" ref="E12">_xll.BDP($B12&amp;" Equity","mifid_Maturity_date")</f>
        <v>17/07/2026</v>
      </c>
      <c r="F12" cm="1">
        <f t="array" ref="F12">_xll.BDP($B12&amp;" Equity","opt_days_expire")</f>
        <v>148</v>
      </c>
      <c r="G12" t="str" cm="1">
        <f t="array" ref="G12">_xll.BDP(B12&amp;" Equity","QUOTED_CURRENCY_REALTIME")</f>
        <v>USD</v>
      </c>
      <c r="H12" s="15">
        <v>-500</v>
      </c>
      <c r="I12" s="335">
        <v>1.89</v>
      </c>
      <c r="J12" s="14">
        <f>VLOOKUP(B12,Precificação!$B:$O,14,FALSE)</f>
        <v>0.44193561222450994</v>
      </c>
      <c r="K12" s="73">
        <f t="shared" si="18"/>
        <v>0.44193561222450994</v>
      </c>
      <c r="L12" s="35" cm="1">
        <f t="array" ref="L12">_xll.BDP($B12&amp;" Equity","mid")</f>
        <v>0.44</v>
      </c>
      <c r="M12" s="18">
        <f t="shared" si="0"/>
        <v>5.5678582726985124E-3</v>
      </c>
      <c r="N12" s="277"/>
      <c r="O12" s="18">
        <f t="shared" si="1"/>
        <v>-4.3798512067558804E-3</v>
      </c>
      <c r="P12" s="35" cm="1">
        <f t="array" ref="P12">_xll.BDP($B12&amp;" Equity","bid")</f>
        <v>0.28000000000000003</v>
      </c>
      <c r="Q12" s="35" cm="1">
        <f t="array" ref="Q12">_xll.BDP($B12&amp;" Equity","ask")</f>
        <v>0.6</v>
      </c>
      <c r="R12" s="39">
        <f t="shared" si="2"/>
        <v>1.1428571428571428</v>
      </c>
      <c r="S12" s="35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3"/>
        <v>-22000</v>
      </c>
      <c r="V12" s="122">
        <f>U12/'Master P&amp;L'!$AD$7*10000</f>
        <v>-8.7150786802235189E-2</v>
      </c>
      <c r="W12" s="122">
        <f>(Y12*H12*T12/S12)/'Master P&amp;L'!$AD$7*10000</f>
        <v>-8.7150786802235189E-2</v>
      </c>
      <c r="X12" s="338">
        <f t="shared" si="4"/>
        <v>0</v>
      </c>
      <c r="Y12" s="202">
        <f t="shared" si="5"/>
        <v>0.44</v>
      </c>
      <c r="Z12" s="36">
        <f>_xll.BDP(D12&amp;" Equity","LAST_PRICE")</f>
        <v>79.025000000000006</v>
      </c>
      <c r="AA12" s="36" cm="1">
        <f t="array" ref="AA12">_xll.BDP(B12&amp;" Equity","OPT_STRIKE_PX")</f>
        <v>100</v>
      </c>
      <c r="AB12" s="39">
        <f t="shared" si="6"/>
        <v>0.26542233470420751</v>
      </c>
      <c r="AC12" s="252" cm="1">
        <f t="array" ref="AC12">_xll.BDP($D12&amp;" Equity","volatility_10d")</f>
        <v>79.80346626043638</v>
      </c>
      <c r="AD12" s="36" cm="1">
        <f t="array" ref="AD12">_xll.BDP(B12&amp;" Equity","ivol_mid")</f>
        <v>24.607209999999998</v>
      </c>
      <c r="AE12" s="36">
        <f t="shared" si="7"/>
        <v>0.30834763391974801</v>
      </c>
      <c r="AF12" s="37" cm="1">
        <f t="array" ref="AF12">_xll.BDP(B12&amp;" Equity","DELTA_MID_RT")</f>
        <v>8.3169825375080109E-2</v>
      </c>
      <c r="AG12" s="18">
        <f>AL12/'Master P&amp;L'!$AE$7</f>
        <v>-1.3018139766926532E-4</v>
      </c>
      <c r="AH12" s="18">
        <f>AM12/'Master P&amp;L'!$AE$7</f>
        <v>-1.5652479379651447E-3</v>
      </c>
      <c r="AI12" s="351">
        <f>AO12/'Master P&amp;L'!$AD$7*10000</f>
        <v>1.2641953832263635E-3</v>
      </c>
      <c r="AJ12" s="277">
        <f t="shared" si="8"/>
        <v>-1.1352371626000312E-2</v>
      </c>
      <c r="AK12" s="37">
        <f>AP12/'Master P&amp;L'!$AD$7*10000</f>
        <v>3.833866552501503E-4</v>
      </c>
      <c r="AL12" s="15">
        <f t="shared" si="9"/>
        <v>-328624.77251328534</v>
      </c>
      <c r="AM12" s="15">
        <f t="shared" si="10"/>
        <v>-3951250</v>
      </c>
      <c r="AN12" s="37" cm="1">
        <f t="array" ref="AN12">_xll.BDP($B12&amp;" Equity","theta_mid_rt")</f>
        <v>-6.3825696706771851E-3</v>
      </c>
      <c r="AO12" s="15">
        <f t="shared" si="11"/>
        <v>319.12848353385925</v>
      </c>
      <c r="AP12" s="15">
        <f t="shared" si="12"/>
        <v>96.780611225497083</v>
      </c>
      <c r="AQ12" s="35" t="str" cm="1">
        <f t="array" ref="AQ12">_xll.BDP($D12&amp;" Equity","EXPECTED_REPORT_DT")</f>
        <v>14/05/2026</v>
      </c>
      <c r="AR12" s="65" cm="1">
        <f t="array" ref="AR12">_xll.BDP($B12&amp;" Equity","GAMMA_LAST")</f>
        <v>8.7329999999999994E-3</v>
      </c>
      <c r="AS12">
        <f t="shared" si="13"/>
        <v>-27268.576904062502</v>
      </c>
      <c r="AT12">
        <f t="shared" si="14"/>
        <v>-136342.88452031251</v>
      </c>
      <c r="AU12" t="s">
        <v>95</v>
      </c>
      <c r="AV12" s="206" cm="1">
        <f t="array" ref="AV12">_xll.BDP($D12&amp;" Equity","EST_PE_NXT_YR")*(AA12/Z12)</f>
        <v>22.135782058679585</v>
      </c>
      <c r="AX12" s="15"/>
      <c r="AY12" s="206">
        <v>0.44</v>
      </c>
      <c r="AZ12" s="282"/>
      <c r="BA12" s="15">
        <f t="shared" si="15"/>
        <v>0.44</v>
      </c>
      <c r="BB12" s="339">
        <f t="shared" si="16"/>
        <v>0.44193561222450994</v>
      </c>
      <c r="BC12" s="339">
        <f t="shared" si="17"/>
        <v>-96.780611225497083</v>
      </c>
      <c r="BD12" s="339">
        <f>BC12/'Master P&amp;L'!$AD$7*10000</f>
        <v>-3.833866552501503E-4</v>
      </c>
    </row>
    <row r="13" spans="1:56" ht="15.75" customHeight="1">
      <c r="A13" s="263"/>
      <c r="B13" s="72" t="s">
        <v>877</v>
      </c>
      <c r="C13" s="72" t="str" cm="1">
        <f t="array" ref="C13">_xll.BDP($B13&amp;" Equity","opt_put_call")</f>
        <v>Call</v>
      </c>
      <c r="D13" s="72" t="str" cm="1">
        <f t="array" ref="D13">_xll.BDP(B13&amp;" Equity","OPT_UNDL_TICKER")</f>
        <v>INTC US</v>
      </c>
      <c r="E13" s="72" t="str" cm="1">
        <f t="array" ref="E13">_xll.BDP($B13&amp;" Equity","mifid_Maturity_date")</f>
        <v>17/07/2026</v>
      </c>
      <c r="F13" s="72" cm="1">
        <f t="array" ref="F13">_xll.BDP($B13&amp;" Equity","opt_days_expire")</f>
        <v>148</v>
      </c>
      <c r="G13" s="72" t="str" cm="1">
        <f t="array" ref="G13">_xll.BDP(B13&amp;" Equity","QUOTED_CURRENCY_REALTIME")</f>
        <v>USD</v>
      </c>
      <c r="H13" s="41">
        <v>300</v>
      </c>
      <c r="I13" s="334">
        <v>6.7</v>
      </c>
      <c r="J13" s="14">
        <f>VLOOKUP(B13,Precificação!$B:$O,14,FALSE)</f>
        <v>5.375</v>
      </c>
      <c r="K13" s="73">
        <f t="shared" si="18"/>
        <v>5.375</v>
      </c>
      <c r="L13" s="73" cm="1">
        <f t="array" ref="L13">_xll.BDP($B13&amp;" Equity","mid")</f>
        <v>4.8499999999999996</v>
      </c>
      <c r="M13" s="74">
        <f t="shared" si="0"/>
        <v>0.10870783368822144</v>
      </c>
      <c r="N13" s="279"/>
      <c r="O13" s="74">
        <f t="shared" si="1"/>
        <v>-9.7674418604651203E-2</v>
      </c>
      <c r="P13" s="73" cm="1">
        <f t="array" ref="P13">_xll.BDP($B13&amp;" Equity","bid")</f>
        <v>4.75</v>
      </c>
      <c r="Q13" s="73" cm="1">
        <f t="array" ref="Q13">_xll.BDP($B13&amp;" Equity","ask")</f>
        <v>4.95</v>
      </c>
      <c r="R13" s="75">
        <f t="shared" si="2"/>
        <v>4.2105263157894868E-2</v>
      </c>
      <c r="S13" s="35" cm="1">
        <f t="array" ref="S13">_xll.BDP(G13&amp;" Curncy","PX_LAST")</f>
        <v>1</v>
      </c>
      <c r="T13" s="41" cm="1">
        <f t="array" ref="T13">_xll.BDP(B13&amp;" Equity","OPT_MULTIPLIER")</f>
        <v>100</v>
      </c>
      <c r="U13" s="41">
        <f t="shared" si="3"/>
        <v>145500</v>
      </c>
      <c r="V13" s="111">
        <f>U13/'Master P&amp;L'!$AD$7*10000</f>
        <v>0.57638361271478278</v>
      </c>
      <c r="W13" s="111">
        <f>(Y13*H13*T13/S13)/'Master P&amp;L'!$AD$7*10000</f>
        <v>0.57638361271478278</v>
      </c>
      <c r="X13" s="116">
        <f t="shared" si="4"/>
        <v>0</v>
      </c>
      <c r="Y13" s="201">
        <f t="shared" si="5"/>
        <v>4.8499999999999996</v>
      </c>
      <c r="Z13" s="76">
        <f>_xll.BDP(D13&amp;" Equity","LAST_PRICE")</f>
        <v>44.615000000000002</v>
      </c>
      <c r="AA13" s="76" cm="1">
        <f t="array" ref="AA13">_xll.BDP(B13&amp;" Equity","OPT_STRIKE_PX")</f>
        <v>50</v>
      </c>
      <c r="AB13" s="75">
        <f t="shared" si="6"/>
        <v>0.12069931637341691</v>
      </c>
      <c r="AC13" s="251" cm="1">
        <f t="array" ref="AC13">_xll.BDP($D13&amp;" Equity","volatility_10d")</f>
        <v>52.948783721116278</v>
      </c>
      <c r="AD13" s="76" cm="1">
        <f t="array" ref="AD13">_xll.BDP(B13&amp;" Equity","ivol_mid")</f>
        <v>58.951059999999998</v>
      </c>
      <c r="AE13" s="76">
        <f t="shared" si="7"/>
        <v>1.1133600407234656</v>
      </c>
      <c r="AF13" s="77" cm="1">
        <f t="array" ref="AF13">_xll.BDP(B13&amp;" Equity","DELTA_MID_RT")</f>
        <v>0.46788883209228516</v>
      </c>
      <c r="AG13" s="74">
        <f>AL13/'Master P&amp;L'!$AE$7</f>
        <v>2.4808097654095012E-4</v>
      </c>
      <c r="AH13" s="74">
        <f>AM13/'Master P&amp;L'!$AE$7</f>
        <v>5.3021350270659865E-4</v>
      </c>
      <c r="AI13" s="352">
        <f>AO13/'Master P&amp;L'!$AD$7*10000</f>
        <v>-2.7558646666367885E-3</v>
      </c>
      <c r="AJ13" s="277">
        <f t="shared" si="8"/>
        <v>2.474744035750237E-2</v>
      </c>
      <c r="AK13" s="77">
        <f>AP13/'Master P&amp;L'!$AD$7*10000</f>
        <v>-6.2392040551600234E-2</v>
      </c>
      <c r="AL13" s="41">
        <f t="shared" si="9"/>
        <v>626245.80731391918</v>
      </c>
      <c r="AM13" s="41">
        <f t="shared" si="10"/>
        <v>1338450</v>
      </c>
      <c r="AN13" s="77" cm="1">
        <f t="array" ref="AN13">_xll.BDP($B13&amp;" Equity","theta_mid_rt")</f>
        <v>-2.3189319297671318E-2</v>
      </c>
      <c r="AO13" s="41">
        <f t="shared" si="11"/>
        <v>-695.67957893013954</v>
      </c>
      <c r="AP13" s="41">
        <f t="shared" si="12"/>
        <v>-15750.000000000011</v>
      </c>
      <c r="AQ13" s="73" t="str" cm="1">
        <f t="array" ref="AQ13">_xll.BDP($D13&amp;" Equity","EXPECTED_REPORT_DT")</f>
        <v>24/04/2026</v>
      </c>
      <c r="AR13" s="189" cm="1">
        <f t="array" ref="AR13">_xll.BDP($B13&amp;" Equity","GAMMA_LAST")</f>
        <v>1.0376E-2</v>
      </c>
      <c r="AS13" s="72">
        <f t="shared" si="13"/>
        <v>6196.0228747800002</v>
      </c>
      <c r="AT13" s="72">
        <f t="shared" si="14"/>
        <v>30980.114373900004</v>
      </c>
      <c r="AU13" s="72" t="s">
        <v>95</v>
      </c>
      <c r="AV13" s="250" cm="1">
        <f t="array" ref="AV13">_xll.BDP($D13&amp;" Equity","EST_PE_NXT_YR")*(AA13/Z13)</f>
        <v>50.43135603485262</v>
      </c>
      <c r="AW13" s="72"/>
      <c r="AX13" s="41"/>
      <c r="AY13" s="250">
        <v>4.95</v>
      </c>
      <c r="AZ13" s="281"/>
      <c r="BA13" s="41">
        <f t="shared" si="15"/>
        <v>4.95</v>
      </c>
      <c r="BB13" s="273">
        <f t="shared" si="16"/>
        <v>5.375</v>
      </c>
      <c r="BC13" s="273">
        <f t="shared" si="17"/>
        <v>12749.999999999995</v>
      </c>
      <c r="BD13" s="273">
        <f>BC13/'Master P&amp;L'!$AD$7*10000</f>
        <v>5.0507842351295372E-2</v>
      </c>
    </row>
    <row r="14" spans="1:56" ht="15.75" customHeight="1">
      <c r="A14" s="283"/>
      <c r="B14" t="s">
        <v>1039</v>
      </c>
      <c r="C14" t="str" cm="1">
        <f t="array" ref="C14">_xll.BDP($B14&amp;" Equity","opt_put_call")</f>
        <v>Call</v>
      </c>
      <c r="D14" t="str" cm="1">
        <f t="array" ref="D14">_xll.BDP(B14&amp;" Equity","OPT_UNDL_TICKER")</f>
        <v>LITE US</v>
      </c>
      <c r="E14" t="str" cm="1">
        <f t="array" ref="E14">_xll.BDP($B14&amp;" Equity","mifid_Maturity_date")</f>
        <v>18/06/2026</v>
      </c>
      <c r="F14" cm="1">
        <f t="array" ref="F14">_xll.BDP($B14&amp;" Equity","opt_days_expire")</f>
        <v>119</v>
      </c>
      <c r="G14" t="s">
        <v>137</v>
      </c>
      <c r="H14" s="15">
        <v>150</v>
      </c>
      <c r="I14" s="335">
        <v>121.6</v>
      </c>
      <c r="J14" s="14">
        <f>VLOOKUP(B14,Precificação!$B:$O,14,FALSE)</f>
        <v>141.6</v>
      </c>
      <c r="K14" s="73">
        <f t="shared" si="18"/>
        <v>141.6</v>
      </c>
      <c r="L14" s="35" cm="1">
        <f t="array" ref="L14">_xll.BDP($B14&amp;" Equity","mid")</f>
        <v>165.6</v>
      </c>
      <c r="M14" s="18">
        <f t="shared" si="0"/>
        <v>0.26208544681928603</v>
      </c>
      <c r="N14" s="277"/>
      <c r="O14" s="18">
        <f t="shared" si="1"/>
        <v>0.16949152542372881</v>
      </c>
      <c r="P14" s="35" cm="1">
        <f t="array" ref="P14">_xll.BDP($B14&amp;" Equity","bid")</f>
        <v>163.69999999999999</v>
      </c>
      <c r="Q14" s="35" cm="1">
        <f t="array" ref="Q14">_xll.BDP($B14&amp;" Equity","ask")</f>
        <v>167.5</v>
      </c>
      <c r="R14" s="39">
        <f t="shared" si="2"/>
        <v>2.3213194868662246E-2</v>
      </c>
      <c r="S14" s="35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3"/>
        <v>2484000</v>
      </c>
      <c r="V14" s="122">
        <f>U14/'Master P&amp;L'!$AD$7*10000</f>
        <v>9.8401161098523744</v>
      </c>
      <c r="W14" s="122">
        <f>(Y14*H14*T14/S14)/'Master P&amp;L'!$AD$7*10000</f>
        <v>7.947260441498825</v>
      </c>
      <c r="X14" s="338">
        <f t="shared" si="4"/>
        <v>31.855000000000018</v>
      </c>
      <c r="Y14" s="202">
        <f t="shared" si="5"/>
        <v>133.74499999999998</v>
      </c>
      <c r="Z14" s="36">
        <f>_xll.BDP(D14&amp;" Equity","LAST_PRICE")</f>
        <v>631.85500000000002</v>
      </c>
      <c r="AA14" s="36" cm="1">
        <f t="array" ref="AA14">_xll.BDP(B14&amp;" Equity","OPT_STRIKE_PX")</f>
        <v>600</v>
      </c>
      <c r="AB14" s="39">
        <f t="shared" si="6"/>
        <v>-5.0415047756209863E-2</v>
      </c>
      <c r="AC14" s="252" cm="1">
        <f t="array" ref="AC14">_xll.BDP($D14&amp;" Equity","volatility_10d")</f>
        <v>68.656377545373303</v>
      </c>
      <c r="AD14" s="36" cm="1">
        <f t="array" ref="AD14">_xll.BDP(B14&amp;" Equity","ivol_mid")</f>
        <v>103.9819</v>
      </c>
      <c r="AE14" s="36">
        <f t="shared" si="7"/>
        <v>1.5145264535881016</v>
      </c>
      <c r="AF14" s="37" cm="1">
        <f t="array" ref="AF14">_xll.BDP(B14&amp;" Equity","DELTA_MID_RT")</f>
        <v>0.66195982694625854</v>
      </c>
      <c r="AG14" s="18">
        <f>AL14/'Master P&amp;L'!$AE$7</f>
        <v>2.4853579762863964E-3</v>
      </c>
      <c r="AH14" s="18">
        <f>AM14/'Master P&amp;L'!$AE$7</f>
        <v>3.7545450269267943E-3</v>
      </c>
      <c r="AI14" s="351">
        <f>AO14/'Master P&amp;L'!$AD$7*10000</f>
        <v>-3.3329976014458633E-2</v>
      </c>
      <c r="AJ14" s="277">
        <f t="shared" si="8"/>
        <v>0.29930047128961901</v>
      </c>
      <c r="AK14" s="37">
        <f>AP14/'Master P&amp;L'!$AD$7*10000</f>
        <v>1.4261037840365758</v>
      </c>
      <c r="AL14" s="15">
        <f t="shared" si="9"/>
        <v>6273939.3968269229</v>
      </c>
      <c r="AM14" s="15">
        <f t="shared" si="10"/>
        <v>9477825</v>
      </c>
      <c r="AN14" s="37" cm="1">
        <f t="array" ref="AN14">_xll.BDP($B14&amp;" Equity","theta_mid_rt")</f>
        <v>-0.56091248989105225</v>
      </c>
      <c r="AO14" s="15">
        <f t="shared" si="11"/>
        <v>-8413.6873483657837</v>
      </c>
      <c r="AP14" s="15">
        <f t="shared" si="12"/>
        <v>360000</v>
      </c>
      <c r="AQ14" s="35" t="str" cm="1">
        <f t="array" ref="AQ14">_xll.BDP($D14&amp;" Equity","EXPECTED_REPORT_DT")</f>
        <v>06/05/2026</v>
      </c>
      <c r="AR14" s="65" cm="1">
        <f t="array" ref="AR14">_xll.BDP($B14&amp;" Equity","GAMMA_LAST")</f>
        <v>6.1500000000000001E-3</v>
      </c>
      <c r="AS14">
        <f t="shared" si="13"/>
        <v>368299.58359556255</v>
      </c>
      <c r="AT14">
        <f t="shared" si="14"/>
        <v>1841497.9179778125</v>
      </c>
      <c r="AU14" t="s">
        <v>95</v>
      </c>
      <c r="AV14" s="206" cm="1">
        <f t="array" ref="AV14">_xll.BDP($D14&amp;" Equity","EST_PE_NXT_YR")*(AA14/Z14)</f>
        <v>43.028772499752954</v>
      </c>
      <c r="AX14" s="15"/>
      <c r="AY14" s="206">
        <v>156.85</v>
      </c>
      <c r="AZ14" s="282"/>
      <c r="BA14" s="15">
        <f t="shared" si="15"/>
        <v>156.85</v>
      </c>
      <c r="BB14" s="339">
        <f t="shared" si="16"/>
        <v>141.6</v>
      </c>
      <c r="BC14" s="339">
        <f t="shared" si="17"/>
        <v>-228750</v>
      </c>
      <c r="BD14" s="339">
        <f>BC14/'Master P&amp;L'!$AD$7*10000</f>
        <v>-0.90617011277324089</v>
      </c>
    </row>
    <row r="15" spans="1:56" ht="15.75" customHeight="1">
      <c r="A15" s="263"/>
      <c r="B15" s="72" t="s">
        <v>1040</v>
      </c>
      <c r="C15" s="72" t="str" cm="1">
        <f t="array" ref="C15">_xll.BDP($B15&amp;" Equity","opt_put_call")</f>
        <v>Call</v>
      </c>
      <c r="D15" s="72" t="str" cm="1">
        <f t="array" ref="D15">_xll.BDP(B15&amp;" Equity","OPT_UNDL_TICKER")</f>
        <v>LITE US</v>
      </c>
      <c r="E15" s="72" t="str" cm="1">
        <f t="array" ref="E15">_xll.BDP($B15&amp;" Equity","mifid_Maturity_date")</f>
        <v>18/06/2026</v>
      </c>
      <c r="F15" s="72" cm="1">
        <f t="array" ref="F15">_xll.BDP($B15&amp;" Equity","opt_days_expire")</f>
        <v>119</v>
      </c>
      <c r="G15" s="72" t="str" cm="1">
        <f t="array" ref="G15">_xll.BDP(B15&amp;" Equity","QUOTED_CURRENCY_REALTIME")</f>
        <v>USD</v>
      </c>
      <c r="H15" s="41">
        <v>-150</v>
      </c>
      <c r="I15" s="334">
        <v>86.81</v>
      </c>
      <c r="J15" s="14">
        <f>VLOOKUP(B15,Precificação!$B:$O,14,FALSE)</f>
        <v>101.9</v>
      </c>
      <c r="K15" s="73">
        <f t="shared" si="18"/>
        <v>101.9</v>
      </c>
      <c r="L15" s="73" cm="1">
        <f t="array" ref="L15">_xll.BDP($B15&amp;" Equity","mid")</f>
        <v>120.8</v>
      </c>
      <c r="M15" s="74">
        <f t="shared" si="0"/>
        <v>0.1911831037184164</v>
      </c>
      <c r="N15" s="279"/>
      <c r="O15" s="74">
        <f t="shared" si="1"/>
        <v>0.18547595682041207</v>
      </c>
      <c r="P15" s="73" cm="1">
        <f t="array" ref="P15">_xll.BDP($B15&amp;" Equity","bid")</f>
        <v>118.7</v>
      </c>
      <c r="Q15" s="73" cm="1">
        <f t="array" ref="Q15">_xll.BDP($B15&amp;" Equity","ask")</f>
        <v>122.9</v>
      </c>
      <c r="R15" s="75">
        <f t="shared" si="2"/>
        <v>3.5383319292333626E-2</v>
      </c>
      <c r="S15" s="35" cm="1">
        <f t="array" ref="S15">_xll.BDP(G15&amp;" Curncy","PX_LAST")</f>
        <v>1</v>
      </c>
      <c r="T15" s="41" cm="1">
        <f t="array" ref="T15">_xll.BDP(B15&amp;" Equity","OPT_MULTIPLIER")</f>
        <v>100</v>
      </c>
      <c r="U15" s="41">
        <f t="shared" si="3"/>
        <v>-1812000</v>
      </c>
      <c r="V15" s="111">
        <f>U15/'Master P&amp;L'!$AD$7*10000</f>
        <v>-7.1780557129840989</v>
      </c>
      <c r="W15" s="111">
        <f>(Y15*H15*T15/S15)/'Master P&amp;L'!$AD$7*10000</f>
        <v>-7.1780557129840989</v>
      </c>
      <c r="X15" s="116">
        <f t="shared" si="4"/>
        <v>0</v>
      </c>
      <c r="Y15" s="201">
        <f t="shared" si="5"/>
        <v>120.8</v>
      </c>
      <c r="Z15" s="76">
        <f>_xll.BDP(D15&amp;" Equity","LAST_PRICE")</f>
        <v>631.85500000000002</v>
      </c>
      <c r="AA15" s="76" cm="1">
        <f t="array" ref="AA15">_xll.BDP(B15&amp;" Equity","OPT_STRIKE_PX")</f>
        <v>720</v>
      </c>
      <c r="AB15" s="75">
        <f t="shared" si="6"/>
        <v>0.13950194269254812</v>
      </c>
      <c r="AC15" s="251" cm="1">
        <f t="array" ref="AC15">_xll.BDP($D15&amp;" Equity","volatility_10d")</f>
        <v>68.656377545373303</v>
      </c>
      <c r="AD15" s="76" cm="1">
        <f t="array" ref="AD15">_xll.BDP(B15&amp;" Equity","ivol_mid")</f>
        <v>103.28270000000001</v>
      </c>
      <c r="AE15" s="76">
        <f t="shared" si="7"/>
        <v>1.5043424033221535</v>
      </c>
      <c r="AF15" s="77" cm="1">
        <f t="array" ref="AF15">_xll.BDP(B15&amp;" Equity","DELTA_MID_RT")</f>
        <v>0.54245376586914063</v>
      </c>
      <c r="AG15" s="74">
        <f>AL15/'Master P&amp;L'!$AE$7</f>
        <v>-2.0366670889816938E-3</v>
      </c>
      <c r="AH15" s="74">
        <f>AM15/'Master P&amp;L'!$AE$7</f>
        <v>-3.7545450269267943E-3</v>
      </c>
      <c r="AI15" s="352">
        <f>AO15/'Master P&amp;L'!$AD$7*10000</f>
        <v>3.6082941966116562E-2</v>
      </c>
      <c r="AJ15" s="277">
        <f t="shared" si="8"/>
        <v>-0.32402188142258925</v>
      </c>
      <c r="AK15" s="77">
        <f>AP15/'Master P&amp;L'!$AD$7*10000</f>
        <v>-1.123056729928803</v>
      </c>
      <c r="AL15" s="41">
        <f t="shared" si="9"/>
        <v>-5141281.8634986877</v>
      </c>
      <c r="AM15" s="41">
        <f t="shared" si="10"/>
        <v>-9477825</v>
      </c>
      <c r="AN15" s="77" cm="1">
        <f t="array" ref="AN15">_xll.BDP($B15&amp;" Equity","theta_mid_rt")</f>
        <v>-0.60724234580993652</v>
      </c>
      <c r="AO15" s="41">
        <f t="shared" si="11"/>
        <v>9108.6351871490479</v>
      </c>
      <c r="AP15" s="41">
        <f t="shared" si="12"/>
        <v>-283499.99999999988</v>
      </c>
      <c r="AQ15" s="73" t="str" cm="1">
        <f t="array" ref="AQ15">_xll.BDP($D15&amp;" Equity","EXPECTED_REPORT_DT")</f>
        <v>06/05/2026</v>
      </c>
      <c r="AR15" s="189" cm="1">
        <f t="array" ref="AR15">_xll.BDP($B15&amp;" Equity","GAMMA_LAST")</f>
        <v>6.7039999999999999E-3</v>
      </c>
      <c r="AS15" s="72">
        <f t="shared" si="13"/>
        <v>-401476.48917474004</v>
      </c>
      <c r="AT15" s="72">
        <f t="shared" si="14"/>
        <v>-2007382.4458737005</v>
      </c>
      <c r="AU15" s="72" t="s">
        <v>95</v>
      </c>
      <c r="AV15" s="250" cm="1">
        <f t="array" ref="AV15">_xll.BDP($D15&amp;" Equity","EST_PE_NXT_YR")*(AA15/Z15)</f>
        <v>51.634526999703546</v>
      </c>
      <c r="AW15" s="72"/>
      <c r="AX15" s="41"/>
      <c r="AY15" s="250">
        <v>113.55</v>
      </c>
      <c r="AZ15" s="281"/>
      <c r="BA15" s="41">
        <f t="shared" si="15"/>
        <v>113.55</v>
      </c>
      <c r="BB15" s="273">
        <f t="shared" si="16"/>
        <v>101.9</v>
      </c>
      <c r="BC15" s="273">
        <f t="shared" si="17"/>
        <v>174749.99999999985</v>
      </c>
      <c r="BD15" s="273">
        <f>BC15/'Master P&amp;L'!$AD$7*10000</f>
        <v>0.69225454516775398</v>
      </c>
    </row>
    <row r="16" spans="1:56" ht="15.75" customHeight="1">
      <c r="A16" s="283"/>
      <c r="B16" t="s">
        <v>953</v>
      </c>
      <c r="C16" t="str" cm="1">
        <f t="array" ref="C16">_xll.BDP($B16&amp;" Equity","opt_put_call")</f>
        <v>Call</v>
      </c>
      <c r="D16" t="str" cm="1">
        <f t="array" ref="D16">_xll.BDP(B16&amp;" Equity","OPT_UNDL_TICKER")</f>
        <v>META US</v>
      </c>
      <c r="E16" t="str" cm="1">
        <f t="array" ref="E16">_xll.BDP($B16&amp;" Equity","mifid_Maturity_date")</f>
        <v>17/07/2026</v>
      </c>
      <c r="F16" cm="1">
        <f t="array" ref="F16">_xll.BDP($B16&amp;" Equity","opt_days_expire")</f>
        <v>148</v>
      </c>
      <c r="G16" t="str" cm="1">
        <f t="array" ref="G16">_xll.BDP(B16&amp;" Equity","QUOTED_CURRENCY_REALTIME")</f>
        <v>USD</v>
      </c>
      <c r="H16" s="15">
        <v>170</v>
      </c>
      <c r="I16" s="335">
        <v>51.45</v>
      </c>
      <c r="J16" s="14">
        <f>VLOOKUP(B16,Precificação!$B:$O,14,FALSE)</f>
        <v>23.4</v>
      </c>
      <c r="K16" s="73">
        <f t="shared" si="18"/>
        <v>23.4</v>
      </c>
      <c r="L16" s="35" cm="1">
        <f t="array" ref="L16">_xll.BDP($B16&amp;" Equity","mid")</f>
        <v>23.55</v>
      </c>
      <c r="M16" s="18">
        <f t="shared" si="0"/>
        <v>3.6546474545496872E-2</v>
      </c>
      <c r="N16" s="277"/>
      <c r="O16" s="18">
        <f t="shared" si="1"/>
        <v>6.4102564102566095E-3</v>
      </c>
      <c r="P16" s="35" cm="1">
        <f t="array" ref="P16">_xll.BDP($B16&amp;" Equity","bid")</f>
        <v>23.4</v>
      </c>
      <c r="Q16" s="35" cm="1">
        <f t="array" ref="Q16">_xll.BDP($B16&amp;" Equity","ask")</f>
        <v>23.7</v>
      </c>
      <c r="R16" s="39">
        <f t="shared" si="2"/>
        <v>1.2820512820512775E-2</v>
      </c>
      <c r="S16" s="35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3"/>
        <v>400350</v>
      </c>
      <c r="V16" s="122">
        <f>U16/'Master P&amp;L'!$AD$7*10000</f>
        <v>1.5859462498306753</v>
      </c>
      <c r="W16" s="122">
        <f>(Y16*H16*T16/S16)/'Master P&amp;L'!$AD$7*10000</f>
        <v>1.5859462498306753</v>
      </c>
      <c r="X16" s="338">
        <f t="shared" si="4"/>
        <v>0</v>
      </c>
      <c r="Y16" s="202">
        <f t="shared" si="5"/>
        <v>23.55</v>
      </c>
      <c r="Z16" s="36">
        <f>_xll.BDP(D16&amp;" Equity","LAST_PRICE")</f>
        <v>644.38499999999999</v>
      </c>
      <c r="AA16" s="36" cm="1">
        <f t="array" ref="AA16">_xll.BDP(B16&amp;" Equity","OPT_STRIKE_PX")</f>
        <v>750</v>
      </c>
      <c r="AB16" s="39">
        <f t="shared" si="6"/>
        <v>0.16390046323238439</v>
      </c>
      <c r="AC16" s="252" cm="1">
        <f t="array" ref="AC16">_xll.BDP($D16&amp;" Equity","volatility_10d")</f>
        <v>23.991766226333809</v>
      </c>
      <c r="AD16" s="36" cm="1">
        <f t="array" ref="AD16">_xll.BDP(B16&amp;" Equity","ivol_mid")</f>
        <v>33.908119999999997</v>
      </c>
      <c r="AE16" s="36">
        <f t="shared" si="7"/>
        <v>1.4133232076420374</v>
      </c>
      <c r="AF16" s="37" cm="1">
        <f t="array" ref="AF16">_xll.BDP(B16&amp;" Equity","DELTA_MID_RT")</f>
        <v>0.29855763912200928</v>
      </c>
      <c r="AG16" s="18">
        <f>AL16/'Master P&amp;L'!$AE$7</f>
        <v>1.295600667403344E-3</v>
      </c>
      <c r="AH16" s="18">
        <f>AM16/'Master P&amp;L'!$AE$7</f>
        <v>4.3395327991385974E-3</v>
      </c>
      <c r="AI16" s="351">
        <f>AO16/'Master P&amp;L'!$AD$7*10000</f>
        <v>-1.0808059432413747E-2</v>
      </c>
      <c r="AJ16" s="277">
        <f t="shared" si="8"/>
        <v>9.7055493842670565E-2</v>
      </c>
      <c r="AK16" s="37">
        <f>AP16/'Master P&amp;L'!$AD$7*10000</f>
        <v>1.0101568470259224E-2</v>
      </c>
      <c r="AL16" s="15">
        <f t="shared" si="9"/>
        <v>3270563.0928558107</v>
      </c>
      <c r="AM16" s="15">
        <f t="shared" si="10"/>
        <v>10954545</v>
      </c>
      <c r="AN16" s="37" cm="1">
        <f t="array" ref="AN16">_xll.BDP($B16&amp;" Equity","theta_mid_rt")</f>
        <v>-0.16049081087112427</v>
      </c>
      <c r="AO16" s="15">
        <f t="shared" si="11"/>
        <v>-2728.3437848091125</v>
      </c>
      <c r="AP16" s="15">
        <f t="shared" si="12"/>
        <v>2550.0000000000364</v>
      </c>
      <c r="AQ16" s="35" t="str" cm="1">
        <f t="array" ref="AQ16">_xll.BDP($D16&amp;" Equity","EXPECTED_REPORT_DT")</f>
        <v>30/04/2026</v>
      </c>
      <c r="AR16" s="65" cm="1">
        <f t="array" ref="AR16">_xll.BDP($B16&amp;" Equity","GAMMA_LAST")</f>
        <v>1.6097E-2</v>
      </c>
      <c r="AS16">
        <f t="shared" si="13"/>
        <v>1136278.2929174299</v>
      </c>
      <c r="AT16">
        <f t="shared" si="14"/>
        <v>5681391.464587152</v>
      </c>
      <c r="AU16" t="s">
        <v>95</v>
      </c>
      <c r="AV16" s="206" cm="1">
        <f t="array" ref="AV16">_xll.BDP($D16&amp;" Equity","EST_PE_NXT_YR")*(AA16/Z16)</f>
        <v>19.920283140699663</v>
      </c>
      <c r="AX16" s="15"/>
      <c r="AY16" s="206">
        <v>23.8</v>
      </c>
      <c r="AZ16" s="282"/>
      <c r="BA16" s="15">
        <f t="shared" si="15"/>
        <v>23.8</v>
      </c>
      <c r="BB16" s="339">
        <f t="shared" si="16"/>
        <v>23.4</v>
      </c>
      <c r="BC16" s="339">
        <f t="shared" si="17"/>
        <v>-6800.0000000000373</v>
      </c>
      <c r="BD16" s="339">
        <f>BC16/'Master P&amp;L'!$AD$7*10000</f>
        <v>-2.6937515920691029E-2</v>
      </c>
    </row>
    <row r="17" spans="1:56" ht="15.75" customHeight="1">
      <c r="A17" s="263"/>
      <c r="B17" s="72" t="s">
        <v>843</v>
      </c>
      <c r="C17" s="72" t="str" cm="1">
        <f t="array" ref="C17">_xll.BDP($B17&amp;" Equity","opt_put_call")</f>
        <v>Put</v>
      </c>
      <c r="D17" s="72" t="str" cm="1">
        <f t="array" ref="D17">_xll.BDP(B17&amp;" Equity","OPT_UNDL_TICKER")</f>
        <v>MRVL US</v>
      </c>
      <c r="E17" s="72" t="str" cm="1">
        <f t="array" ref="E17">_xll.BDP($B17&amp;" Equity","mifid_Maturity_date")</f>
        <v>20/03/2026</v>
      </c>
      <c r="F17" s="72" cm="1">
        <f t="array" ref="F17">_xll.BDP($B17&amp;" Equity","opt_days_expire")</f>
        <v>29</v>
      </c>
      <c r="G17" s="72" t="str" cm="1">
        <f t="array" ref="G17">_xll.BDP(B17&amp;" Equity","QUOTED_CURRENCY_REALTIME")</f>
        <v>USD</v>
      </c>
      <c r="H17" s="41">
        <v>450</v>
      </c>
      <c r="I17" s="334">
        <v>4.82</v>
      </c>
      <c r="J17" s="14">
        <f>VLOOKUP(B17,Precificação!$B:$O,14,FALSE)</f>
        <v>2.5650000000000004</v>
      </c>
      <c r="K17" s="73">
        <f t="shared" si="18"/>
        <v>2.5650000000000004</v>
      </c>
      <c r="L17" s="73" cm="1">
        <f t="array" ref="L17">_xll.BDP($B17&amp;" Equity","mid")</f>
        <v>2.64</v>
      </c>
      <c r="M17" s="74">
        <f t="shared" si="0"/>
        <v>3.3487664108581221E-2</v>
      </c>
      <c r="N17" s="279"/>
      <c r="O17" s="74">
        <f t="shared" si="1"/>
        <v>2.9239766081871288E-2</v>
      </c>
      <c r="P17" s="73" cm="1">
        <f t="array" ref="P17">_xll.BDP($B17&amp;" Equity","bid")</f>
        <v>2.5299999999999998</v>
      </c>
      <c r="Q17" s="73" cm="1">
        <f t="array" ref="Q17">_xll.BDP($B17&amp;" Equity","ask")</f>
        <v>2.76</v>
      </c>
      <c r="R17" s="75">
        <f t="shared" si="2"/>
        <v>9.0909090909090828E-2</v>
      </c>
      <c r="S17" s="35" cm="1">
        <f t="array" ref="S17">_xll.BDP(G17&amp;" Curncy","PX_LAST")</f>
        <v>1</v>
      </c>
      <c r="T17" s="41" cm="1">
        <f t="array" ref="T17">_xll.BDP(B17&amp;" Equity","OPT_MULTIPLIER")</f>
        <v>100</v>
      </c>
      <c r="U17" s="41">
        <f t="shared" si="3"/>
        <v>118800</v>
      </c>
      <c r="V17" s="111">
        <f>U17/'Master P&amp;L'!$AD$7*10000</f>
        <v>0.47061424873207008</v>
      </c>
      <c r="W17" s="111">
        <f>(Y17*H17*T17/S17)/'Master P&amp;L'!$AD$7*10000</f>
        <v>0.47061424873207008</v>
      </c>
      <c r="X17" s="116">
        <f t="shared" si="4"/>
        <v>0</v>
      </c>
      <c r="Y17" s="201">
        <f t="shared" si="5"/>
        <v>2.64</v>
      </c>
      <c r="Z17" s="76">
        <f>_xll.BDP(D17&amp;" Equity","LAST_PRICE")</f>
        <v>78.834999999999994</v>
      </c>
      <c r="AA17" s="76" cm="1">
        <f t="array" ref="AA17">_xll.BDP(B17&amp;" Equity","OPT_STRIKE_PX")</f>
        <v>70</v>
      </c>
      <c r="AB17" s="75">
        <f t="shared" si="6"/>
        <v>-0.11206951227246775</v>
      </c>
      <c r="AC17" s="251" cm="1">
        <f t="array" ref="AC17">_xll.BDP($D17&amp;" Equity","volatility_10d")</f>
        <v>51.266664046773357</v>
      </c>
      <c r="AD17" s="76" cm="1">
        <f t="array" ref="AD17">_xll.BDP(B17&amp;" Equity","ivol_mid")</f>
        <v>72.16404</v>
      </c>
      <c r="AE17" s="76">
        <f t="shared" si="7"/>
        <v>1.4076211382539117</v>
      </c>
      <c r="AF17" s="77" cm="1">
        <f t="array" ref="AF17">_xll.BDP(B17&amp;" Equity","DELTA_MID_RT")</f>
        <v>-0.24487738311290741</v>
      </c>
      <c r="AG17" s="74">
        <f>AL17/'Master P&amp;L'!$AE$7</f>
        <v>-3.4413503823823069E-4</v>
      </c>
      <c r="AH17" s="74">
        <f>AM17/'Master P&amp;L'!$AE$7</f>
        <v>-1.4053361476815433E-3</v>
      </c>
      <c r="AI17" s="352">
        <f>AO17/'Master P&amp;L'!$AD$7*10000</f>
        <v>-1.4978339650976341E-2</v>
      </c>
      <c r="AJ17" s="277">
        <f t="shared" si="8"/>
        <v>0.13450427071199988</v>
      </c>
      <c r="AK17" s="77">
        <f>AP17/'Master P&amp;L'!$AD$7*10000</f>
        <v>1.3369722975342852E-2</v>
      </c>
      <c r="AL17" s="41">
        <f t="shared" si="9"/>
        <v>-868720.8823967725</v>
      </c>
      <c r="AM17" s="41">
        <f t="shared" si="10"/>
        <v>-3547575</v>
      </c>
      <c r="AN17" s="77" cm="1">
        <f t="array" ref="AN17">_xll.BDP($B17&amp;" Equity","theta_mid_rt")</f>
        <v>-8.4023840725421906E-2</v>
      </c>
      <c r="AO17" s="41">
        <f t="shared" si="11"/>
        <v>-3781.0728326439857</v>
      </c>
      <c r="AP17" s="41">
        <f t="shared" si="12"/>
        <v>3374.9999999999882</v>
      </c>
      <c r="AQ17" s="73" t="str" cm="1">
        <f t="array" ref="AQ17">_xll.BDP($D17&amp;" Equity","EXPECTED_REPORT_DT")</f>
        <v>05/03/2026</v>
      </c>
      <c r="AR17" s="189" cm="1">
        <f t="array" ref="AR17">_xll.BDP($B17&amp;" Equity","GAMMA_LAST")</f>
        <v>1.5354E-2</v>
      </c>
      <c r="AS17" s="72">
        <f t="shared" si="13"/>
        <v>42941.003954692496</v>
      </c>
      <c r="AT17" s="72">
        <f t="shared" si="14"/>
        <v>214705.0197734625</v>
      </c>
      <c r="AU17" s="72" t="s">
        <v>95</v>
      </c>
      <c r="AV17" s="250" cm="1">
        <f t="array" ref="AV17">_xll.BDP($D17&amp;" Equity","EST_PE_NXT_YR")*(AA17/Z17)</f>
        <v>19.787699068648184</v>
      </c>
      <c r="AW17" s="72"/>
      <c r="AX17" s="41"/>
      <c r="AY17" s="250">
        <v>2.65</v>
      </c>
      <c r="AZ17" s="281"/>
      <c r="BA17" s="41">
        <f t="shared" si="15"/>
        <v>2.65</v>
      </c>
      <c r="BB17" s="273">
        <f t="shared" si="16"/>
        <v>2.5650000000000004</v>
      </c>
      <c r="BC17" s="273">
        <f t="shared" si="17"/>
        <v>-3824.9999999999786</v>
      </c>
      <c r="BD17" s="273">
        <f>BC17/'Master P&amp;L'!$AD$7*10000</f>
        <v>-1.5152352705388535E-2</v>
      </c>
    </row>
    <row r="18" spans="1:56" ht="15.75" customHeight="1">
      <c r="A18" s="283"/>
      <c r="B18" t="s">
        <v>975</v>
      </c>
      <c r="C18" t="str" cm="1">
        <f t="array" ref="C18">_xll.BDP($B18&amp;" Equity","opt_put_call")</f>
        <v>Put</v>
      </c>
      <c r="D18" t="str" cm="1">
        <f t="array" ref="D18">_xll.BDP(B18&amp;" Equity","OPT_UNDL_TICKER")</f>
        <v>MRVL US</v>
      </c>
      <c r="E18" t="str" cm="1">
        <f t="array" ref="E18">_xll.BDP($B18&amp;" Equity","mifid_Maturity_date")</f>
        <v>20/03/2026</v>
      </c>
      <c r="F18" cm="1">
        <f t="array" ref="F18">_xll.BDP($B18&amp;" Equity","opt_days_expire")</f>
        <v>29</v>
      </c>
      <c r="G18" t="s">
        <v>137</v>
      </c>
      <c r="H18" s="15">
        <v>-450</v>
      </c>
      <c r="I18" s="335">
        <v>1.66</v>
      </c>
      <c r="J18" s="14">
        <f>VLOOKUP(B18,Precificação!$B:$O,14,FALSE)</f>
        <v>0.85499999999999998</v>
      </c>
      <c r="K18" s="73">
        <f t="shared" si="18"/>
        <v>0.85499999999999998</v>
      </c>
      <c r="L18" s="35" cm="1">
        <f t="array" ref="L18">_xll.BDP($B18&amp;" Equity","mid")</f>
        <v>0.92</v>
      </c>
      <c r="M18" s="18">
        <f t="shared" si="0"/>
        <v>1.1669943552990425E-2</v>
      </c>
      <c r="N18" s="277"/>
      <c r="O18" s="18">
        <f t="shared" si="1"/>
        <v>7.6023391812865659E-2</v>
      </c>
      <c r="P18" s="35" cm="1">
        <f t="array" ref="P18">_xll.BDP($B18&amp;" Equity","bid")</f>
        <v>0.87</v>
      </c>
      <c r="Q18" s="35" cm="1">
        <f t="array" ref="Q18">_xll.BDP($B18&amp;" Equity","ask")</f>
        <v>0.97</v>
      </c>
      <c r="R18" s="39">
        <f t="shared" si="2"/>
        <v>0.11494252873563227</v>
      </c>
      <c r="S18" s="35" cm="1">
        <f t="array" ref="S18">_xll.BDP(G18&amp;" Curncy","PX_LAST")</f>
        <v>1</v>
      </c>
      <c r="T18" s="15" cm="1">
        <f t="array" ref="T18">_xll.BDP(B18&amp;" Equity","OPT_MULTIPLIER")</f>
        <v>100</v>
      </c>
      <c r="U18" s="15">
        <f t="shared" si="3"/>
        <v>-41400</v>
      </c>
      <c r="V18" s="122">
        <f>U18/'Master P&amp;L'!$AD$7*10000</f>
        <v>-0.16400193516420622</v>
      </c>
      <c r="W18" s="122">
        <f>(Y18*H18*T18/S18)/'Master P&amp;L'!$AD$7*10000</f>
        <v>-0.16400193516420622</v>
      </c>
      <c r="X18" s="338">
        <f t="shared" si="4"/>
        <v>0</v>
      </c>
      <c r="Y18" s="202">
        <f t="shared" si="5"/>
        <v>0.92</v>
      </c>
      <c r="Z18" s="36">
        <f>_xll.BDP(D18&amp;" Equity","LAST_PRICE")</f>
        <v>78.834999999999994</v>
      </c>
      <c r="AA18" s="36" cm="1">
        <f t="array" ref="AA18">_xll.BDP(B18&amp;" Equity","OPT_STRIKE_PX")</f>
        <v>60</v>
      </c>
      <c r="AB18" s="39">
        <f t="shared" si="6"/>
        <v>-0.23891672480497239</v>
      </c>
      <c r="AC18" s="252" cm="1">
        <f t="array" ref="AC18">_xll.BDP($D18&amp;" Equity","volatility_10d")</f>
        <v>51.266664046773357</v>
      </c>
      <c r="AD18" s="36" cm="1">
        <f t="array" ref="AD18">_xll.BDP(B18&amp;" Equity","ivol_mid")</f>
        <v>80.479810000000001</v>
      </c>
      <c r="AE18" s="36">
        <f t="shared" si="7"/>
        <v>1.5698273233962308</v>
      </c>
      <c r="AF18" s="37" cm="1">
        <f t="array" ref="AF18">_xll.BDP(B18&amp;" Equity","DELTA_MID_RT")</f>
        <v>-9.6327304840087891E-2</v>
      </c>
      <c r="AG18" s="18">
        <f>AL18/'Master P&amp;L'!$AE$7</f>
        <v>1.3537224350051476E-4</v>
      </c>
      <c r="AH18" s="18">
        <f>AM18/'Master P&amp;L'!$AE$7</f>
        <v>1.4053361476815433E-3</v>
      </c>
      <c r="AI18" s="351">
        <f>AO18/'Master P&amp;L'!$AD$7*10000</f>
        <v>9.1574310980447569E-3</v>
      </c>
      <c r="AJ18" s="277">
        <f t="shared" si="8"/>
        <v>-8.2232985774068137E-2</v>
      </c>
      <c r="AK18" s="37">
        <f>AP18/'Master P&amp;L'!$AD$7*10000</f>
        <v>-1.1587093245297189E-2</v>
      </c>
      <c r="AL18" s="15">
        <f t="shared" si="9"/>
        <v>341728.33846807474</v>
      </c>
      <c r="AM18" s="15">
        <f t="shared" si="10"/>
        <v>3547575</v>
      </c>
      <c r="AN18" s="37" cm="1">
        <f t="array" ref="AN18">_xll.BDP($B18&amp;" Equity","theta_mid_rt")</f>
        <v>-5.1370348781347275E-2</v>
      </c>
      <c r="AO18" s="15">
        <f t="shared" si="11"/>
        <v>2311.6656951606274</v>
      </c>
      <c r="AP18" s="15">
        <f t="shared" si="12"/>
        <v>-2925.0000000000023</v>
      </c>
      <c r="AQ18" s="35" t="str" cm="1">
        <f t="array" ref="AQ18">_xll.BDP($D18&amp;" Equity","EXPECTED_REPORT_DT")</f>
        <v>05/03/2026</v>
      </c>
      <c r="AR18" s="65" cm="1">
        <f t="array" ref="AR18">_xll.BDP($B18&amp;" Equity","GAMMA_LAST")</f>
        <v>7.4549999999999998E-3</v>
      </c>
      <c r="AS18">
        <f t="shared" si="13"/>
        <v>-20849.627750568747</v>
      </c>
      <c r="AT18">
        <f t="shared" si="14"/>
        <v>-104248.13875284373</v>
      </c>
      <c r="AU18" t="s">
        <v>95</v>
      </c>
      <c r="AV18" s="206" cm="1">
        <f t="array" ref="AV18">_xll.BDP($D18&amp;" Equity","EST_PE_NXT_YR")*(AA18/Z18)</f>
        <v>16.96088491598416</v>
      </c>
      <c r="AX18" s="15"/>
      <c r="AY18" s="206">
        <v>0.9</v>
      </c>
      <c r="AZ18" s="282"/>
      <c r="BA18" s="15">
        <f t="shared" si="15"/>
        <v>0.9</v>
      </c>
      <c r="BB18" s="339">
        <f t="shared" si="16"/>
        <v>0.85499999999999998</v>
      </c>
      <c r="BC18" s="339">
        <f t="shared" si="17"/>
        <v>2025.0000000000018</v>
      </c>
      <c r="BD18" s="339">
        <f>BC18/'Master P&amp;L'!$AD$7*10000</f>
        <v>8.0218337852057467E-3</v>
      </c>
    </row>
    <row r="19" spans="1:56" ht="15.75" customHeight="1">
      <c r="A19" s="263"/>
      <c r="B19" s="72" t="s">
        <v>976</v>
      </c>
      <c r="C19" s="72" t="str" cm="1">
        <f t="array" ref="C19">_xll.BDP($B19&amp;" Equity","opt_put_call")</f>
        <v>Call</v>
      </c>
      <c r="D19" s="72" t="str" cm="1">
        <f t="array" ref="D19">_xll.BDP(B19&amp;" Equity","OPT_UNDL_TICKER")</f>
        <v>NFLX US</v>
      </c>
      <c r="E19" s="72" t="str" cm="1">
        <f t="array" ref="E19">_xll.BDP($B19&amp;" Equity","mifid_Maturity_date")</f>
        <v>15/05/2026</v>
      </c>
      <c r="F19" s="72" cm="1">
        <f t="array" ref="F19">_xll.BDP($B19&amp;" Equity","opt_days_expire")</f>
        <v>85</v>
      </c>
      <c r="G19" s="72" t="s">
        <v>137</v>
      </c>
      <c r="H19" s="41">
        <v>-300</v>
      </c>
      <c r="I19" s="334">
        <v>2.88</v>
      </c>
      <c r="J19" s="14">
        <f>VLOOKUP(B19,Precificação!$B:$O,14,FALSE)</f>
        <v>2.29</v>
      </c>
      <c r="K19" s="73">
        <f t="shared" si="18"/>
        <v>2.29</v>
      </c>
      <c r="L19" s="73" cm="1">
        <f t="array" ref="L19">_xll.BDP($B19&amp;" Equity","mid")</f>
        <v>2.2200000000000002</v>
      </c>
      <c r="M19" s="74">
        <f t="shared" si="0"/>
        <v>2.8752752234166564E-2</v>
      </c>
      <c r="N19" s="279"/>
      <c r="O19" s="74">
        <f t="shared" si="1"/>
        <v>-3.0567685589519611E-2</v>
      </c>
      <c r="P19" s="73" cm="1">
        <f t="array" ref="P19">_xll.BDP($B19&amp;" Equity","bid")</f>
        <v>2.17</v>
      </c>
      <c r="Q19" s="73" cm="1">
        <f t="array" ref="Q19">_xll.BDP($B19&amp;" Equity","ask")</f>
        <v>2.27</v>
      </c>
      <c r="R19" s="75">
        <f t="shared" si="2"/>
        <v>4.6082949308755783E-2</v>
      </c>
      <c r="S19" s="35" cm="1">
        <f t="array" ref="S19">_xll.BDP(G19&amp;" Curncy","PX_LAST")</f>
        <v>1</v>
      </c>
      <c r="T19" s="41" cm="1">
        <f t="array" ref="T19">_xll.BDP(B19&amp;" Equity","OPT_MULTIPLIER")</f>
        <v>100</v>
      </c>
      <c r="U19" s="41">
        <f t="shared" si="3"/>
        <v>-66600.000000000015</v>
      </c>
      <c r="V19" s="111">
        <f>U19/'Master P&amp;L'!$AD$7*10000</f>
        <v>-0.26382920004676663</v>
      </c>
      <c r="W19" s="111">
        <f>(Y19*H19*T19/S19)/'Master P&amp;L'!$AD$7*10000</f>
        <v>-0.26382920004676663</v>
      </c>
      <c r="X19" s="116">
        <f t="shared" si="4"/>
        <v>0</v>
      </c>
      <c r="Y19" s="201">
        <f t="shared" si="5"/>
        <v>2.2200000000000002</v>
      </c>
      <c r="Z19" s="76">
        <f>_xll.BDP(D19&amp;" Equity","LAST_PRICE")</f>
        <v>77.209999999999994</v>
      </c>
      <c r="AA19" s="76" cm="1">
        <f t="array" ref="AA19">_xll.BDP(B19&amp;" Equity","OPT_STRIKE_PX")</f>
        <v>90</v>
      </c>
      <c r="AB19" s="75">
        <f t="shared" si="6"/>
        <v>0.16565211760134702</v>
      </c>
      <c r="AC19" s="251" cm="1">
        <f t="array" ref="AC19">_xll.BDP($D19&amp;" Equity","volatility_10d")</f>
        <v>35.950125875487863</v>
      </c>
      <c r="AD19" s="76" cm="1">
        <f t="array" ref="AD19">_xll.BDP(B19&amp;" Equity","ivol_mid")</f>
        <v>40.656120000000001</v>
      </c>
      <c r="AE19" s="76">
        <f t="shared" si="7"/>
        <v>1.1309034115989247</v>
      </c>
      <c r="AF19" s="77" cm="1">
        <f t="array" ref="AF19">_xll.BDP(B19&amp;" Equity","DELTA_MID_RT")</f>
        <v>0.26573807001113892</v>
      </c>
      <c r="AG19" s="74">
        <f>AL19/'Master P&amp;L'!$AE$7</f>
        <v>-2.4383565740778083E-4</v>
      </c>
      <c r="AH19" s="74">
        <f>AM19/'Master P&amp;L'!$AE$7</f>
        <v>-9.1757894304553332E-4</v>
      </c>
      <c r="AI19" s="352">
        <f>AO19/'Master P&amp;L'!$AD$7*10000</f>
        <v>3.3659127922654086E-3</v>
      </c>
      <c r="AJ19" s="277">
        <f t="shared" si="8"/>
        <v>-3.0225622862967951E-2</v>
      </c>
      <c r="AK19" s="77">
        <f>AP19/'Master P&amp;L'!$AD$7*10000</f>
        <v>8.31893874021334E-3</v>
      </c>
      <c r="AL19" s="41">
        <f t="shared" si="9"/>
        <v>-615529.09156680107</v>
      </c>
      <c r="AM19" s="41">
        <f t="shared" si="10"/>
        <v>-2316299.9999999995</v>
      </c>
      <c r="AN19" s="77" cm="1">
        <f t="array" ref="AN19">_xll.BDP($B19&amp;" Equity","theta_mid_rt")</f>
        <v>-2.8322590515017509E-2</v>
      </c>
      <c r="AO19" s="41">
        <f t="shared" si="11"/>
        <v>849.67771545052528</v>
      </c>
      <c r="AP19" s="41">
        <f t="shared" si="12"/>
        <v>2099.999999999995</v>
      </c>
      <c r="AQ19" s="73" t="str" cm="1">
        <f t="array" ref="AQ19">_xll.BDP($D19&amp;" Equity","EXPECTED_REPORT_DT")</f>
        <v>17/04/2026</v>
      </c>
      <c r="AR19" s="189" cm="1">
        <f t="array" ref="AR19">_xll.BDP($B19&amp;" Equity","GAMMA_LAST")</f>
        <v>1.6705999999999999E-2</v>
      </c>
      <c r="AS19" s="72">
        <f t="shared" si="13"/>
        <v>-29877.264832379995</v>
      </c>
      <c r="AT19" s="72">
        <f t="shared" si="14"/>
        <v>-149386.32416189997</v>
      </c>
      <c r="AU19" s="72" t="s">
        <v>95</v>
      </c>
      <c r="AV19" s="250" cm="1">
        <f t="array" ref="AV19">_xll.BDP($D19&amp;" Equity","EST_PE_NXT_YR")*(AA19/Z19)</f>
        <v>23.751234394132599</v>
      </c>
      <c r="AW19" s="72"/>
      <c r="AX19" s="41"/>
      <c r="AY19" s="250">
        <v>2.34</v>
      </c>
      <c r="AZ19" s="281"/>
      <c r="BA19" s="41">
        <f t="shared" si="15"/>
        <v>2.34</v>
      </c>
      <c r="BB19" s="273">
        <f t="shared" si="16"/>
        <v>2.29</v>
      </c>
      <c r="BC19" s="273">
        <f t="shared" si="17"/>
        <v>1499.9999999999948</v>
      </c>
      <c r="BD19" s="273">
        <f>BC19/'Master P&amp;L'!$AD$7*10000</f>
        <v>5.9420991001523796E-3</v>
      </c>
    </row>
    <row r="20" spans="1:56" ht="15.75" customHeight="1">
      <c r="A20" s="283"/>
      <c r="B20" t="s">
        <v>977</v>
      </c>
      <c r="C20" t="str" cm="1">
        <f t="array" ref="C20">_xll.BDP($B20&amp;" Equity","opt_put_call")</f>
        <v>Put</v>
      </c>
      <c r="D20" t="str" cm="1">
        <f t="array" ref="D20">_xll.BDP(B20&amp;" Equity","OPT_UNDL_TICKER")</f>
        <v>NFLX US</v>
      </c>
      <c r="E20" t="str" cm="1">
        <f t="array" ref="E20">_xll.BDP($B20&amp;" Equity","mifid_Maturity_date")</f>
        <v>15/05/2026</v>
      </c>
      <c r="F20" cm="1">
        <f t="array" ref="F20">_xll.BDP($B20&amp;" Equity","opt_days_expire")</f>
        <v>85</v>
      </c>
      <c r="G20" t="str" cm="1">
        <f t="array" ref="G20">_xll.BDP(B20&amp;" Equity","QUOTED_CURRENCY_REALTIME")</f>
        <v>USD</v>
      </c>
      <c r="H20" s="15">
        <v>-100</v>
      </c>
      <c r="I20" s="335">
        <v>2.13</v>
      </c>
      <c r="J20" s="14">
        <f>VLOOKUP(B20,Precificação!$B:$O,14,FALSE)</f>
        <v>2.7199999999999998</v>
      </c>
      <c r="K20" s="73">
        <f t="shared" si="18"/>
        <v>2.7199999999999998</v>
      </c>
      <c r="L20" s="35" cm="1">
        <f t="array" ref="L20">_xll.BDP($B20&amp;" Equity","mid")</f>
        <v>2.95</v>
      </c>
      <c r="M20" s="18">
        <f t="shared" si="0"/>
        <v>3.8207486076933042E-2</v>
      </c>
      <c r="N20" s="277"/>
      <c r="O20" s="18">
        <f t="shared" si="1"/>
        <v>8.4558823529411908E-2</v>
      </c>
      <c r="P20" s="35" cm="1">
        <f t="array" ref="P20">_xll.BDP($B20&amp;" Equity","bid")</f>
        <v>2.89</v>
      </c>
      <c r="Q20" s="35" cm="1">
        <f t="array" ref="Q20">_xll.BDP($B20&amp;" Equity","ask")</f>
        <v>3</v>
      </c>
      <c r="R20" s="39">
        <f t="shared" si="2"/>
        <v>3.8062283737024138E-2</v>
      </c>
      <c r="S20" s="35" cm="1">
        <f t="array" ref="S20">_xll.BDP(G20&amp;" Curncy","PX_LAST")</f>
        <v>1</v>
      </c>
      <c r="T20" s="15" cm="1">
        <f t="array" ref="T20">_xll.BDP(B20&amp;" Equity","OPT_MULTIPLIER")</f>
        <v>100</v>
      </c>
      <c r="U20" s="15">
        <f t="shared" si="3"/>
        <v>-29500</v>
      </c>
      <c r="V20" s="122">
        <f>U20/'Master P&amp;L'!$AD$7*10000</f>
        <v>-0.11686128230299718</v>
      </c>
      <c r="W20" s="122">
        <f>(Y20*H20*T20/S20)/'Master P&amp;L'!$AD$7*10000</f>
        <v>-0.11686128230299718</v>
      </c>
      <c r="X20" s="338">
        <f t="shared" si="4"/>
        <v>0</v>
      </c>
      <c r="Y20" s="202">
        <f t="shared" si="5"/>
        <v>2.95</v>
      </c>
      <c r="Z20" s="36">
        <f>_xll.BDP(D20&amp;" Equity","LAST_PRICE")</f>
        <v>77.209999999999994</v>
      </c>
      <c r="AA20" s="36" cm="1">
        <f t="array" ref="AA20">_xll.BDP(B20&amp;" Equity","OPT_STRIKE_PX")</f>
        <v>70</v>
      </c>
      <c r="AB20" s="39">
        <f t="shared" si="6"/>
        <v>-9.3381686310063383E-2</v>
      </c>
      <c r="AC20" s="252" cm="1">
        <f t="array" ref="AC20">_xll.BDP($D20&amp;" Equity","volatility_10d")</f>
        <v>35.950125875487863</v>
      </c>
      <c r="AD20" s="36" cm="1">
        <f t="array" ref="AD20">_xll.BDP(B20&amp;" Equity","ivol_mid")</f>
        <v>42.483530000000002</v>
      </c>
      <c r="AE20" s="36">
        <f t="shared" si="7"/>
        <v>1.181735222489634</v>
      </c>
      <c r="AF20" s="37" cm="1">
        <f t="array" ref="AF20">_xll.BDP(B20&amp;" Equity","DELTA_MID_RT")</f>
        <v>-0.26900696754455566</v>
      </c>
      <c r="AG20" s="18">
        <f>AL20/'Master P&amp;L'!$AE$7</f>
        <v>8.2278376317139153E-5</v>
      </c>
      <c r="AH20" s="18">
        <f>AM20/'Master P&amp;L'!$AE$7</f>
        <v>3.0585964768184448E-4</v>
      </c>
      <c r="AI20" s="351">
        <f>AO20/'Master P&amp;L'!$AD$7*10000</f>
        <v>1.22193774876844E-3</v>
      </c>
      <c r="AJ20" s="277">
        <f t="shared" si="8"/>
        <v>-1.0972901508669464E-2</v>
      </c>
      <c r="AK20" s="37">
        <f>AP20/'Master P&amp;L'!$AD$7*10000</f>
        <v>-9.1112186202336951E-3</v>
      </c>
      <c r="AL20" s="15">
        <f t="shared" si="9"/>
        <v>207700.27964115137</v>
      </c>
      <c r="AM20" s="15">
        <f t="shared" si="10"/>
        <v>772099.99999999988</v>
      </c>
      <c r="AN20" s="37" cm="1">
        <f t="array" ref="AN20">_xll.BDP($B20&amp;" Equity","theta_mid_rt")</f>
        <v>-3.0846113339066505E-2</v>
      </c>
      <c r="AO20" s="15">
        <f t="shared" si="11"/>
        <v>308.46113339066505</v>
      </c>
      <c r="AP20" s="15">
        <f t="shared" si="12"/>
        <v>-2300.0000000000041</v>
      </c>
      <c r="AQ20" s="35" t="str" cm="1">
        <f t="array" ref="AQ20">_xll.BDP($D20&amp;" Equity","EXPECTED_REPORT_DT")</f>
        <v>17/04/2026</v>
      </c>
      <c r="AR20" s="65" cm="1">
        <f t="array" ref="AR20">_xll.BDP($B20&amp;" Equity","GAMMA_LAST")</f>
        <v>1.5775000000000001E-2</v>
      </c>
      <c r="AS20">
        <f t="shared" si="13"/>
        <v>-9404.0834177500001</v>
      </c>
      <c r="AT20">
        <f t="shared" si="14"/>
        <v>-47020.41708875</v>
      </c>
      <c r="AU20" t="s">
        <v>95</v>
      </c>
      <c r="AV20" s="206" cm="1">
        <f t="array" ref="AV20">_xll.BDP($D20&amp;" Equity","EST_PE_NXT_YR")*(AA20/Z20)</f>
        <v>18.473182306547578</v>
      </c>
      <c r="AX20" s="15"/>
      <c r="AY20" s="206">
        <v>2.73</v>
      </c>
      <c r="AZ20" s="282"/>
      <c r="BA20" s="15">
        <f t="shared" si="15"/>
        <v>2.73</v>
      </c>
      <c r="BB20" s="339">
        <f t="shared" si="16"/>
        <v>2.7199999999999998</v>
      </c>
      <c r="BC20" s="339">
        <f t="shared" si="17"/>
        <v>100.0000000000023</v>
      </c>
      <c r="BD20" s="339">
        <f>BC20/'Master P&amp;L'!$AD$7*10000</f>
        <v>3.9613994001016909E-4</v>
      </c>
    </row>
    <row r="21" spans="1:56" ht="15.75" customHeight="1">
      <c r="A21" s="263"/>
      <c r="B21" s="72" t="s">
        <v>921</v>
      </c>
      <c r="C21" s="72" t="str" cm="1">
        <f t="array" ref="C21">_xll.BDP($B21&amp;" Equity","opt_put_call")</f>
        <v>Call</v>
      </c>
      <c r="D21" s="72" t="str" cm="1">
        <f t="array" ref="D21">_xll.BDP(B21&amp;" Equity","OPT_UNDL_TICKER")</f>
        <v>NVDA US</v>
      </c>
      <c r="E21" s="72" t="str" cm="1">
        <f t="array" ref="E21">_xll.BDP($B21&amp;" Equity","mifid_Maturity_date")</f>
        <v>15/05/2026</v>
      </c>
      <c r="F21" s="72" cm="1">
        <f t="array" ref="F21">_xll.BDP($B21&amp;" Equity","opt_days_expire")</f>
        <v>85</v>
      </c>
      <c r="G21" s="72" t="str" cm="1">
        <f t="array" ref="G21">_xll.BDP(B21&amp;" Equity","QUOTED_CURRENCY_REALTIME")</f>
        <v>USD</v>
      </c>
      <c r="H21" s="41">
        <v>150</v>
      </c>
      <c r="I21" s="334">
        <v>14.91</v>
      </c>
      <c r="J21" s="14">
        <f>VLOOKUP(B21,Precificação!$B:$O,14,FALSE)</f>
        <v>12</v>
      </c>
      <c r="K21" s="73">
        <f t="shared" si="18"/>
        <v>12</v>
      </c>
      <c r="L21" s="73" cm="1">
        <f t="array" ref="L21">_xll.BDP($B21&amp;" Equity","mid")</f>
        <v>11.55</v>
      </c>
      <c r="M21" s="74">
        <f t="shared" si="0"/>
        <v>6.1875552460289827E-2</v>
      </c>
      <c r="N21" s="279"/>
      <c r="O21" s="74">
        <f t="shared" si="1"/>
        <v>-3.7499999999999978E-2</v>
      </c>
      <c r="P21" s="73" cm="1">
        <f t="array" ref="P21">_xll.BDP($B21&amp;" Equity","bid")</f>
        <v>11.5</v>
      </c>
      <c r="Q21" s="73" cm="1">
        <f t="array" ref="Q21">_xll.BDP($B21&amp;" Equity","ask")</f>
        <v>11.6</v>
      </c>
      <c r="R21" s="75">
        <f t="shared" si="2"/>
        <v>8.6956521739129933E-3</v>
      </c>
      <c r="S21" s="35" cm="1">
        <f t="array" ref="S21">_xll.BDP(G21&amp;" Curncy","PX_LAST")</f>
        <v>1</v>
      </c>
      <c r="T21" s="41" cm="1">
        <f t="array" ref="T21">_xll.BDP(B21&amp;" Equity","OPT_MULTIPLIER")</f>
        <v>100</v>
      </c>
      <c r="U21" s="41">
        <f t="shared" si="3"/>
        <v>173250</v>
      </c>
      <c r="V21" s="111">
        <f>U21/'Master P&amp;L'!$AD$7*10000</f>
        <v>0.68631244606760211</v>
      </c>
      <c r="W21" s="111">
        <f>(Y21*H21*T21/S21)/'Master P&amp;L'!$AD$7*10000</f>
        <v>0.68631244606760211</v>
      </c>
      <c r="X21" s="116">
        <f t="shared" si="4"/>
        <v>0</v>
      </c>
      <c r="Y21" s="201">
        <f t="shared" si="5"/>
        <v>11.55</v>
      </c>
      <c r="Z21" s="76">
        <f>_xll.BDP(D21&amp;" Equity","LAST_PRICE")</f>
        <v>186.66499999999999</v>
      </c>
      <c r="AA21" s="76" cm="1">
        <f t="array" ref="AA21">_xll.BDP(B21&amp;" Equity","OPT_STRIKE_PX")</f>
        <v>200</v>
      </c>
      <c r="AB21" s="75">
        <f t="shared" si="6"/>
        <v>7.1438137840516447E-2</v>
      </c>
      <c r="AC21" s="251" cm="1">
        <f t="array" ref="AC21">_xll.BDP($D21&amp;" Equity","volatility_10d")</f>
        <v>47.509166250426745</v>
      </c>
      <c r="AD21" s="76" cm="1">
        <f t="array" ref="AD21">_xll.BDP(B21&amp;" Equity","ivol_mid")</f>
        <v>44.67239</v>
      </c>
      <c r="AE21" s="76">
        <f t="shared" si="7"/>
        <v>0.94028991720305632</v>
      </c>
      <c r="AF21" s="77" cm="1">
        <f t="array" ref="AF21">_xll.BDP(B21&amp;" Equity","DELTA_MID_RT")</f>
        <v>0.43351873755455017</v>
      </c>
      <c r="AG21" s="74">
        <f>AL21/'Master P&amp;L'!$AE$7</f>
        <v>4.8085114937462418E-4</v>
      </c>
      <c r="AH21" s="74">
        <f>AM21/'Master P&amp;L'!$AE$7</f>
        <v>1.1091819285299477E-3</v>
      </c>
      <c r="AI21" s="352">
        <f>AO21/'Master P&amp;L'!$AD$7*10000</f>
        <v>-5.4045089763196568E-3</v>
      </c>
      <c r="AJ21" s="277">
        <f t="shared" si="8"/>
        <v>4.8532050638132554E-2</v>
      </c>
      <c r="AK21" s="77">
        <f>AP21/'Master P&amp;L'!$AD$7*10000</f>
        <v>-2.6739445950685753E-2</v>
      </c>
      <c r="AL21" s="41">
        <f t="shared" si="9"/>
        <v>1213841.6271843016</v>
      </c>
      <c r="AM21" s="41">
        <f t="shared" si="10"/>
        <v>2799975</v>
      </c>
      <c r="AN21" s="77" cm="1">
        <f t="array" ref="AN21">_xll.BDP($B21&amp;" Equity","theta_mid_rt")</f>
        <v>-9.0952858328819275E-2</v>
      </c>
      <c r="AO21" s="41">
        <f t="shared" si="11"/>
        <v>-1364.2928749322891</v>
      </c>
      <c r="AP21" s="41">
        <f t="shared" si="12"/>
        <v>-6749.9999999999891</v>
      </c>
      <c r="AQ21" s="73" t="str" cm="1">
        <f t="array" ref="AQ21">_xll.BDP($D21&amp;" Equity","EXPECTED_REPORT_DT")</f>
        <v>25/02/2026</v>
      </c>
      <c r="AR21" s="189" cm="1">
        <f t="array" ref="AR21">_xll.BDP($B21&amp;" Equity","GAMMA_LAST")</f>
        <v>1.8074E-2</v>
      </c>
      <c r="AS21" s="72">
        <f t="shared" si="13"/>
        <v>94465.086434197496</v>
      </c>
      <c r="AT21" s="72">
        <f t="shared" si="14"/>
        <v>472325.43217098754</v>
      </c>
      <c r="AU21" s="72" t="s">
        <v>95</v>
      </c>
      <c r="AV21" s="250" cm="1">
        <f t="array" ref="AV21">_xll.BDP($D21&amp;" Equity","EST_PE_NXT_YR")*(AA21/Z21)</f>
        <v>25.676382407725029</v>
      </c>
      <c r="AW21" s="72"/>
      <c r="AX21" s="41"/>
      <c r="AY21" s="250">
        <v>11.65</v>
      </c>
      <c r="AZ21" s="281"/>
      <c r="BA21" s="41">
        <f t="shared" si="15"/>
        <v>11.65</v>
      </c>
      <c r="BB21" s="273">
        <f t="shared" si="16"/>
        <v>12</v>
      </c>
      <c r="BC21" s="273">
        <f t="shared" si="17"/>
        <v>5249.9999999999945</v>
      </c>
      <c r="BD21" s="273">
        <f>BC21/'Master P&amp;L'!$AD$7*10000</f>
        <v>2.0797346850533378E-2</v>
      </c>
    </row>
    <row r="22" spans="1:56" ht="15.75" customHeight="1">
      <c r="A22" s="283"/>
      <c r="B22" t="s">
        <v>1060</v>
      </c>
      <c r="C22" t="str" cm="1">
        <f t="array" ref="C22">_xll.BDP($B22&amp;" Equity","opt_put_call")</f>
        <v>Call</v>
      </c>
      <c r="D22" t="str" cm="1">
        <f t="array" ref="D22">_xll.BDP(B22&amp;" Equity","OPT_UNDL_TICKER")</f>
        <v>NVDA US</v>
      </c>
      <c r="E22" t="str" cm="1">
        <f t="array" ref="E22">_xll.BDP($B22&amp;" Equity","mifid_Maturity_date")</f>
        <v>20/03/2026</v>
      </c>
      <c r="F22" cm="1">
        <f t="array" ref="F22">_xll.BDP($B22&amp;" Equity","opt_days_expire")</f>
        <v>29</v>
      </c>
      <c r="G22" t="str" cm="1">
        <f t="array" ref="G22">_xll.BDP(B22&amp;" Equity","QUOTED_CURRENCY_REALTIME")</f>
        <v>USD</v>
      </c>
      <c r="H22" s="15">
        <v>1100</v>
      </c>
      <c r="I22" s="335">
        <v>7.04</v>
      </c>
      <c r="J22" s="14">
        <f>VLOOKUP(B22,Precificação!$B:$O,14,FALSE)</f>
        <v>5.75</v>
      </c>
      <c r="K22" s="73">
        <f t="shared" si="18"/>
        <v>5.75</v>
      </c>
      <c r="L22" s="35" cm="1">
        <f t="array" ref="L22">_xll.BDP($B22&amp;" Equity","mid")</f>
        <v>5.22</v>
      </c>
      <c r="M22" s="18">
        <f t="shared" si="0"/>
        <v>2.7964535397637477E-2</v>
      </c>
      <c r="N22" s="277"/>
      <c r="O22" s="18">
        <f t="shared" si="1"/>
        <v>-9.2173913043478328E-2</v>
      </c>
      <c r="P22" s="35" cm="1">
        <f t="array" ref="P22">_xll.BDP($B22&amp;" Equity","bid")</f>
        <v>5.2</v>
      </c>
      <c r="Q22" s="35" cm="1">
        <f t="array" ref="Q22">_xll.BDP($B22&amp;" Equity","ask")</f>
        <v>5.25</v>
      </c>
      <c r="R22" s="39">
        <f t="shared" si="2"/>
        <v>9.6153846153845812E-3</v>
      </c>
      <c r="S22" s="35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 t="shared" si="3"/>
        <v>574200</v>
      </c>
      <c r="V22" s="122">
        <f>U22/'Master P&amp;L'!$AD$7*10000</f>
        <v>2.2746355355383385</v>
      </c>
      <c r="W22" s="122">
        <f>(Y22*H22*T22/S22)/'Master P&amp;L'!$AD$7*10000</f>
        <v>2.2746355355383385</v>
      </c>
      <c r="X22" s="338">
        <f t="shared" si="4"/>
        <v>0</v>
      </c>
      <c r="Y22" s="202">
        <f t="shared" si="5"/>
        <v>5.22</v>
      </c>
      <c r="Z22" s="36">
        <f>_xll.BDP(D22&amp;" Equity","LAST_PRICE")</f>
        <v>186.66499999999999</v>
      </c>
      <c r="AA22" s="36" cm="1">
        <f t="array" ref="AA22">_xll.BDP(B22&amp;" Equity","OPT_STRIKE_PX")</f>
        <v>200</v>
      </c>
      <c r="AB22" s="39">
        <f t="shared" si="6"/>
        <v>7.1438137840516447E-2</v>
      </c>
      <c r="AC22" s="252" cm="1">
        <f t="array" ref="AC22">_xll.BDP($D22&amp;" Equity","volatility_10d")</f>
        <v>47.509166250426745</v>
      </c>
      <c r="AD22" s="36" cm="1">
        <f t="array" ref="AD22">_xll.BDP(B22&amp;" Equity","ivol_mid")</f>
        <v>46.56617</v>
      </c>
      <c r="AE22" s="36">
        <f t="shared" si="7"/>
        <v>0.98015127764069576</v>
      </c>
      <c r="AF22" s="37" cm="1">
        <f t="array" ref="AF22">_xll.BDP(B22&amp;" Equity","DELTA_MID_RT")</f>
        <v>0.3364851176738739</v>
      </c>
      <c r="AG22" s="18">
        <f>AL22/'Master P&amp;L'!$AE$7</f>
        <v>2.7369702194496482E-3</v>
      </c>
      <c r="AH22" s="18">
        <f>AM22/'Master P&amp;L'!$AE$7</f>
        <v>8.1340008092196155E-3</v>
      </c>
      <c r="AI22" s="351">
        <f>AO22/'Master P&amp;L'!$AD$7*10000</f>
        <v>-6.6195500044214983E-2</v>
      </c>
      <c r="AJ22" s="277">
        <f t="shared" si="8"/>
        <v>0.59443020156662851</v>
      </c>
      <c r="AK22" s="37">
        <f>AP22/'Master P&amp;L'!$AD$7*10000</f>
        <v>-0.23094958502592339</v>
      </c>
      <c r="AL22" s="15">
        <f t="shared" si="9"/>
        <v>6909099.3939653039</v>
      </c>
      <c r="AM22" s="15">
        <f t="shared" si="10"/>
        <v>20533150</v>
      </c>
      <c r="AN22" s="37" cm="1">
        <f t="array" ref="AN22">_xll.BDP($B22&amp;" Equity","theta_mid_rt")</f>
        <v>-0.15191027522087097</v>
      </c>
      <c r="AO22" s="15">
        <f t="shared" si="11"/>
        <v>-16710.130274295807</v>
      </c>
      <c r="AP22" s="15">
        <f t="shared" si="12"/>
        <v>-58300.000000000029</v>
      </c>
      <c r="AQ22" s="35" t="str" cm="1">
        <f t="array" ref="AQ22">_xll.BDP($D22&amp;" Equity","EXPECTED_REPORT_DT")</f>
        <v>25/02/2026</v>
      </c>
      <c r="AR22" s="65" cm="1">
        <f t="array" ref="AR22">_xll.BDP($B22&amp;" Equity","GAMMA_LAST")</f>
        <v>2.7141999999999999E-2</v>
      </c>
      <c r="AS22">
        <f t="shared" si="13"/>
        <v>1040304.1251140449</v>
      </c>
      <c r="AT22">
        <f t="shared" si="14"/>
        <v>5201520.6255702255</v>
      </c>
      <c r="AU22" t="s">
        <v>95</v>
      </c>
      <c r="AV22" s="206" cm="1">
        <f t="array" ref="AV22">_xll.BDP($D22&amp;" Equity","EST_PE_NXT_YR")*(AA22/Z22)</f>
        <v>25.676382407725029</v>
      </c>
      <c r="AX22" s="15"/>
      <c r="AY22" s="206">
        <v>5.4</v>
      </c>
      <c r="AZ22" s="282"/>
      <c r="BA22" s="15">
        <f t="shared" si="15"/>
        <v>5.4</v>
      </c>
      <c r="BB22" s="339">
        <f t="shared" si="16"/>
        <v>5.75</v>
      </c>
      <c r="BC22" s="339">
        <f t="shared" si="17"/>
        <v>38499.999999999964</v>
      </c>
      <c r="BD22" s="339">
        <f>BC22/'Master P&amp;L'!$AD$7*10000</f>
        <v>0.15251387690391144</v>
      </c>
    </row>
    <row r="23" spans="1:56" ht="15.75" customHeight="1">
      <c r="A23" s="263"/>
      <c r="B23" s="72" t="s">
        <v>1061</v>
      </c>
      <c r="C23" s="72" t="str" cm="1">
        <f t="array" ref="C23">_xll.BDP($B23&amp;" Equity","opt_put_call")</f>
        <v>Call</v>
      </c>
      <c r="D23" s="72" t="str" cm="1">
        <f t="array" ref="D23">_xll.BDP(B23&amp;" Equity","OPT_UNDL_TICKER")</f>
        <v>NVDA US</v>
      </c>
      <c r="E23" s="72" t="str" cm="1">
        <f t="array" ref="E23">_xll.BDP($B23&amp;" Equity","mifid_Maturity_date")</f>
        <v>20/03/2026</v>
      </c>
      <c r="F23" s="72" cm="1">
        <f t="array" ref="F23">_xll.BDP($B23&amp;" Equity","opt_days_expire")</f>
        <v>29</v>
      </c>
      <c r="G23" s="72" t="str" cm="1">
        <f t="array" ref="G23">_xll.BDP(B23&amp;" Equity","QUOTED_CURRENCY_REALTIME")</f>
        <v>USD</v>
      </c>
      <c r="H23" s="41">
        <v>-1100</v>
      </c>
      <c r="I23" s="334">
        <v>2.16</v>
      </c>
      <c r="J23" s="14">
        <f>VLOOKUP(B23,Precificação!$B:$O,14,FALSE)</f>
        <v>1.605</v>
      </c>
      <c r="K23" s="73">
        <f t="shared" si="18"/>
        <v>1.605</v>
      </c>
      <c r="L23" s="73" cm="1">
        <f t="array" ref="L23">_xll.BDP($B23&amp;" Equity","mid")</f>
        <v>1.4</v>
      </c>
      <c r="M23" s="74">
        <f t="shared" si="0"/>
        <v>7.5000669648836145E-3</v>
      </c>
      <c r="N23" s="279"/>
      <c r="O23" s="74">
        <f t="shared" si="1"/>
        <v>-0.12772585669781933</v>
      </c>
      <c r="P23" s="73" cm="1">
        <f t="array" ref="P23">_xll.BDP($B23&amp;" Equity","bid")</f>
        <v>1.4</v>
      </c>
      <c r="Q23" s="73" cm="1">
        <f t="array" ref="Q23">_xll.BDP($B23&amp;" Equity","ask")</f>
        <v>1.41</v>
      </c>
      <c r="R23" s="75">
        <f t="shared" si="2"/>
        <v>7.1428571428571175E-3</v>
      </c>
      <c r="S23" s="35" cm="1">
        <f t="array" ref="S23">_xll.BDP(G23&amp;" Curncy","PX_LAST")</f>
        <v>1</v>
      </c>
      <c r="T23" s="41" cm="1">
        <f t="array" ref="T23">_xll.BDP(B23&amp;" Equity","OPT_MULTIPLIER")</f>
        <v>100</v>
      </c>
      <c r="U23" s="41">
        <f t="shared" si="3"/>
        <v>-154000</v>
      </c>
      <c r="V23" s="111">
        <f>U23/'Master P&amp;L'!$AD$7*10000</f>
        <v>-0.61005550761564631</v>
      </c>
      <c r="W23" s="111">
        <f>(Y23*H23*T23/S23)/'Master P&amp;L'!$AD$7*10000</f>
        <v>-0.61005550761564631</v>
      </c>
      <c r="X23" s="116">
        <f t="shared" si="4"/>
        <v>0</v>
      </c>
      <c r="Y23" s="201">
        <f t="shared" si="5"/>
        <v>1.4</v>
      </c>
      <c r="Z23" s="76">
        <f>_xll.BDP(D23&amp;" Equity","LAST_PRICE")</f>
        <v>186.66499999999999</v>
      </c>
      <c r="AA23" s="76" cm="1">
        <f t="array" ref="AA23">_xll.BDP(B23&amp;" Equity","OPT_STRIKE_PX")</f>
        <v>220</v>
      </c>
      <c r="AB23" s="75">
        <f t="shared" si="6"/>
        <v>0.17858195162456814</v>
      </c>
      <c r="AC23" s="251" cm="1">
        <f t="array" ref="AC23">_xll.BDP($D23&amp;" Equity","volatility_10d")</f>
        <v>47.509166250426745</v>
      </c>
      <c r="AD23" s="76" cm="1">
        <f t="array" ref="AD23">_xll.BDP(B23&amp;" Equity","ivol_mid")</f>
        <v>45.479489999999998</v>
      </c>
      <c r="AE23" s="76">
        <f t="shared" si="7"/>
        <v>0.95727821785530676</v>
      </c>
      <c r="AF23" s="77" cm="1">
        <f t="array" ref="AF23">_xll.BDP(B23&amp;" Equity","DELTA_MID_RT")</f>
        <v>0.12251947820186615</v>
      </c>
      <c r="AG23" s="74">
        <f>AL23/'Master P&amp;L'!$AE$7</f>
        <v>-9.9657353483914449E-4</v>
      </c>
      <c r="AH23" s="74">
        <f>AM23/'Master P&amp;L'!$AE$7</f>
        <v>-8.1340008092196155E-3</v>
      </c>
      <c r="AI23" s="352">
        <f>AO23/'Master P&amp;L'!$AD$7*10000</f>
        <v>3.5481165047164039E-2</v>
      </c>
      <c r="AJ23" s="277">
        <f t="shared" si="8"/>
        <v>-0.31861797367973421</v>
      </c>
      <c r="AK23" s="77">
        <f>AP23/'Master P&amp;L'!$AD$7*10000</f>
        <v>8.9329556472291113E-2</v>
      </c>
      <c r="AL23" s="41">
        <f t="shared" si="9"/>
        <v>-2515710.8238406479</v>
      </c>
      <c r="AM23" s="41">
        <f t="shared" si="10"/>
        <v>-20533150</v>
      </c>
      <c r="AN23" s="77" cm="1">
        <f t="array" ref="AN23">_xll.BDP($B23&amp;" Equity","theta_mid_rt")</f>
        <v>-8.14247727394104E-2</v>
      </c>
      <c r="AO23" s="41">
        <f t="shared" si="11"/>
        <v>8956.725001335144</v>
      </c>
      <c r="AP23" s="41">
        <f t="shared" si="12"/>
        <v>22550.000000000007</v>
      </c>
      <c r="AQ23" s="73" t="str" cm="1">
        <f t="array" ref="AQ23">_xll.BDP($D23&amp;" Equity","EXPECTED_REPORT_DT")</f>
        <v>25/02/2026</v>
      </c>
      <c r="AR23" s="189" cm="1">
        <f t="array" ref="AR23">_xll.BDP($B23&amp;" Equity","GAMMA_LAST")</f>
        <v>1.5413E-2</v>
      </c>
      <c r="AS23" s="72">
        <f t="shared" si="13"/>
        <v>-590752.61514931743</v>
      </c>
      <c r="AT23" s="72">
        <f t="shared" si="14"/>
        <v>-2953763.075746587</v>
      </c>
      <c r="AU23" s="72" t="s">
        <v>95</v>
      </c>
      <c r="AV23" s="250" cm="1">
        <f t="array" ref="AV23">_xll.BDP($D23&amp;" Equity","EST_PE_NXT_YR")*(AA23/Z23)</f>
        <v>28.244020648497532</v>
      </c>
      <c r="AW23" s="72"/>
      <c r="AX23" s="41"/>
      <c r="AY23" s="250">
        <v>1.49</v>
      </c>
      <c r="AZ23" s="281"/>
      <c r="BA23" s="41">
        <f t="shared" si="15"/>
        <v>1.49</v>
      </c>
      <c r="BB23" s="273">
        <f t="shared" si="16"/>
        <v>1.605</v>
      </c>
      <c r="BC23" s="273">
        <f t="shared" si="17"/>
        <v>-12649.999999999998</v>
      </c>
      <c r="BD23" s="273">
        <f>BC23/'Master P&amp;L'!$AD$7*10000</f>
        <v>-5.0111702411285229E-2</v>
      </c>
    </row>
    <row r="24" spans="1:56" s="58" customFormat="1" ht="15.75" customHeight="1">
      <c r="A24" s="478"/>
      <c r="B24" s="396" t="s">
        <v>1258</v>
      </c>
      <c r="C24" s="58" t="str" cm="1">
        <f t="array" ref="C24">_xll.BDP($B24&amp;" Equity","opt_put_call")</f>
        <v>Put</v>
      </c>
      <c r="D24" s="58" t="str" cm="1">
        <f t="array" ref="D24">_xll.BDP(B24&amp;" Equity","OPT_UNDL_TICKER")</f>
        <v>JETS US</v>
      </c>
      <c r="E24" s="58" t="str" cm="1">
        <f t="array" ref="E24">_xll.BDP($B24&amp;" Equity","mifid_Maturity_date")</f>
        <v>20/03/2026</v>
      </c>
      <c r="F24" s="58" cm="1">
        <f t="array" ref="F24">_xll.BDP($B24&amp;" Equity","opt_days_expire")</f>
        <v>29</v>
      </c>
      <c r="G24" s="58" t="str" cm="1">
        <f t="array" ref="G24">_xll.BDP(B24&amp;" Equity","QUOTED_CURRENCY_REALTIME")</f>
        <v>USD</v>
      </c>
      <c r="H24" s="329">
        <v>250</v>
      </c>
      <c r="I24" s="336">
        <v>0.25</v>
      </c>
      <c r="J24" s="14"/>
      <c r="K24" s="14">
        <v>0.25</v>
      </c>
      <c r="L24" s="14" cm="1">
        <f t="array" ref="L24">_xll.BDP($B24&amp;" Equity","mid")</f>
        <v>0.3</v>
      </c>
      <c r="M24" s="125">
        <f t="shared" ref="M24" si="36">L24/Z24</f>
        <v>1.0302197802197802E-2</v>
      </c>
      <c r="N24" s="349"/>
      <c r="O24" s="125">
        <f t="shared" ref="O24" si="37">L24/K24-1</f>
        <v>0.19999999999999996</v>
      </c>
      <c r="P24" s="14" cm="1">
        <f t="array" ref="P24">_xll.BDP($B24&amp;" Equity","bid")</f>
        <v>0.27</v>
      </c>
      <c r="Q24" s="14" cm="1">
        <f t="array" ref="Q24">_xll.BDP($B24&amp;" Equity","ask")</f>
        <v>0.32</v>
      </c>
      <c r="R24" s="348">
        <f t="shared" ref="R24" si="38">(Q24/P24-1)</f>
        <v>0.18518518518518512</v>
      </c>
      <c r="S24" s="14" cm="1">
        <f t="array" ref="S24">_xll.BDP(G24&amp;" Curncy","PX_LAST")</f>
        <v>1</v>
      </c>
      <c r="T24" s="329" cm="1">
        <f t="array" ref="T24">_xll.BDP(B24&amp;" Equity","OPT_MULTIPLIER")</f>
        <v>100</v>
      </c>
      <c r="U24" s="329">
        <f t="shared" ref="U24" si="39">(L24/S24)*H24*T24</f>
        <v>7500</v>
      </c>
      <c r="V24" s="479">
        <f>U24/'Master P&amp;L'!$AD$7*10000</f>
        <v>2.9710495500761998E-2</v>
      </c>
      <c r="W24" s="479">
        <f>(Y24*H24*T24/S24)/'Master P&amp;L'!$AD$7*10000</f>
        <v>2.9710495500761998E-2</v>
      </c>
      <c r="X24" s="480">
        <f t="shared" ref="X24" si="40">IF(C24="Put",IF(Z24&lt;AA24,AA24-Z24,0),IF(Z24&gt;AA24,Z24-AA24,0))</f>
        <v>0</v>
      </c>
      <c r="Y24" s="481">
        <f t="shared" ref="Y24" si="41">L24-X24</f>
        <v>0.3</v>
      </c>
      <c r="Z24" s="482">
        <f>_xll.BDP(D24&amp;" Equity","LAST_PRICE")</f>
        <v>29.12</v>
      </c>
      <c r="AA24" s="482" cm="1">
        <f t="array" ref="AA24">_xll.BDP(B24&amp;" Equity","OPT_STRIKE_PX")</f>
        <v>26</v>
      </c>
      <c r="AB24" s="348">
        <f t="shared" ref="AB24" si="42">AA24/Z24-1</f>
        <v>-0.10714285714285721</v>
      </c>
      <c r="AC24" s="350" cm="1">
        <f t="array" ref="AC24">_xll.BDP($D24&amp;" Equity","volatility_10d")</f>
        <v>46.954477978832813</v>
      </c>
      <c r="AD24" s="482" cm="1">
        <f t="array" ref="AD24">_xll.BDP(B24&amp;" Equity","ivol_mid")</f>
        <v>41.824379999999998</v>
      </c>
      <c r="AE24" s="559">
        <f>AD24/AC24</f>
        <v>0.89074315806161286</v>
      </c>
      <c r="AF24" s="483" cm="1">
        <f t="array" ref="AF24">_xll.BDP(B24&amp;" Equity","DELTA_MID_RT")</f>
        <v>-0.15277642011642456</v>
      </c>
      <c r="AG24" s="125">
        <f>AL24/'Master P&amp;L'!$AE$7</f>
        <v>-4.4059172903118045E-5</v>
      </c>
      <c r="AH24" s="125">
        <f>AM24/'Master P&amp;L'!$AE$7</f>
        <v>-2.8838987632739645E-4</v>
      </c>
      <c r="AI24" s="553">
        <f>AO24/'Master P&amp;L'!$AD$7*10000</f>
        <v>-1.3491659721232667E-3</v>
      </c>
      <c r="AJ24" s="349">
        <f t="shared" ref="AJ24" si="43">(252*AI24)/$AI$1</f>
        <v>1.211540059702529E-2</v>
      </c>
      <c r="AK24" s="483">
        <f>AP24/'Master P&amp;L'!$AD$7*10000</f>
        <v>4.9517492501269991E-3</v>
      </c>
      <c r="AL24" s="329">
        <f t="shared" ref="AL24" si="44">Z24*AF24*H24*T24/S24</f>
        <v>-111221.23384475708</v>
      </c>
      <c r="AM24" s="329">
        <f t="shared" ref="AM24" si="45">IF(C24="Put",-Z24*H24*T24/S24,Z24*H24*T24/S24)</f>
        <v>-728000</v>
      </c>
      <c r="AN24" s="483" cm="1">
        <f t="array" ref="AN24">_xll.BDP($B24&amp;" Equity","theta_mid_rt")</f>
        <v>-1.3623124919831753E-2</v>
      </c>
      <c r="AO24" s="329">
        <f t="shared" ref="AO24" si="46">AN24*H24*T24/S24</f>
        <v>-340.57812299579382</v>
      </c>
      <c r="AP24" s="329">
        <f t="shared" ref="AP24" si="47">(L24-K24)*T24/S24*H24</f>
        <v>1249.9999999999998</v>
      </c>
      <c r="AQ24" s="14" t="str" cm="1">
        <f t="array" ref="AQ24">_xll.BDP($D24&amp;" Equity","EXPECTED_REPORT_DT")</f>
        <v>#N/A N/A</v>
      </c>
      <c r="AR24" s="112" cm="1">
        <f t="array" ref="AR24">_xll.BDP($B24&amp;" Equity","GAMMA_LAST")</f>
        <v>1.8992999999999999E-2</v>
      </c>
      <c r="AS24" s="58">
        <f t="shared" si="13"/>
        <v>4026.3944448000011</v>
      </c>
      <c r="AT24" s="58">
        <f t="shared" si="14"/>
        <v>20131.972224000005</v>
      </c>
      <c r="AU24" s="58" t="s">
        <v>95</v>
      </c>
      <c r="AV24" s="265" t="e" cm="1">
        <f t="array" ref="AV24">_xll.BDP($D24&amp;" Equity","EST_PE_NXT_YR")*(AA24/Z24)</f>
        <v>#VALUE!</v>
      </c>
      <c r="AX24" s="329"/>
      <c r="AY24" s="265">
        <v>0.28000000000000003</v>
      </c>
      <c r="AZ24" s="484"/>
      <c r="BA24" s="329">
        <f t="shared" ref="BA24" si="48">+AY24</f>
        <v>0.28000000000000003</v>
      </c>
      <c r="BB24" s="485">
        <f t="shared" ref="BB24" si="49">+J24</f>
        <v>0</v>
      </c>
      <c r="BC24" s="485">
        <f t="shared" ref="BC24" si="50">(BB24-BA24)*H24*100</f>
        <v>-7000</v>
      </c>
      <c r="BD24" s="485">
        <f>BC24/'Master P&amp;L'!$AD$7*10000</f>
        <v>-2.77297958007112E-2</v>
      </c>
    </row>
    <row r="25" spans="1:56" s="58" customFormat="1" ht="15.75" customHeight="1">
      <c r="A25" s="478"/>
      <c r="B25" t="s">
        <v>1260</v>
      </c>
      <c r="C25" s="58" t="str" cm="1">
        <f t="array" ref="C25">_xll.BDP($B25&amp;" Equity","opt_put_call")</f>
        <v>Call</v>
      </c>
      <c r="D25" s="58" t="str" cm="1">
        <f t="array" ref="D25">_xll.BDP(B25&amp;" Equity","OPT_UNDL_TICKER")</f>
        <v>QQQ US</v>
      </c>
      <c r="E25" s="58" t="str" cm="1">
        <f t="array" ref="E25">_xll.BDP($B25&amp;" Equity","mifid_Maturity_date")</f>
        <v>25/02/2026</v>
      </c>
      <c r="F25" s="58" cm="1">
        <f t="array" ref="F25">_xll.BDP($B25&amp;" Equity","opt_days_expire")</f>
        <v>6</v>
      </c>
      <c r="G25" s="58" t="str" cm="1">
        <f t="array" ref="G25">_xll.BDP(B25&amp;" Equity","QUOTED_CURRENCY_REALTIME")</f>
        <v>USD</v>
      </c>
      <c r="H25" s="329">
        <v>-400</v>
      </c>
      <c r="I25" s="336">
        <v>2.2200000000000002</v>
      </c>
      <c r="J25" s="14"/>
      <c r="K25" s="336">
        <v>2.2200000000000002</v>
      </c>
      <c r="L25" s="14" cm="1">
        <f t="array" ref="L25">_xll.BDP($B25&amp;" Equity","mid")</f>
        <v>1.67</v>
      </c>
      <c r="M25" s="125">
        <f t="shared" si="0"/>
        <v>2.7718118354705602E-3</v>
      </c>
      <c r="N25" s="349"/>
      <c r="O25" s="125">
        <f t="shared" si="1"/>
        <v>-0.24774774774774788</v>
      </c>
      <c r="P25" s="14" cm="1">
        <f t="array" ref="P25">_xll.BDP($B25&amp;" Equity","bid")</f>
        <v>1.66</v>
      </c>
      <c r="Q25" s="14" cm="1">
        <f t="array" ref="Q25">_xll.BDP($B25&amp;" Equity","ask")</f>
        <v>1.69</v>
      </c>
      <c r="R25" s="348">
        <f t="shared" si="2"/>
        <v>1.8072289156626509E-2</v>
      </c>
      <c r="S25" s="14" cm="1">
        <f t="array" ref="S25">_xll.BDP(G25&amp;" Curncy","PX_LAST")</f>
        <v>1</v>
      </c>
      <c r="T25" s="329" cm="1">
        <f t="array" ref="T25">_xll.BDP(B25&amp;" Equity","OPT_MULTIPLIER")</f>
        <v>100</v>
      </c>
      <c r="U25" s="329">
        <f t="shared" si="3"/>
        <v>-66800</v>
      </c>
      <c r="V25" s="479">
        <f>U25/'Master P&amp;L'!$AD$7*10000</f>
        <v>-0.26462147992678686</v>
      </c>
      <c r="W25" s="479">
        <f>(Y25*H25*T25/S25)/'Master P&amp;L'!$AD$7*10000</f>
        <v>-0.26462147992678686</v>
      </c>
      <c r="X25" s="480">
        <f t="shared" si="4"/>
        <v>0</v>
      </c>
      <c r="Y25" s="481">
        <f t="shared" si="5"/>
        <v>1.67</v>
      </c>
      <c r="Z25" s="482">
        <f>_xll.BDP(D25&amp;" Equity","LAST_PRICE")</f>
        <v>602.49400000000003</v>
      </c>
      <c r="AA25" s="482" cm="1">
        <f t="array" ref="AA25">_xll.BDP(B25&amp;" Equity","OPT_STRIKE_PX")</f>
        <v>615</v>
      </c>
      <c r="AB25" s="348">
        <f t="shared" si="6"/>
        <v>2.0757053182272278E-2</v>
      </c>
      <c r="AC25" s="350" cm="1">
        <f t="array" ref="AC25">_xll.BDP($D25&amp;" Equity","volatility_10d")</f>
        <v>18.243163962504607</v>
      </c>
      <c r="AD25" s="482" cm="1">
        <f t="array" ref="AD25">_xll.BDP(B25&amp;" Equity","ivol_mid")</f>
        <v>19.072399999999998</v>
      </c>
      <c r="AE25" s="482">
        <f t="shared" si="7"/>
        <v>1.0454546173678936</v>
      </c>
      <c r="AF25" s="483" cm="1">
        <f t="array" ref="AF25">_xll.BDP(B25&amp;" Equity","DELTA_MID_RT")</f>
        <v>0.20723667740821838</v>
      </c>
      <c r="AG25" s="125">
        <f>AL25/'Master P&amp;L'!$AE$7</f>
        <v>-1.9784631687151662E-3</v>
      </c>
      <c r="AH25" s="125">
        <f>AM25/'Master P&amp;L'!$AE$7</f>
        <v>-9.5468774806592525E-3</v>
      </c>
      <c r="AI25" s="553">
        <f>AO25/'Master P&amp;L'!$AD$7*10000</f>
        <v>5.6374698263064724E-2</v>
      </c>
      <c r="AJ25" s="349">
        <f t="shared" si="8"/>
        <v>-0.50624020106182488</v>
      </c>
      <c r="AK25" s="483">
        <f>AP25/'Master P&amp;L'!$AD$7*10000</f>
        <v>8.7150786802235244E-2</v>
      </c>
      <c r="AL25" s="329">
        <f t="shared" si="9"/>
        <v>-4994354.1887354851</v>
      </c>
      <c r="AM25" s="329">
        <f t="shared" si="10"/>
        <v>-24099760</v>
      </c>
      <c r="AN25" s="483" cm="1">
        <f t="array" ref="AN25">_xll.BDP($B25&amp;" Equity","theta_mid_rt")</f>
        <v>-0.3557751476764679</v>
      </c>
      <c r="AO25" s="329">
        <f t="shared" si="11"/>
        <v>14231.005907058716</v>
      </c>
      <c r="AP25" s="329">
        <f t="shared" si="12"/>
        <v>22000.000000000011</v>
      </c>
      <c r="AQ25" s="14" t="str" cm="1">
        <f t="array" ref="AQ25">_xll.BDP($D25&amp;" Equity","EXPECTED_REPORT_DT")</f>
        <v>#N/A N/A</v>
      </c>
      <c r="AR25" s="112" cm="1">
        <f t="array" ref="AR25">_xll.BDP($B25&amp;" Equity","GAMMA_LAST")</f>
        <v>0.119619</v>
      </c>
      <c r="AS25" s="58">
        <f t="shared" si="13"/>
        <v>-17368631.911074515</v>
      </c>
      <c r="AT25" s="58">
        <f t="shared" si="14"/>
        <v>-86843159.555372581</v>
      </c>
      <c r="AU25" s="58" t="s">
        <v>95</v>
      </c>
      <c r="AV25" s="265" t="e" cm="1">
        <f t="array" ref="AV25">_xll.BDP($D25&amp;" Equity","EST_PE_NXT_YR")*(AA25/Z25)</f>
        <v>#VALUE!</v>
      </c>
      <c r="AX25" s="329"/>
      <c r="AY25" s="265">
        <v>2.17</v>
      </c>
      <c r="AZ25" s="484"/>
      <c r="BA25" s="329">
        <f t="shared" si="15"/>
        <v>2.17</v>
      </c>
      <c r="BB25" s="485">
        <f t="shared" si="16"/>
        <v>0</v>
      </c>
      <c r="BC25" s="485">
        <f t="shared" si="17"/>
        <v>86800</v>
      </c>
      <c r="BD25" s="485">
        <f>BC25/'Master P&amp;L'!$AD$7*10000</f>
        <v>0.34384946792881882</v>
      </c>
    </row>
    <row r="26" spans="1:56" s="58" customFormat="1" ht="15.75" customHeight="1">
      <c r="A26" s="478"/>
      <c r="B26" s="396" t="s">
        <v>1250</v>
      </c>
      <c r="C26" s="58" t="str" cm="1">
        <f t="array" ref="C26">_xll.BDP($B26&amp;" Equity","opt_put_call")</f>
        <v>Put</v>
      </c>
      <c r="D26" s="58" t="str" cm="1">
        <f t="array" ref="D26">_xll.BDP(B26&amp;" Equity","OPT_UNDL_TICKER")</f>
        <v>QQQ US</v>
      </c>
      <c r="E26" s="58" t="str" cm="1">
        <f t="array" ref="E26">_xll.BDP($B26&amp;" Equity","mifid_Maturity_date")</f>
        <v>25/02/2026</v>
      </c>
      <c r="F26" s="58" cm="1">
        <f t="array" ref="F26">_xll.BDP($B26&amp;" Equity","opt_days_expire")</f>
        <v>6</v>
      </c>
      <c r="G26" s="58" t="str" cm="1">
        <f t="array" ref="G26">_xll.BDP(B26&amp;" Equity","QUOTED_CURRENCY_REALTIME")</f>
        <v>USD</v>
      </c>
      <c r="H26" s="329">
        <v>400</v>
      </c>
      <c r="I26" s="336">
        <v>3.78</v>
      </c>
      <c r="J26" s="14"/>
      <c r="K26" s="336">
        <v>3.78</v>
      </c>
      <c r="L26" s="14" cm="1">
        <f t="array" ref="L26">_xll.BDP($B26&amp;" Equity","mid")</f>
        <v>3.31</v>
      </c>
      <c r="M26" s="125">
        <f t="shared" ref="M26" si="51">L26/Z26</f>
        <v>5.4938306439566206E-3</v>
      </c>
      <c r="N26" s="349"/>
      <c r="O26" s="125">
        <f t="shared" ref="O26" si="52">L26/K26-1</f>
        <v>-0.1243386243386243</v>
      </c>
      <c r="P26" s="14" cm="1">
        <f t="array" ref="P26">_xll.BDP($B26&amp;" Equity","bid")</f>
        <v>3.29</v>
      </c>
      <c r="Q26" s="14" cm="1">
        <f t="array" ref="Q26">_xll.BDP($B26&amp;" Equity","ask")</f>
        <v>3.33</v>
      </c>
      <c r="R26" s="348">
        <f t="shared" ref="R26" si="53">(Q26/P26-1)</f>
        <v>1.2158054711246313E-2</v>
      </c>
      <c r="S26" s="14" cm="1">
        <f t="array" ref="S26">_xll.BDP(G26&amp;" Curncy","PX_LAST")</f>
        <v>1</v>
      </c>
      <c r="T26" s="329" cm="1">
        <f t="array" ref="T26">_xll.BDP(B26&amp;" Equity","OPT_MULTIPLIER")</f>
        <v>100</v>
      </c>
      <c r="U26" s="329">
        <f t="shared" ref="U26" si="54">(L26/S26)*H26*T26</f>
        <v>132400</v>
      </c>
      <c r="V26" s="479">
        <f>U26/'Master P&amp;L'!$AD$7*10000</f>
        <v>0.52448928057345179</v>
      </c>
      <c r="W26" s="479">
        <f>(Y26*H26*T26/S26)/'Master P&amp;L'!$AD$7*10000</f>
        <v>0.52448928057345179</v>
      </c>
      <c r="X26" s="480">
        <f t="shared" ref="X26" si="55">IF(C26="Put",IF(Z26&lt;AA26,AA26-Z26,0),IF(Z26&gt;AA26,Z26-AA26,0))</f>
        <v>0</v>
      </c>
      <c r="Y26" s="481">
        <f t="shared" ref="Y26" si="56">L26-X26</f>
        <v>3.31</v>
      </c>
      <c r="Z26" s="482">
        <f>_xll.BDP(D26&amp;" Equity","LAST_PRICE")</f>
        <v>602.49400000000003</v>
      </c>
      <c r="AA26" s="482" cm="1">
        <f t="array" ref="AA26">_xll.BDP(B26&amp;" Equity","OPT_STRIKE_PX")</f>
        <v>590</v>
      </c>
      <c r="AB26" s="348">
        <f t="shared" ref="AB26" si="57">AA26/Z26-1</f>
        <v>-2.0737135971478637E-2</v>
      </c>
      <c r="AC26" s="350" cm="1">
        <f t="array" ref="AC26">_xll.BDP($D26&amp;" Equity","volatility_10d")</f>
        <v>18.243163962504607</v>
      </c>
      <c r="AD26" s="482" cm="1">
        <f t="array" ref="AD26">_xll.BDP(B26&amp;" Equity","ivol_mid")</f>
        <v>27.061900000000001</v>
      </c>
      <c r="AE26" s="482">
        <f t="shared" ref="AE26" si="58">AD26/AC26</f>
        <v>1.4833994835337032</v>
      </c>
      <c r="AF26" s="483" cm="1">
        <f t="array" ref="AF26">_xll.BDP(B26&amp;" Equity","DELTA_MID_RT")</f>
        <v>-0.25975626707077026</v>
      </c>
      <c r="AG26" s="125">
        <f>AL26/'Master P&amp;L'!$AE$7</f>
        <v>-2.4798612565580472E-3</v>
      </c>
      <c r="AH26" s="125">
        <f>AM26/'Master P&amp;L'!$AE$7</f>
        <v>-9.5468774806592525E-3</v>
      </c>
      <c r="AI26" s="553">
        <f>AO26/'Master P&amp;L'!$AD$7*10000</f>
        <v>-9.2673518015074063E-2</v>
      </c>
      <c r="AJ26" s="349">
        <f t="shared" ref="AJ26" si="59">(252*AI26)/$AI$1</f>
        <v>0.83220064742759448</v>
      </c>
      <c r="AK26" s="483">
        <f>AP26/'Master P&amp;L'!$AD$7*10000</f>
        <v>-7.4474308721910021E-2</v>
      </c>
      <c r="AL26" s="329">
        <f t="shared" ref="AL26" si="60">Z26*AF26*H26*T26/S26</f>
        <v>-6260063.6949014664</v>
      </c>
      <c r="AM26" s="329">
        <f t="shared" ref="AM26" si="61">IF(C26="Put",-Z26*H26*T26/S26,Z26*H26*T26/S26)</f>
        <v>-24099760</v>
      </c>
      <c r="AN26" s="483" cm="1">
        <f t="array" ref="AN26">_xll.BDP($B26&amp;" Equity","theta_mid_rt")</f>
        <v>-0.5848534107208252</v>
      </c>
      <c r="AO26" s="329">
        <f t="shared" ref="AO26" si="62">AN26*H26*T26/S26</f>
        <v>-23394.136428833008</v>
      </c>
      <c r="AP26" s="329">
        <f t="shared" ref="AP26" si="63">(L26-K26)*T26/S26*H26</f>
        <v>-18799.999999999989</v>
      </c>
      <c r="AQ26" s="14" t="str" cm="1">
        <f t="array" ref="AQ26">_xll.BDP($D26&amp;" Equity","EXPECTED_REPORT_DT")</f>
        <v>#N/A N/A</v>
      </c>
      <c r="AR26" s="112" cm="1">
        <f t="array" ref="AR26">_xll.BDP($B26&amp;" Equity","GAMMA_LAST")</f>
        <v>9.3258999999999995E-2</v>
      </c>
      <c r="AS26" s="58">
        <f t="shared" si="13"/>
        <v>13541170.24381493</v>
      </c>
      <c r="AT26" s="58">
        <f t="shared" si="14"/>
        <v>67705851.219074652</v>
      </c>
      <c r="AU26" s="58" t="s">
        <v>95</v>
      </c>
      <c r="AV26" s="265" t="e" cm="1">
        <f t="array" ref="AV26">_xll.BDP($D26&amp;" Equity","EST_PE_NXT_YR")*(AA26/Z26)</f>
        <v>#VALUE!</v>
      </c>
      <c r="AX26" s="329"/>
      <c r="AY26" s="265">
        <v>3.13</v>
      </c>
      <c r="AZ26" s="484"/>
      <c r="BA26" s="329">
        <f t="shared" ref="BA26" si="64">+AY26</f>
        <v>3.13</v>
      </c>
      <c r="BB26" s="485">
        <f t="shared" ref="BB26" si="65">+J26</f>
        <v>0</v>
      </c>
      <c r="BC26" s="485">
        <f t="shared" ref="BC26" si="66">(BB26-BA26)*H26*100</f>
        <v>-125200</v>
      </c>
      <c r="BD26" s="485">
        <f>BC26/'Master P&amp;L'!$AD$7*10000</f>
        <v>-0.49596720489272028</v>
      </c>
    </row>
    <row r="27" spans="1:56" ht="15.75" customHeight="1">
      <c r="A27" s="263"/>
      <c r="B27" s="72" t="s">
        <v>820</v>
      </c>
      <c r="C27" s="72" t="str" cm="1">
        <f t="array" ref="C27">_xll.BDP($B27&amp;" Equity","opt_put_call")</f>
        <v>Call</v>
      </c>
      <c r="D27" s="72" t="str" cm="1">
        <f t="array" ref="D27">_xll.BDP(B27&amp;" Equity","OPT_UNDL_TICKER")</f>
        <v>TSM US</v>
      </c>
      <c r="E27" s="72" t="str" cm="1">
        <f t="array" ref="E27">_xll.BDP($B27&amp;" Equity","mifid_Maturity_date")</f>
        <v>18/06/2026</v>
      </c>
      <c r="F27" s="72" cm="1">
        <f t="array" ref="F27">_xll.BDP($B27&amp;" Equity","opt_days_expire")</f>
        <v>119</v>
      </c>
      <c r="G27" s="72" t="s">
        <v>137</v>
      </c>
      <c r="H27" s="41">
        <v>1550</v>
      </c>
      <c r="I27" s="334">
        <v>34.200000000000003</v>
      </c>
      <c r="J27" s="14">
        <f>VLOOKUP(B27,Precificação!$B:$O,14,FALSE)</f>
        <v>50.225000000000001</v>
      </c>
      <c r="K27" s="73">
        <f t="shared" si="18"/>
        <v>50.225000000000001</v>
      </c>
      <c r="L27" s="73" cm="1">
        <f t="array" ref="L27">_xll.BDP($B27&amp;" Equity","mid")</f>
        <v>48.5</v>
      </c>
      <c r="M27" s="74">
        <f t="shared" si="0"/>
        <v>0.13474093624114461</v>
      </c>
      <c r="N27" s="279"/>
      <c r="O27" s="74">
        <f t="shared" si="1"/>
        <v>-3.4345445495271298E-2</v>
      </c>
      <c r="P27" s="73" cm="1">
        <f t="array" ref="P27">_xll.BDP($B27&amp;" Equity","bid")</f>
        <v>47.05</v>
      </c>
      <c r="Q27" s="73" cm="1">
        <f t="array" ref="Q27">_xll.BDP($B27&amp;" Equity","ask")</f>
        <v>49.95</v>
      </c>
      <c r="R27" s="75">
        <f t="shared" si="2"/>
        <v>6.1636556854410385E-2</v>
      </c>
      <c r="S27" s="35" cm="1">
        <f t="array" ref="S27">_xll.BDP(G27&amp;" Curncy","PX_LAST")</f>
        <v>1</v>
      </c>
      <c r="T27" s="41" cm="1">
        <f t="array" ref="T27">_xll.BDP(B27&amp;" Equity","OPT_MULTIPLIER")</f>
        <v>100</v>
      </c>
      <c r="U27" s="41">
        <f t="shared" si="3"/>
        <v>7517500</v>
      </c>
      <c r="V27" s="111">
        <f>U27/'Master P&amp;L'!$AD$7*10000</f>
        <v>29.779819990263775</v>
      </c>
      <c r="W27" s="111">
        <f>(Y27*H27*T27/S27)/'Master P&amp;L'!$AD$7*10000</f>
        <v>17.530182695299612</v>
      </c>
      <c r="X27" s="116">
        <f t="shared" si="4"/>
        <v>19.949999999999989</v>
      </c>
      <c r="Y27" s="201">
        <f t="shared" si="5"/>
        <v>28.550000000000011</v>
      </c>
      <c r="Z27" s="76">
        <f>_xll.BDP(D27&amp;" Equity","LAST_PRICE")</f>
        <v>359.95</v>
      </c>
      <c r="AA27" s="76" cm="1">
        <f t="array" ref="AA27">_xll.BDP(B27&amp;" Equity","OPT_STRIKE_PX")</f>
        <v>340</v>
      </c>
      <c r="AB27" s="75">
        <f t="shared" si="6"/>
        <v>-5.5424364495068712E-2</v>
      </c>
      <c r="AC27" s="251" cm="1">
        <f t="array" ref="AC27">_xll.BDP($D27&amp;" Equity","volatility_10d")</f>
        <v>37.024857671150997</v>
      </c>
      <c r="AD27" s="76" cm="1">
        <f t="array" ref="AD27">_xll.BDP(B27&amp;" Equity","ivol_mid")</f>
        <v>44.203850000000003</v>
      </c>
      <c r="AE27" s="76">
        <f t="shared" si="7"/>
        <v>1.1938965543800788</v>
      </c>
      <c r="AF27" s="77" cm="1">
        <f t="array" ref="AF27">_xll.BDP(B27&amp;" Equity","DELTA_MID_RT")</f>
        <v>0.65028804540634155</v>
      </c>
      <c r="AG27" s="74">
        <f>AL27/'Master P&amp;L'!$AE$7</f>
        <v>1.4372366315878304E-2</v>
      </c>
      <c r="AH27" s="74">
        <f>AM27/'Master P&amp;L'!$AE$7</f>
        <v>2.2101538568031848E-2</v>
      </c>
      <c r="AI27" s="352">
        <f>AO27/'Master P&amp;L'!$AD$7*10000</f>
        <v>-8.8896312579151204E-2</v>
      </c>
      <c r="AJ27" s="277">
        <f t="shared" si="8"/>
        <v>0.79828165010701435</v>
      </c>
      <c r="AK27" s="77">
        <f>AP27/'Master P&amp;L'!$AD$7*10000</f>
        <v>-1.0591791646021662</v>
      </c>
      <c r="AL27" s="41">
        <f t="shared" si="9"/>
        <v>36281033.201321959</v>
      </c>
      <c r="AM27" s="41">
        <f t="shared" si="10"/>
        <v>55792250</v>
      </c>
      <c r="AN27" s="77" cm="1">
        <f t="array" ref="AN27">_xll.BDP($B27&amp;" Equity","theta_mid_rt")</f>
        <v>-0.14477828145027161</v>
      </c>
      <c r="AO27" s="41">
        <f t="shared" si="11"/>
        <v>-22440.633624792099</v>
      </c>
      <c r="AP27" s="41">
        <f t="shared" si="12"/>
        <v>-267375.00000000023</v>
      </c>
      <c r="AQ27" s="73" t="str" cm="1">
        <f t="array" ref="AQ27">_xll.BDP($D27&amp;" Equity","EXPECTED_REPORT_DT")</f>
        <v>17/04/2026</v>
      </c>
      <c r="AR27" s="189" cm="1">
        <f t="array" ref="AR27">_xll.BDP($B27&amp;" Equity","GAMMA_LAST")</f>
        <v>1.4408000000000001E-2</v>
      </c>
      <c r="AS27" s="72">
        <f t="shared" si="13"/>
        <v>2893475.1294309995</v>
      </c>
      <c r="AT27" s="72">
        <f t="shared" si="14"/>
        <v>14467375.647155</v>
      </c>
      <c r="AU27" s="72" t="s">
        <v>95</v>
      </c>
      <c r="AV27" s="250" cm="1">
        <f t="array" ref="AV27">_xll.BDP($D27&amp;" Equity","EST_PE_NXT_YR")*(AA27/Z27)</f>
        <v>17.806286877991653</v>
      </c>
      <c r="AW27" s="72"/>
      <c r="AX27" s="41"/>
      <c r="AY27" s="250">
        <v>49.4</v>
      </c>
      <c r="AZ27" s="281"/>
      <c r="BA27" s="41">
        <f t="shared" si="15"/>
        <v>49.4</v>
      </c>
      <c r="BB27" s="273">
        <f t="shared" si="16"/>
        <v>50.225000000000001</v>
      </c>
      <c r="BC27" s="273">
        <f t="shared" si="17"/>
        <v>127875.00000000044</v>
      </c>
      <c r="BD27" s="273">
        <f>BC27/'Master P&amp;L'!$AD$7*10000</f>
        <v>0.50656394828799378</v>
      </c>
    </row>
    <row r="28" spans="1:56" ht="15.75" customHeight="1">
      <c r="A28" s="283"/>
      <c r="B28" t="s">
        <v>821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18/06/2026</v>
      </c>
      <c r="F28" cm="1">
        <f t="array" ref="F28">_xll.BDP($B28&amp;" Equity","opt_days_expire")</f>
        <v>119</v>
      </c>
      <c r="G28" t="str" cm="1">
        <f t="array" ref="G28">_xll.BDP(B28&amp;" Equity","QUOTED_CURRENCY_REALTIME")</f>
        <v>USD</v>
      </c>
      <c r="H28" s="15">
        <v>-1275</v>
      </c>
      <c r="I28" s="335">
        <v>19.54</v>
      </c>
      <c r="J28" s="14">
        <f>VLOOKUP(B28,Precificação!$B:$O,14,FALSE)</f>
        <v>30.575000000000003</v>
      </c>
      <c r="K28" s="73">
        <f t="shared" si="18"/>
        <v>30.575000000000003</v>
      </c>
      <c r="L28" s="35" cm="1">
        <f t="array" ref="L28">_xll.BDP($B28&amp;" Equity","mid")</f>
        <v>28.75</v>
      </c>
      <c r="M28" s="18">
        <f t="shared" si="0"/>
        <v>7.9872204472843447E-2</v>
      </c>
      <c r="N28" s="277"/>
      <c r="O28" s="18">
        <f t="shared" si="1"/>
        <v>-5.96892886345054E-2</v>
      </c>
      <c r="P28" s="35" cm="1">
        <f t="array" ref="P28">_xll.BDP($B28&amp;" Equity","bid")</f>
        <v>27.95</v>
      </c>
      <c r="Q28" s="35" cm="1">
        <f t="array" ref="Q28">_xll.BDP($B28&amp;" Equity","ask")</f>
        <v>29.55</v>
      </c>
      <c r="R28" s="39">
        <f t="shared" si="2"/>
        <v>5.7245080500894607E-2</v>
      </c>
      <c r="S28" s="35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3"/>
        <v>-3665625</v>
      </c>
      <c r="V28" s="122">
        <f>U28/'Master P&amp;L'!$AD$7*10000</f>
        <v>-14.521004675997427</v>
      </c>
      <c r="W28" s="122">
        <f>(Y28*H28*T28/S28)/'Master P&amp;L'!$AD$7*10000</f>
        <v>-14.521004675997427</v>
      </c>
      <c r="X28" s="338">
        <f t="shared" si="4"/>
        <v>0</v>
      </c>
      <c r="Y28" s="202">
        <f t="shared" si="5"/>
        <v>28.75</v>
      </c>
      <c r="Z28" s="36">
        <f>_xll.BDP(D28&amp;" Equity","LAST_PRICE")</f>
        <v>359.95</v>
      </c>
      <c r="AA28" s="36" cm="1">
        <f t="array" ref="AA28">_xll.BDP(B28&amp;" Equity","OPT_STRIKE_PX")</f>
        <v>380</v>
      </c>
      <c r="AB28" s="39">
        <f t="shared" si="6"/>
        <v>5.5702180858452577E-2</v>
      </c>
      <c r="AC28" s="252" cm="1">
        <f t="array" ref="AC28">_xll.BDP($D28&amp;" Equity","volatility_10d")</f>
        <v>37.024857671150997</v>
      </c>
      <c r="AD28" s="36" cm="1">
        <f t="array" ref="AD28">_xll.BDP(B28&amp;" Equity","ivol_mid")</f>
        <v>43.542990000000003</v>
      </c>
      <c r="AE28" s="36">
        <f t="shared" si="7"/>
        <v>1.1760474648340864</v>
      </c>
      <c r="AF28" s="37" cm="1">
        <f t="array" ref="AF28">_xll.BDP(B28&amp;" Equity","DELTA_MID_RT")</f>
        <v>0.47719541192054749</v>
      </c>
      <c r="AG28" s="18">
        <f>AL28/'Master P&amp;L'!$AE$7</f>
        <v>-8.675554723444211E-3</v>
      </c>
      <c r="AH28" s="18">
        <f>AM28/'Master P&amp;L'!$AE$7</f>
        <v>-1.8180297854348777E-2</v>
      </c>
      <c r="AI28" s="351">
        <f>AO28/'Master P&amp;L'!$AD$7*10000</f>
        <v>7.5841620103040727E-2</v>
      </c>
      <c r="AJ28" s="277">
        <f t="shared" si="8"/>
        <v>-0.68105157442541397</v>
      </c>
      <c r="AK28" s="37">
        <f>AP28/'Master P&amp;L'!$AD$7*10000</f>
        <v>0.9217681229111423</v>
      </c>
      <c r="AL28" s="15">
        <f t="shared" si="9"/>
        <v>-21900227.286402136</v>
      </c>
      <c r="AM28" s="15">
        <f t="shared" si="10"/>
        <v>-45893625</v>
      </c>
      <c r="AN28" s="37" cm="1">
        <f t="array" ref="AN28">_xll.BDP($B28&amp;" Equity","theta_mid_rt")</f>
        <v>-0.1501581072807312</v>
      </c>
      <c r="AO28" s="15">
        <f t="shared" si="11"/>
        <v>19145.158678293228</v>
      </c>
      <c r="AP28" s="15">
        <f t="shared" si="12"/>
        <v>232687.50000000035</v>
      </c>
      <c r="AQ28" s="35" t="str" cm="1">
        <f t="array" ref="AQ28">_xll.BDP($D28&amp;" Equity","EXPECTED_REPORT_DT")</f>
        <v>17/04/2026</v>
      </c>
      <c r="AR28" s="65" cm="1">
        <f t="array" ref="AR28">_xll.BDP($B28&amp;" Equity","GAMMA_LAST")</f>
        <v>1.5927E-2</v>
      </c>
      <c r="AS28">
        <f t="shared" si="13"/>
        <v>-2631046.4814673122</v>
      </c>
      <c r="AT28">
        <f t="shared" si="14"/>
        <v>-13155232.407336563</v>
      </c>
      <c r="AU28" t="s">
        <v>95</v>
      </c>
      <c r="AV28" s="206" cm="1">
        <f t="array" ref="AV28">_xll.BDP($D28&amp;" Equity","EST_PE_NXT_YR")*(AA28/Z28)</f>
        <v>19.901144157755375</v>
      </c>
      <c r="AX28" s="15"/>
      <c r="AY28" s="206">
        <v>29.27</v>
      </c>
      <c r="AZ28" s="282"/>
      <c r="BA28" s="15">
        <f t="shared" si="15"/>
        <v>29.27</v>
      </c>
      <c r="BB28" s="339">
        <f t="shared" si="16"/>
        <v>30.575000000000003</v>
      </c>
      <c r="BC28" s="339">
        <f t="shared" si="17"/>
        <v>-166387.50000000041</v>
      </c>
      <c r="BD28" s="339">
        <f>BC28/'Master P&amp;L'!$AD$7*10000</f>
        <v>-0.65912734268440643</v>
      </c>
    </row>
    <row r="29" spans="1:56">
      <c r="H29" s="264"/>
      <c r="I29" s="174"/>
      <c r="J29" s="174"/>
      <c r="K29" s="174"/>
      <c r="L29" s="174"/>
    </row>
    <row r="30" spans="1:56">
      <c r="H30" s="35">
        <v>-1275</v>
      </c>
      <c r="I30" s="174"/>
      <c r="J30" s="174"/>
      <c r="K30" s="174"/>
      <c r="L30" s="174"/>
      <c r="AK30" s="49">
        <f>AK27+AK28</f>
        <v>-0.13741104169102392</v>
      </c>
      <c r="AY30">
        <v>3.0199999999999996</v>
      </c>
    </row>
    <row r="31" spans="1:56">
      <c r="I31" s="174"/>
      <c r="J31" s="174"/>
      <c r="K31" s="174"/>
      <c r="L31" s="174"/>
      <c r="AY31">
        <v>4.1000000000000005</v>
      </c>
    </row>
    <row r="33" spans="8:10">
      <c r="H33" s="329">
        <v>375</v>
      </c>
      <c r="I33" s="336">
        <v>5.23</v>
      </c>
      <c r="J33" s="332">
        <f>H33*I33</f>
        <v>1961.2500000000002</v>
      </c>
    </row>
    <row r="34" spans="8:10">
      <c r="H34" s="329">
        <v>-375</v>
      </c>
      <c r="I34" s="336">
        <v>1.43</v>
      </c>
      <c r="J34" s="332">
        <f t="shared" ref="J34:J40" si="67">H34*I34</f>
        <v>-536.25</v>
      </c>
    </row>
    <row r="35" spans="8:10">
      <c r="H35" s="41"/>
      <c r="I35" s="334"/>
      <c r="J35" s="332">
        <f t="shared" si="67"/>
        <v>0</v>
      </c>
    </row>
    <row r="36" spans="8:10">
      <c r="H36" s="329"/>
      <c r="I36" s="330"/>
      <c r="J36" s="332">
        <f t="shared" si="67"/>
        <v>0</v>
      </c>
    </row>
    <row r="37" spans="8:10">
      <c r="H37" s="15">
        <v>725</v>
      </c>
      <c r="I37" s="335">
        <v>7.98</v>
      </c>
      <c r="J37" s="332">
        <f t="shared" si="67"/>
        <v>5785.5</v>
      </c>
    </row>
    <row r="38" spans="8:10">
      <c r="H38" s="41">
        <v>-725</v>
      </c>
      <c r="I38" s="334">
        <v>2.54</v>
      </c>
      <c r="J38" s="332">
        <f t="shared" si="67"/>
        <v>-1841.5</v>
      </c>
    </row>
    <row r="39" spans="8:10">
      <c r="H39" s="329"/>
      <c r="I39" s="336"/>
      <c r="J39" s="332">
        <f t="shared" si="67"/>
        <v>0</v>
      </c>
    </row>
    <row r="40" spans="8:10">
      <c r="H40" s="275"/>
      <c r="I40" s="331"/>
      <c r="J40" s="332">
        <f t="shared" si="67"/>
        <v>0</v>
      </c>
    </row>
    <row r="42" spans="8:10">
      <c r="H42" s="275">
        <f>H33+H37</f>
        <v>1100</v>
      </c>
      <c r="I42" s="331">
        <f>J42/H42</f>
        <v>7.0425000000000004</v>
      </c>
      <c r="J42" s="333">
        <f>J33+J37</f>
        <v>7746.75</v>
      </c>
    </row>
    <row r="43" spans="8:10">
      <c r="H43" s="275">
        <f>H34+H38</f>
        <v>-1100</v>
      </c>
      <c r="I43" s="331">
        <f>J43/H43</f>
        <v>2.1615909090909091</v>
      </c>
      <c r="J43" s="333">
        <f>J34+J38</f>
        <v>-2377.75</v>
      </c>
    </row>
    <row r="44" spans="8:10">
      <c r="H44" s="275">
        <f>H35+H39</f>
        <v>0</v>
      </c>
      <c r="I44" s="331" t="e">
        <f>J44/H44</f>
        <v>#DIV/0!</v>
      </c>
      <c r="J44" s="333">
        <f>J35+J39</f>
        <v>0</v>
      </c>
    </row>
    <row r="45" spans="8:10">
      <c r="H45" s="275">
        <f>H36+H40</f>
        <v>0</v>
      </c>
      <c r="I45" s="331" t="e">
        <f>J45/H45</f>
        <v>#DIV/0!</v>
      </c>
      <c r="J45" s="333">
        <f>J36+J40</f>
        <v>0</v>
      </c>
    </row>
  </sheetData>
  <autoFilter ref="A3:BD29" xr:uid="{0428720F-9028-4D6D-9843-ED7DFFC9E1CA}">
    <sortState xmlns:xlrd2="http://schemas.microsoft.com/office/spreadsheetml/2017/richdata2" ref="A4:BD31">
      <sortCondition ref="D3:D29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tabSelected="1" zoomScale="85" zoomScaleNormal="85" workbookViewId="0">
      <pane xSplit="2" ySplit="3" topLeftCell="C56" activePane="bottomRight" state="frozen"/>
      <selection pane="topRight" activeCell="C1" sqref="C1"/>
      <selection pane="bottomLeft" activeCell="A4" sqref="A4"/>
      <selection pane="bottomRight" activeCell="B95" sqref="B95:B96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1033</v>
      </c>
      <c r="B5" s="98"/>
      <c r="I5" s="63"/>
      <c r="K5" s="63">
        <f>K10-K16</f>
        <v>-4.67</v>
      </c>
      <c r="P5" s="196"/>
      <c r="Q5">
        <f>Q9/Q15-1</f>
        <v>-0.95631641086186536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248.10235947370529</v>
      </c>
    </row>
    <row r="7" spans="1:41" outlineLevel="1">
      <c r="A7" s="404">
        <f>P7/Y7</f>
        <v>4.146341186676486E-2</v>
      </c>
      <c r="B7" t="s">
        <v>1084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1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1.3</v>
      </c>
      <c r="J7" s="18">
        <f>I7/S7</f>
        <v>2.0574340631948785E-3</v>
      </c>
      <c r="K7" s="35" cm="1">
        <f t="array" ref="K7">_xll.BDP($B7&amp;" Equity","bid")</f>
        <v>0.05</v>
      </c>
      <c r="L7" s="35" cm="1">
        <f t="array" ref="L7">_xll.BDP($B7&amp;" Equity","ask")</f>
        <v>1.3</v>
      </c>
      <c r="M7" s="39">
        <f>(L7/K7-1)</f>
        <v>25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6500</v>
      </c>
      <c r="Q7" s="57">
        <f>P7/'Master P&amp;L'!$AD$5*10000</f>
        <v>2.7419676139480969E-2</v>
      </c>
      <c r="R7" s="36" cm="1">
        <f t="array" ref="R7">_xll.BDP($C7&amp;" Equity","EST_PE_NXT_YR")*(T7/S7)</f>
        <v>49.483088374715898</v>
      </c>
      <c r="S7" s="35" cm="1">
        <f t="array" ref="S7">_xll.BDP(C7&amp;" Equity","LAST_PRICE")</f>
        <v>631.85500000000002</v>
      </c>
      <c r="T7" s="52" cm="1">
        <f t="array" ref="T7">_xll.BDP(B7&amp;" Equity","OPT_STRIKE_PX")</f>
        <v>690</v>
      </c>
      <c r="U7" s="39">
        <f>T7/S7-1</f>
        <v>9.2022695080358652E-2</v>
      </c>
      <c r="V7" s="36" cm="1">
        <f t="array" ref="V7">_xll.BDP($B7&amp;" Equity","ivol_mid")</f>
        <v>93.096980000000002</v>
      </c>
      <c r="W7" s="37" cm="1">
        <f t="array" ref="W7">_xll.BDP(B7&amp;" Equity","DELTA_MID_RT")</f>
        <v>4.9620471894741058E-2</v>
      </c>
      <c r="X7" s="47">
        <f>Y7/'Master P&amp;L'!$AE$5</f>
        <v>6.6129811573608843E-5</v>
      </c>
      <c r="Y7" s="15">
        <f>IF(G7="Sell", S7*W7*-H7*O7/N7, S7*W7*H7*O7/N7)</f>
        <v>156764.71634525806</v>
      </c>
      <c r="Z7" s="15">
        <f>_xll.BDP($B7&amp;" Equity","opt_theta")*H7*O7/N7</f>
        <v>-2463.2150000000001</v>
      </c>
      <c r="AA7" s="18">
        <f>_xll.BDP($B7&amp;" Equity","opt_theta")/I7</f>
        <v>-0.37895615384615383</v>
      </c>
      <c r="AB7" s="35" t="str" cm="1">
        <f t="array" ref="AB7">_xll.BDP($C7&amp;" Equity","EXPECTED_REPORT_DT")</f>
        <v>06/05/2026</v>
      </c>
      <c r="AC7" s="15">
        <f>S7*H7*O7/N7</f>
        <v>3159275</v>
      </c>
      <c r="AD7" s="18">
        <f>AC7/'Master P&amp;L'!$AE$5</f>
        <v>1.3327122667009036E-3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507</v>
      </c>
      <c r="AO7" t="s">
        <v>95</v>
      </c>
    </row>
    <row r="8" spans="1:41" outlineLevel="1">
      <c r="A8" s="97" t="s">
        <v>189</v>
      </c>
      <c r="B8" t="s">
        <v>1083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1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1.25</v>
      </c>
      <c r="J8" s="18">
        <f>I8/S8</f>
        <v>1.9783019838412294E-3</v>
      </c>
      <c r="K8" s="35" cm="1">
        <f t="array" ref="K8">_xll.BDP($B8&amp;" Equity","bid")</f>
        <v>1.25</v>
      </c>
      <c r="L8" s="35" cm="1">
        <f t="array" ref="L8">_xll.BDP($B8&amp;" Equity","ask")</f>
        <v>1.8</v>
      </c>
      <c r="M8" s="39">
        <f>(L8/K8-1)</f>
        <v>0.43999999999999995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-1875</v>
      </c>
      <c r="Q8" s="57">
        <f>P8/'Master P&amp;L'!$AD$5*10000</f>
        <v>-7.9095219633118184E-3</v>
      </c>
      <c r="R8" s="36" cm="1">
        <f t="array" ref="R8">_xll.BDP($C8&amp;" Equity","EST_PE_NXT_YR")*(T8/S8)</f>
        <v>48.765942166386679</v>
      </c>
      <c r="S8" s="35" cm="1">
        <f t="array" ref="S8">_xll.BDP(C8&amp;" Equity","LAST_PRICE")</f>
        <v>631.85500000000002</v>
      </c>
      <c r="T8" s="52" cm="1">
        <f t="array" ref="T8">_xll.BDP(B8&amp;" Equity","OPT_STRIKE_PX")</f>
        <v>680</v>
      </c>
      <c r="U8" s="39">
        <f>T8/S8-1</f>
        <v>7.6196279209628681E-2</v>
      </c>
      <c r="V8" s="36" cm="1">
        <f t="array" ref="V8">_xll.BDP($B8&amp;" Equity","ivol_mid")</f>
        <v>89.220249999999993</v>
      </c>
      <c r="W8" s="37" cm="1">
        <f t="array" ref="W8">_xll.BDP(B8&amp;" Equity","DELTA_MID_RT")</f>
        <v>9.5556385815143585E-2</v>
      </c>
      <c r="X8" s="47">
        <f>Y8/'Master P&amp;L'!$AE$5</f>
        <v>-3.8204750261233831E-5</v>
      </c>
      <c r="Y8" s="15">
        <f>IF(G8="Sell", S8*W8*-H8*O8/N8, S8*W8*H8*O8/N8)</f>
        <v>-90566.67023884134</v>
      </c>
      <c r="Z8" s="15" cm="1">
        <f t="array" ref="Z8">_xll.BDP($B8&amp;" Equity","opt_theta")*H8*O8/N8</f>
        <v>-1486.0605</v>
      </c>
      <c r="AA8" s="18" cm="1">
        <f t="array" ref="AA8">_xll.BDP($B8&amp;" Equity","opt_theta")/I8</f>
        <v>-0.79256559999999998</v>
      </c>
      <c r="AB8" s="35" t="str" cm="1">
        <f t="array" ref="AB8">_xll.BDP($C8&amp;" Equity","EXPECTED_REPORT_DT")</f>
        <v>06/05/2026</v>
      </c>
      <c r="AC8" s="15">
        <f>S8*H8*O8/N8</f>
        <v>947782.50000000012</v>
      </c>
      <c r="AD8" s="18">
        <f>AC8/'Master P&amp;L'!$AE$5</f>
        <v>3.9981368001027113E-4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5.0000000000000044E-2</v>
      </c>
      <c r="J9" s="99" t="s">
        <v>192</v>
      </c>
      <c r="K9" s="100">
        <f>K8/L7</f>
        <v>0.96153846153846145</v>
      </c>
      <c r="P9" s="99" t="s">
        <v>193</v>
      </c>
      <c r="Q9" s="106">
        <f>Q7+Q8</f>
        <v>1.951015417616915E-2</v>
      </c>
      <c r="S9" s="99" t="s">
        <v>194</v>
      </c>
      <c r="T9" s="101">
        <f>T8-T7</f>
        <v>-10</v>
      </c>
      <c r="W9" s="99" t="s">
        <v>195</v>
      </c>
      <c r="X9" s="120">
        <f>X7+X8</f>
        <v>2.7925061312375012E-5</v>
      </c>
      <c r="Y9" s="13">
        <f>Y7+Y8</f>
        <v>66198.046106416718</v>
      </c>
      <c r="AC9" s="99" t="s">
        <v>172</v>
      </c>
      <c r="AD9" s="120">
        <f>AD7</f>
        <v>1.3327122667009036E-3</v>
      </c>
      <c r="AO9" t="s">
        <v>95</v>
      </c>
    </row>
    <row r="10" spans="1:41" outlineLevel="1">
      <c r="H10" s="99" t="s">
        <v>196</v>
      </c>
      <c r="I10" s="101">
        <f>(T9-I9)/I9</f>
        <v>-200.99999999999983</v>
      </c>
      <c r="J10" s="99" t="s">
        <v>90</v>
      </c>
      <c r="K10" s="178">
        <f>AVERAGE(K7:L7)-AVERAGE(K8:L8)</f>
        <v>-0.84999999999999987</v>
      </c>
      <c r="L10" s="17"/>
      <c r="P10" s="127">
        <f>P7+P8</f>
        <v>4625</v>
      </c>
      <c r="Q10" s="106"/>
      <c r="S10" s="99"/>
      <c r="T10" s="101"/>
      <c r="W10" s="99"/>
      <c r="X10" s="120"/>
      <c r="Y10" s="13">
        <f>Y9/S7</f>
        <v>104.76778075098989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7.9132079353649073E-5</v>
      </c>
      <c r="K11" s="135">
        <f>K7-K8</f>
        <v>-1.2</v>
      </c>
      <c r="L11" s="135">
        <f>L7-L8</f>
        <v>-0.5</v>
      </c>
      <c r="P11" s="39">
        <f>P10/Y9</f>
        <v>6.9866110437233717E-2</v>
      </c>
      <c r="Q11" s="63">
        <f>Q9*I10</f>
        <v>-3.921540989409996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3.6149865060809694E-4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1060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29</v>
      </c>
      <c r="F13" s="58" t="str" cm="1">
        <f t="array" ref="F13">_xll.BDP(B13&amp;" Equity","QUOTED_CURRENCY_REALTIME")</f>
        <v>USD</v>
      </c>
      <c r="G13" s="103" t="s">
        <v>190</v>
      </c>
      <c r="H13" s="95">
        <v>275</v>
      </c>
      <c r="I13" s="96">
        <f>IF(G13="Buy",L13,K13)</f>
        <v>5.25</v>
      </c>
      <c r="J13" s="18">
        <f>I13/S13</f>
        <v>2.8125251118313557E-2</v>
      </c>
      <c r="K13" s="35" cm="1">
        <f t="array" ref="K13">_xll.BDP($B13&amp;" Equity","bid")</f>
        <v>5.2</v>
      </c>
      <c r="L13" s="35" cm="1">
        <f t="array" ref="L13">_xll.BDP($B13&amp;" Equity","ask")</f>
        <v>5.25</v>
      </c>
      <c r="M13" s="39">
        <f>(L13/K13-1)</f>
        <v>9.6153846153845812E-3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144375</v>
      </c>
      <c r="Q13" s="57">
        <f>P13/'Master P&amp;L'!$AD$5*10000</f>
        <v>0.60903319117500998</v>
      </c>
      <c r="R13" s="36" cm="1">
        <f t="array" ref="R13">_xll.BDP($C13&amp;" Equity","EST_PE_NXT_YR")*(T13/S13)</f>
        <v>25.676382407725029</v>
      </c>
      <c r="S13" s="35" cm="1">
        <f t="array" ref="S13">_xll.BDP(C13&amp;" Equity","LAST_PRICE")</f>
        <v>186.66499999999999</v>
      </c>
      <c r="T13" s="52" cm="1">
        <f t="array" ref="T13">_xll.BDP(B13&amp;" Equity","OPT_STRIKE_PX")</f>
        <v>200</v>
      </c>
      <c r="U13" s="39">
        <f>T13/S13-1</f>
        <v>7.1438137840516447E-2</v>
      </c>
      <c r="V13" s="36" cm="1">
        <f t="array" ref="V13">_xll.BDP($B13&amp;" Equity","ivol_mid")</f>
        <v>46.56617</v>
      </c>
      <c r="W13" s="37" cm="1">
        <f t="array" ref="W13">_xll.BDP(B13&amp;" Equity","DELTA_MID_RT")</f>
        <v>0.3364851176738739</v>
      </c>
      <c r="X13" s="47">
        <f>Y13/'Master P&amp;L'!$AE$5</f>
        <v>7.286356453769725E-4</v>
      </c>
      <c r="Y13" s="15">
        <f>IF(G13="Sell", S13*W13*-H13*O13/N13, S13*W13*H13*O13/N13)</f>
        <v>1727274.848491326</v>
      </c>
      <c r="Z13" s="15" cm="1">
        <f t="array" ref="Z13">_xll.BDP($B13&amp;" Equity","opt_theta")*H13*O13/N13</f>
        <v>-4142.3525</v>
      </c>
      <c r="AA13" s="18" cm="1">
        <f t="array" ref="AA13">_xll.BDP($B13&amp;" Equity","opt_theta")/I13</f>
        <v>-2.8691619047619046E-2</v>
      </c>
      <c r="AB13" s="35" t="str" cm="1">
        <f t="array" ref="AB13">_xll.BDP($C13&amp;" Equity","EXPECTED_REPORT_DT")</f>
        <v>25/02/2026</v>
      </c>
      <c r="AC13" s="15">
        <f>S13*H13*O13/N13</f>
        <v>5133287.5</v>
      </c>
      <c r="AD13" s="18">
        <f>AC13/'Master P&amp;L'!$AE$5</f>
        <v>2.165432012013014E-3</v>
      </c>
      <c r="AE13" t="str">
        <f>B13  &amp; " - Buy to open " &amp;  "-" &amp; H13 &amp;"x"</f>
        <v>NVDA US 03/20/26 C200 - Buy to open -275x</v>
      </c>
      <c r="AF13">
        <f>H13*$AF$3</f>
        <v>68.75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t="s">
        <v>1061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29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275</v>
      </c>
      <c r="I14" s="96">
        <f>IF(G14="Buy",L14,K14)</f>
        <v>1.4</v>
      </c>
      <c r="J14" s="18">
        <f>I14/S14</f>
        <v>7.5000669648836145E-3</v>
      </c>
      <c r="K14" s="35" cm="1">
        <f t="array" ref="K14">_xll.BDP($B14&amp;" Equity","bid")</f>
        <v>1.4</v>
      </c>
      <c r="L14" s="35" cm="1">
        <f t="array" ref="L14">_xll.BDP($B14&amp;" Equity","ask")</f>
        <v>1.41</v>
      </c>
      <c r="M14" s="39">
        <f>(L14/K14-1)</f>
        <v>7.1428571428571175E-3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-38500</v>
      </c>
      <c r="Q14" s="57">
        <f>P14/'Master P&amp;L'!$AD$5*10000</f>
        <v>-0.16240885098000266</v>
      </c>
      <c r="R14" s="36" cm="1">
        <f t="array" ref="R14">_xll.BDP($C14&amp;" Equity","EST_PE_NXT_YR")*(T14/S14)</f>
        <v>28.244020648497532</v>
      </c>
      <c r="S14" s="35" cm="1">
        <f t="array" ref="S14">_xll.BDP(C14&amp;" Equity","LAST_PRICE")</f>
        <v>186.66499999999999</v>
      </c>
      <c r="T14" s="52" cm="1">
        <f t="array" ref="T14">_xll.BDP(B14&amp;" Equity","OPT_STRIKE_PX")</f>
        <v>220</v>
      </c>
      <c r="U14" s="39">
        <f>T14/S14-1</f>
        <v>0.17858195162456814</v>
      </c>
      <c r="V14" s="36" cm="1">
        <f t="array" ref="V14">_xll.BDP($B14&amp;" Equity","ivol_mid")</f>
        <v>45.479489999999998</v>
      </c>
      <c r="W14" s="37" cm="1">
        <f t="array" ref="W14">_xll.BDP(B14&amp;" Equity","DELTA_MID_RT")</f>
        <v>0.12251947820186615</v>
      </c>
      <c r="X14" s="47">
        <f>Y14/'Master P&amp;L'!$AE$5</f>
        <v>-2.6530760019345163E-4</v>
      </c>
      <c r="Y14" s="15">
        <f>IF(G14="Sell", S14*W14*-H14*O14/N14, S14*W14*H14*O14/N14)</f>
        <v>-628927.70596016198</v>
      </c>
      <c r="Z14" s="15" cm="1">
        <f t="array" ref="Z14">_xll.BDP($B14&amp;" Equity","opt_theta")*H14*O14/N14</f>
        <v>-2232.67</v>
      </c>
      <c r="AA14" s="18" cm="1">
        <f t="array" ref="AA14">_xll.BDP($B14&amp;" Equity","opt_theta")/I14</f>
        <v>-5.7991428571428576E-2</v>
      </c>
      <c r="AB14" s="35" t="str" cm="1">
        <f t="array" ref="AB14">_xll.BDP($C14&amp;" Equity","EXPECTED_REPORT_DT")</f>
        <v>25/02/2026</v>
      </c>
      <c r="AC14" s="15">
        <f>S14*H14*O14/N14</f>
        <v>5133287.5</v>
      </c>
      <c r="AD14" s="18">
        <f>AC14/'Master P&amp;L'!$AE$5</f>
        <v>2.165432012013014E-3</v>
      </c>
      <c r="AE14" t="str">
        <f>B14  &amp; " - Buy to open " &amp;  "-" &amp; H14 &amp;"x"</f>
        <v>NVDA US 03/20/26 C220 - Buy to open -275x</v>
      </c>
      <c r="AF14">
        <f>H14*$AF$3</f>
        <v>68.75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3.85</v>
      </c>
      <c r="J15" s="99" t="s">
        <v>192</v>
      </c>
      <c r="K15" s="100">
        <f>K14/L13</f>
        <v>0.26666666666666666</v>
      </c>
      <c r="P15" s="99" t="s">
        <v>193</v>
      </c>
      <c r="Q15" s="106">
        <f>Q13+Q14</f>
        <v>0.4466243401950073</v>
      </c>
      <c r="S15" s="99" t="s">
        <v>194</v>
      </c>
      <c r="T15" s="101">
        <f>T14-T13</f>
        <v>20</v>
      </c>
      <c r="W15" s="99" t="s">
        <v>195</v>
      </c>
      <c r="X15" s="120">
        <f>X13+X14</f>
        <v>4.6332804518352087E-4</v>
      </c>
      <c r="Y15" s="13">
        <f>Y13+Y14</f>
        <v>1098347.142531164</v>
      </c>
      <c r="AC15" s="99" t="s">
        <v>172</v>
      </c>
      <c r="AD15" s="102">
        <f>AD13</f>
        <v>2.165432012013014E-3</v>
      </c>
    </row>
    <row r="16" spans="1:41" outlineLevel="1">
      <c r="H16" s="99" t="s">
        <v>196</v>
      </c>
      <c r="I16" s="101">
        <f>(T15-I15)/I15</f>
        <v>4.1948051948051948</v>
      </c>
      <c r="J16" s="99" t="s">
        <v>90</v>
      </c>
      <c r="K16" s="178">
        <f>AVERAGE(K13:L13)-AVERAGE(K14:L14)</f>
        <v>3.82</v>
      </c>
      <c r="P16" s="127">
        <f>P13+P14</f>
        <v>105875</v>
      </c>
      <c r="Q16" s="106"/>
      <c r="S16" s="99"/>
      <c r="T16" s="101"/>
      <c r="W16" s="106">
        <f>1/(W13-W14)</f>
        <v>4.6736476121476782</v>
      </c>
      <c r="X16" s="120"/>
      <c r="Y16" s="13">
        <f>Y15/S13</f>
        <v>5884.0550854802132</v>
      </c>
      <c r="AC16" s="99"/>
      <c r="AD16" s="102"/>
    </row>
    <row r="17" spans="1:38" outlineLevel="1">
      <c r="I17" s="20"/>
      <c r="J17" s="42">
        <f>J13-J14</f>
        <v>2.0625184153429944E-2</v>
      </c>
      <c r="K17" s="135">
        <f>K13-K14</f>
        <v>3.8000000000000003</v>
      </c>
      <c r="L17" s="135">
        <f>L13-L14</f>
        <v>3.84</v>
      </c>
      <c r="P17" s="39">
        <f>P16/Y15</f>
        <v>9.6394842668783981E-2</v>
      </c>
      <c r="Q17" s="63">
        <f>Q15/5</f>
        <v>8.9324868039001457E-2</v>
      </c>
      <c r="W17" s="49"/>
      <c r="X17" s="47"/>
      <c r="Y17" s="3"/>
      <c r="Z17" s="17"/>
    </row>
    <row r="18" spans="1:38" outlineLevel="1">
      <c r="G18">
        <f>H19/25</f>
        <v>12</v>
      </c>
      <c r="H18" s="13">
        <v>1.5</v>
      </c>
      <c r="K18" s="276">
        <f>K10-K16</f>
        <v>-4.67</v>
      </c>
      <c r="AK18">
        <v>13</v>
      </c>
      <c r="AL18" s="1">
        <v>16</v>
      </c>
    </row>
    <row r="19" spans="1:38" outlineLevel="1">
      <c r="A19" s="97" t="s">
        <v>189</v>
      </c>
      <c r="B19" t="s">
        <v>1260</v>
      </c>
      <c r="C19" s="58" t="str">
        <f>_xll.BDP(B19&amp;" Equity","OPT_UNDL_TICKER")</f>
        <v>QQQ US</v>
      </c>
      <c r="D19" s="58" t="str">
        <f>_xll.BDP($B19&amp;" Index","mifid_Maturity_date")</f>
        <v>25/02/2026</v>
      </c>
      <c r="E19" s="58">
        <f>_xll.BDP($B19&amp;" Index","opt_days_expire")</f>
        <v>6</v>
      </c>
      <c r="F19" s="58" t="str">
        <f>_xll.BDP(B19&amp;" Equity","QUOTED_CURRENCY_REALTIME")</f>
        <v>USD</v>
      </c>
      <c r="G19" s="103" t="s">
        <v>191</v>
      </c>
      <c r="H19" s="95">
        <v>300</v>
      </c>
      <c r="I19" s="96">
        <f>IF(G19="Buy",L19,K19)</f>
        <v>1.66</v>
      </c>
      <c r="J19" s="18">
        <f>I19/S19</f>
        <v>2.7552141598090603E-3</v>
      </c>
      <c r="K19" s="35">
        <f>_xll.BDP($B19&amp;" Equity","bid")</f>
        <v>1.66</v>
      </c>
      <c r="L19" s="35">
        <f>_xll.BDP($B19&amp;" Equity","ask")</f>
        <v>1.69</v>
      </c>
      <c r="M19" s="39">
        <f>(L19/K19-1)</f>
        <v>1.8072289156626509E-2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-49800</v>
      </c>
      <c r="Q19" s="57">
        <f>P19/'Master P&amp;L'!$AD$5*10000</f>
        <v>-0.21007690334556189</v>
      </c>
      <c r="R19" s="36" t="e" cm="1">
        <f t="array" ref="R19">_xll.BDP($C19&amp;" Equity","EST_PE_NXT_YR")*(T19/S19)</f>
        <v>#VALUE!</v>
      </c>
      <c r="S19" s="35" cm="1">
        <f t="array" ref="S19">_xll.BDP(C19&amp;" Equity","LAST_PRICE")</f>
        <v>602.49400000000003</v>
      </c>
      <c r="T19" s="52">
        <f>_xll.BDP(B19&amp;" Equity","OPT_STRIKE_PX")</f>
        <v>615</v>
      </c>
      <c r="U19" s="39">
        <f>T19/S19-1</f>
        <v>2.0757053182272278E-2</v>
      </c>
      <c r="V19" s="36">
        <f>_xll.BDP($B19&amp;" Equity","ivol_mid")</f>
        <v>19.072399999999998</v>
      </c>
      <c r="W19" s="37">
        <f>_xll.BDP(B19&amp;" Equity","DELTA_MID_RT")</f>
        <v>0.20723667740821838</v>
      </c>
      <c r="X19" s="47">
        <f>Y19/'Master P&amp;L'!$AE$5</f>
        <v>-1.5801181659344677E-3</v>
      </c>
      <c r="Y19" s="15">
        <f>IF(G19="Sell", S19*W19*-H19*O19/N19, S19*W19*H19*O19/N19)</f>
        <v>-3745765.6415516138</v>
      </c>
      <c r="Z19" s="15" cm="1">
        <f t="array" ref="Z19">_xll.BDP($B19&amp;" Equity","opt_theta")*H19*O19/N19</f>
        <v>-10912.89</v>
      </c>
      <c r="AA19" s="18" cm="1">
        <f t="array" ref="AA19">_xll.BDP($B19&amp;" Equity","opt_theta")/I19</f>
        <v>-0.21913433734939761</v>
      </c>
      <c r="AB19" s="35" t="str" cm="1">
        <f t="array" ref="AB19">_xll.BDP($C19&amp;" Equity","EXPECTED_REPORT_DT")</f>
        <v>#N/A N/A</v>
      </c>
      <c r="AC19" s="15">
        <f>S19*H19*O19/N19</f>
        <v>18074820</v>
      </c>
      <c r="AD19" s="18">
        <f>AC19/'Master P&amp;L'!$AE$5</f>
        <v>7.6247032412217449E-3</v>
      </c>
      <c r="AE19" t="str">
        <f>B19  &amp; " - Buy to open " &amp;  "-" &amp; H19 &amp;"x"</f>
        <v>QQQ US 02/25/26 C615 - Buy to open -300x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1259</v>
      </c>
      <c r="C20" s="58" t="str" cm="1">
        <f t="array" ref="C20">_xll.BDP(B20&amp;" Equity","OPT_UNDL_TICKER")</f>
        <v>QQQ US</v>
      </c>
      <c r="D20" s="58" t="str" cm="1">
        <f t="array" ref="D20">_xll.BDP($B20&amp;" Index","mifid_Maturity_date")</f>
        <v>25/02/2026</v>
      </c>
      <c r="E20" s="58" cm="1">
        <f t="array" ref="E20">_xll.BDP($B20&amp;" Index","opt_days_expire")</f>
        <v>6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300</v>
      </c>
      <c r="I20" s="96">
        <f>IF(G20="Buy",L20,K20)</f>
        <v>0.64</v>
      </c>
      <c r="J20" s="18">
        <f>I20/S20</f>
        <v>1.0622512423360232E-3</v>
      </c>
      <c r="K20" s="35" cm="1">
        <f t="array" ref="K20">_xll.BDP($B20&amp;" Equity","bid")</f>
        <v>0.64</v>
      </c>
      <c r="L20" s="35" cm="1">
        <f t="array" ref="L20">_xll.BDP($B20&amp;" Equity","ask")</f>
        <v>0.66</v>
      </c>
      <c r="M20" s="39">
        <f>(L20/K20-1)</f>
        <v>3.125E-2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-19200</v>
      </c>
      <c r="Q20" s="57">
        <f>P20/'Master P&amp;L'!$AD$5*10000</f>
        <v>-8.0993504904313007E-2</v>
      </c>
      <c r="R20" s="36" t="e" cm="1">
        <f t="array" ref="R20">_xll.BDP($C20&amp;" Equity","EST_PE_NXT_YR")*(T20/S20)</f>
        <v>#VALUE!</v>
      </c>
      <c r="S20" s="35" cm="1">
        <f t="array" ref="S20">_xll.BDP(C20&amp;" Equity","LAST_PRICE")</f>
        <v>602.49400000000003</v>
      </c>
      <c r="T20" s="52" cm="1">
        <f t="array" ref="T20">_xll.BDP(B20&amp;" Equity","OPT_STRIKE_PX")</f>
        <v>620</v>
      </c>
      <c r="U20" s="39">
        <f>T20/S20-1</f>
        <v>2.9055891013022528E-2</v>
      </c>
      <c r="V20" s="36" cm="1">
        <f t="array" ref="V20">_xll.BDP($B20&amp;" Equity","ivol_mid")</f>
        <v>17.538340000000002</v>
      </c>
      <c r="W20" s="37" cm="1">
        <f t="array" ref="W20">_xll.BDP(B20&amp;" Equity","DELTA_MID_RT")</f>
        <v>0.10362796485424042</v>
      </c>
      <c r="X20" s="47">
        <f>Y20/'Master P&amp;L'!$AE$5</f>
        <v>-7.9013247950533998E-4</v>
      </c>
      <c r="Y20" s="15">
        <f>IF(G20="Sell", S20*W20*-H20*O20/N20, S20*W20*H20*O20/N20)</f>
        <v>-1873056.8117067218</v>
      </c>
      <c r="Z20" s="15" cm="1">
        <f t="array" ref="Z20">_xll.BDP($B20&amp;" Equity","opt_theta")*H20*O20/N20</f>
        <v>-6248.3399999999992</v>
      </c>
      <c r="AA20" s="18" cm="1">
        <f t="array" ref="AA20">_xll.BDP($B20&amp;" Equity","opt_theta")/I20</f>
        <v>-0.325434375</v>
      </c>
      <c r="AB20" s="35" t="str" cm="1">
        <f t="array" ref="AB20">_xll.BDP($C20&amp;" Equity","EXPECTED_REPORT_DT")</f>
        <v>#N/A N/A</v>
      </c>
      <c r="AC20" s="15">
        <f>S20*H20*O20/N20</f>
        <v>18074820</v>
      </c>
      <c r="AD20" s="18">
        <f>AC20/'Master P&amp;L'!$AE$5</f>
        <v>7.6247032412217449E-3</v>
      </c>
      <c r="AE20" t="str">
        <f>B20  &amp; " - Buy to open " &amp;  "-" &amp; H20 &amp;"x"</f>
        <v>QQQ US 02/25/26 C620 - Buy to open -300x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1.02</v>
      </c>
      <c r="J21" s="99" t="s">
        <v>192</v>
      </c>
      <c r="K21" s="100">
        <f>K20/L19</f>
        <v>0.37869822485207105</v>
      </c>
      <c r="P21" s="99" t="s">
        <v>193</v>
      </c>
      <c r="Q21" s="106">
        <f>Q19+Q20</f>
        <v>-0.2910704082498749</v>
      </c>
      <c r="S21" s="99" t="s">
        <v>194</v>
      </c>
      <c r="T21" s="101">
        <f>T20-T19</f>
        <v>5</v>
      </c>
      <c r="W21" s="99" t="s">
        <v>195</v>
      </c>
      <c r="X21" s="120">
        <f>X19+X20</f>
        <v>-2.3702506454398075E-3</v>
      </c>
      <c r="Y21" s="13">
        <f>Y19+Y20</f>
        <v>-5618822.4532583356</v>
      </c>
      <c r="AC21" s="99" t="s">
        <v>172</v>
      </c>
      <c r="AD21" s="102">
        <f>AD19</f>
        <v>7.6247032412217449E-3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3.9019607843137254</v>
      </c>
      <c r="J22" s="99" t="s">
        <v>90</v>
      </c>
      <c r="K22" s="178">
        <f>AVERAGE(K19:L19)-AVERAGE(K20:L20)</f>
        <v>1.0249999999999999</v>
      </c>
      <c r="P22" s="127">
        <f>P19+P20</f>
        <v>-69000</v>
      </c>
      <c r="Q22" s="106"/>
      <c r="S22" s="99"/>
      <c r="T22" s="101"/>
      <c r="W22" s="99"/>
      <c r="X22" s="120"/>
      <c r="Y22" s="3">
        <f>Y21/S19</f>
        <v>-9325.939267873764</v>
      </c>
      <c r="AC22" s="99"/>
      <c r="AD22" s="102"/>
    </row>
    <row r="23" spans="1:38" outlineLevel="1">
      <c r="I23" s="63">
        <f>I20*2</f>
        <v>1.28</v>
      </c>
      <c r="K23" s="135">
        <f>K19-K20</f>
        <v>1.02</v>
      </c>
      <c r="L23" s="135">
        <f>L19-L20</f>
        <v>1.0299999999999998</v>
      </c>
      <c r="P23" s="39">
        <f>P22/Y21</f>
        <v>1.2280153105743204E-2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-0.73769474844488214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15.03</v>
      </c>
      <c r="L27" s="63">
        <f>L30*2+L31</f>
        <v>15.14</v>
      </c>
    </row>
    <row r="28" spans="1:38">
      <c r="A28" s="98" t="s">
        <v>1032</v>
      </c>
      <c r="B28" s="98"/>
      <c r="K28" s="63"/>
      <c r="L28" s="63"/>
      <c r="P28" s="3">
        <f>P30+P31</f>
        <v>341120</v>
      </c>
      <c r="Q28" s="57"/>
    </row>
    <row r="29" spans="1:38">
      <c r="H29">
        <v>1</v>
      </c>
      <c r="I29" s="63">
        <f>I30-I31</f>
        <v>-1.6100000000000003</v>
      </c>
    </row>
    <row r="30" spans="1:38" outlineLevel="1">
      <c r="A30" s="209">
        <v>4.3</v>
      </c>
      <c r="B30" s="396" t="s">
        <v>1251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25/02/2026</v>
      </c>
      <c r="E30" cm="1">
        <f t="array" ref="E30">_xll.BDP($B30&amp;" Index","opt_days_expire")</f>
        <v>6</v>
      </c>
      <c r="F30" t="str" cm="1">
        <f t="array" ref="F30">_xll.BDP(B30&amp;" Equity","QUOTED_CURRENCY_REALTIME")</f>
        <v>USD</v>
      </c>
      <c r="G30" s="103" t="s">
        <v>190</v>
      </c>
      <c r="H30" s="95">
        <v>200</v>
      </c>
      <c r="I30" s="96">
        <f>IF(G30="Buy",L30,K30)</f>
        <v>4.51</v>
      </c>
      <c r="J30" s="18">
        <f>I30/S30</f>
        <v>7.4855517233366631E-3</v>
      </c>
      <c r="K30" s="35" cm="1">
        <f t="array" ref="K30">_xll.BDP($B30&amp;" Equity","bid")</f>
        <v>4.47</v>
      </c>
      <c r="L30" s="35" cm="1">
        <f t="array" ref="L30">_xll.BDP($B30&amp;" Equity","ask")</f>
        <v>4.51</v>
      </c>
      <c r="M30" s="39">
        <f>(L30/K30-1)</f>
        <v>8.9485458612974522E-3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90200</v>
      </c>
      <c r="Q30" s="57">
        <f>P30/'Master P&amp;L'!$AD$5*10000</f>
        <v>0.38050073658172051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602.49400000000003</v>
      </c>
      <c r="T30" s="52" cm="1">
        <f t="array" ref="T30">_xll.BDP(B30&amp;" Equity","OPT_STRIKE_PX")</f>
        <v>595</v>
      </c>
      <c r="U30" s="39">
        <f>T30/S30-1</f>
        <v>-1.2438298140728388E-2</v>
      </c>
      <c r="V30" s="36" cm="1">
        <f t="array" ref="V30">_xll.BDP($B30&amp;" Equity","ivol_mid")</f>
        <v>25.744679999999999</v>
      </c>
      <c r="W30" s="37" cm="1">
        <f t="array" ref="W30">_xll.BDP(B30&amp;" Equity","DELTA_MID_RT")</f>
        <v>-0.33782339096069336</v>
      </c>
      <c r="X30" s="284">
        <f>Y30/'Master P&amp;L'!$AE$5</f>
        <v>-1.7172020693456797E-3</v>
      </c>
      <c r="Y30" s="15">
        <f>IF(G30="Sell", S30*W30*-H30*O30/N30, S30*W30*H30*O30/N30)</f>
        <v>-4070731.3222694402</v>
      </c>
      <c r="Z30" s="15" cm="1">
        <f t="array" ref="Z30">_xll.BDP($B30&amp;" Equity","opt_theta")*H30*O30/N30</f>
        <v>-12563.56</v>
      </c>
      <c r="AA30" s="18" cm="1">
        <f t="array" ref="AA30">_xll.BDP($B30&amp;" Equity","opt_theta")/I30</f>
        <v>-0.13928558758314857</v>
      </c>
      <c r="AB30" s="35" t="str" cm="1">
        <f t="array" ref="AB30">_xll.BDP($C30&amp;" Equity","EXPECTED_REPORT_DT")</f>
        <v>#N/A N/A</v>
      </c>
      <c r="AC30" s="15">
        <f>S30*H30*O30/N30</f>
        <v>12049880</v>
      </c>
      <c r="AD30" s="47">
        <f>AC30/'Master P&amp;L'!$AE$5</f>
        <v>5.0831354941478293E-3</v>
      </c>
      <c r="AE30" t="str">
        <f>B30&amp;" -&gt; Buy to open "&amp;H30&amp;"x"</f>
        <v>QQQ US 02/25/26 P595 -&gt; Buy to open 200x</v>
      </c>
      <c r="AJ30" t="s">
        <v>198</v>
      </c>
    </row>
    <row r="31" spans="1:38" outlineLevel="1">
      <c r="A31" s="209">
        <v>2.0499999999999998</v>
      </c>
      <c r="B31" s="396" t="s">
        <v>1254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27/02/2026</v>
      </c>
      <c r="E31" cm="1">
        <f t="array" ref="E31">_xll.BDP($B31&amp;" Index","opt_days_expire")</f>
        <v>8</v>
      </c>
      <c r="F31" t="str" cm="1">
        <f t="array" ref="F31">_xll.BDP(B31&amp;" Equity","QUOTED_CURRENCY_REALTIME")</f>
        <v>USD</v>
      </c>
      <c r="G31" s="103" t="s">
        <v>190</v>
      </c>
      <c r="H31" s="95">
        <v>410</v>
      </c>
      <c r="I31" s="96">
        <f>IF(G31="Buy",L31,K31)</f>
        <v>6.12</v>
      </c>
      <c r="J31" s="18">
        <f>I31/S31</f>
        <v>1.0157777504838221E-2</v>
      </c>
      <c r="K31" s="35" cm="1">
        <f t="array" ref="K31">_xll.BDP($B31&amp;" Equity","bid")</f>
        <v>6.09</v>
      </c>
      <c r="L31" s="35" cm="1">
        <f t="array" ref="L31">_xll.BDP($B31&amp;" Equity","ask")</f>
        <v>6.12</v>
      </c>
      <c r="M31" s="39">
        <f>(L31/K31-1)</f>
        <v>4.9261083743843415E-3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250919.99999999997</v>
      </c>
      <c r="Q31" s="57">
        <f>P31/'Master P&amp;L'!$AD$5*10000</f>
        <v>1.0584838672182406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602.49400000000003</v>
      </c>
      <c r="T31" s="52" cm="1">
        <f t="array" ref="T31">_xll.BDP(B31&amp;" Equity","OPT_STRIKE_PX")</f>
        <v>595</v>
      </c>
      <c r="U31" s="39">
        <f>T31/S31-1</f>
        <v>-1.2438298140728388E-2</v>
      </c>
      <c r="V31" s="36" cm="1">
        <f t="array" ref="V31">_xll.BDP(B31&amp;" Equity","ivol_mid")</f>
        <v>25.90015</v>
      </c>
      <c r="W31" s="37" cm="1">
        <f t="array" ref="W31">_xll.BDP(B31&amp;" Equity","DELTA_MID_RT")</f>
        <v>-0.3621574342250824</v>
      </c>
      <c r="X31" s="284">
        <f>Y31/'Master P&amp;L'!$AE$5</f>
        <v>-3.7738353821769998E-3</v>
      </c>
      <c r="Y31" s="15">
        <f>IF(G31="Sell", S31*W31*-H31*O31/N31, S31*W31*H31*O31/N31)</f>
        <v>-8946104.9282162786</v>
      </c>
      <c r="Z31" s="15" cm="1">
        <f t="array" ref="Z31">_xll.BDP($B31&amp;" Equity","opt_theta")*H31*O31/N31</f>
        <v>-21578.258999999998</v>
      </c>
      <c r="AA31" s="18" cm="1">
        <f t="array" ref="AA31">_xll.BDP($B31&amp;" Equity","opt_theta")/I31</f>
        <v>-8.5996568627450976E-2</v>
      </c>
      <c r="AB31" s="35" t="str" cm="1">
        <f t="array" ref="AB31">_xll.BDP($C31&amp;" Equity","EXPECTED_REPORT_DT")</f>
        <v>#N/A N/A</v>
      </c>
      <c r="AC31" s="15">
        <f>S31*H31*O31/N31</f>
        <v>24702254</v>
      </c>
      <c r="AD31" s="18">
        <f>AC31/'Master P&amp;L'!$AE$5</f>
        <v>1.0420427763003051E-2</v>
      </c>
      <c r="AE31" t="str">
        <f>B31  &amp; " -&gt; Sell to open " &amp;   H31 &amp;"x"</f>
        <v>QQQ US 02/27/26 P595 -&gt; Sell to open 410x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-1.6100000000000003</v>
      </c>
      <c r="J32" s="99" t="s">
        <v>192</v>
      </c>
      <c r="K32" s="100">
        <f>K31/L30</f>
        <v>1.3503325942350333</v>
      </c>
      <c r="L32" s="63"/>
      <c r="P32" s="99" t="s">
        <v>193</v>
      </c>
      <c r="Q32" s="106">
        <f>Q30+Q31</f>
        <v>1.4389846037999612</v>
      </c>
      <c r="S32" s="99" t="s">
        <v>194</v>
      </c>
      <c r="T32" s="101">
        <f>T30-T31</f>
        <v>0</v>
      </c>
      <c r="W32" s="99" t="s">
        <v>195</v>
      </c>
      <c r="X32" s="341">
        <f>X30+X31</f>
        <v>-5.4910374515226793E-3</v>
      </c>
      <c r="Y32" s="13">
        <f>Y30+Y31</f>
        <v>-13016836.250485718</v>
      </c>
      <c r="AC32" s="99" t="s">
        <v>172</v>
      </c>
      <c r="AD32" s="120">
        <f>AD30</f>
        <v>5.0831354941478293E-3</v>
      </c>
    </row>
    <row r="33" spans="1:36" outlineLevel="1">
      <c r="A33" s="205"/>
      <c r="H33" s="99" t="s">
        <v>196</v>
      </c>
      <c r="I33" s="101">
        <f>(T32-I32)/I32</f>
        <v>-1</v>
      </c>
      <c r="J33" s="99" t="s">
        <v>90</v>
      </c>
      <c r="K33" s="107">
        <f>AVERAGE(K30:L30)-AVERAGE(K31:L31)</f>
        <v>-1.6150000000000002</v>
      </c>
      <c r="L33" s="63"/>
      <c r="P33" s="127">
        <f>P30+P31</f>
        <v>341120</v>
      </c>
      <c r="Q33" s="106"/>
      <c r="S33" s="99"/>
      <c r="T33" s="101"/>
      <c r="W33" s="99"/>
      <c r="X33" s="120"/>
      <c r="Z33" s="3">
        <f>Y32/S30</f>
        <v>-21604.922622442245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2.0229851958748039E-3</v>
      </c>
      <c r="L35" s="63"/>
      <c r="P35" s="13">
        <f>P36+P37</f>
        <v>932250</v>
      </c>
      <c r="V35" s="469"/>
    </row>
    <row r="36" spans="1:36" outlineLevel="1">
      <c r="A36" s="97" t="s">
        <v>197</v>
      </c>
      <c r="B36" s="396" t="s">
        <v>1253</v>
      </c>
      <c r="C36" t="str" cm="1">
        <f t="array" ref="C36">_xll.BDP(B36&amp;" Equity","OPT_UNDL_TICKER")</f>
        <v>SOXX US</v>
      </c>
      <c r="D36" t="str" cm="1">
        <f t="array" ref="D36">_xll.BDP($B36&amp;" Index","mifid_Maturity_date")</f>
        <v>27/02/2026</v>
      </c>
      <c r="E36" cm="1">
        <f t="array" ref="E36">_xll.BDP($B36&amp;" Index","opt_days_expire")</f>
        <v>8</v>
      </c>
      <c r="F36" t="str" cm="1">
        <f t="array" ref="F36">_xll.BDP(B36&amp;" Equity","QUOTED_CURRENCY_REALTIME")</f>
        <v>USD</v>
      </c>
      <c r="G36" s="103" t="s">
        <v>190</v>
      </c>
      <c r="H36" s="95">
        <v>700</v>
      </c>
      <c r="I36" s="96">
        <f>IF(G36="Buy",L36,K36)</f>
        <v>7</v>
      </c>
      <c r="J36" s="18">
        <f>I36/S36</f>
        <v>1.9779319308854071E-2</v>
      </c>
      <c r="K36" s="35" cm="1">
        <f t="array" ref="K36">_xll.BDP($B36&amp;" Equity","bid")</f>
        <v>5.8</v>
      </c>
      <c r="L36" s="35" cm="1">
        <f t="array" ref="L36">_xll.BDP($B36&amp;" Equity","ask")</f>
        <v>7</v>
      </c>
      <c r="M36" s="39">
        <f>(L36/K36-1)</f>
        <v>0.2068965517241379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490000</v>
      </c>
      <c r="Q36" s="57">
        <f>P36/'Master P&amp;L'!$AD$5*10000</f>
        <v>2.0670217397454884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353.90499999999997</v>
      </c>
      <c r="T36" s="52" cm="1">
        <f t="array" ref="T36">_xll.BDP(B36&amp;" Equity","OPT_STRIKE_PX")</f>
        <v>347.5</v>
      </c>
      <c r="U36" s="39">
        <f>T36/S36-1</f>
        <v>-1.8098077167601367E-2</v>
      </c>
      <c r="V36" s="36" cm="1">
        <f t="array" ref="V36">_xll.BDP($B36&amp;" Equity","ivol_mid")</f>
        <v>43.10754</v>
      </c>
      <c r="W36" s="37" cm="1">
        <f t="array" ref="W36">_xll.BDP(B36&amp;" Equity","DELTA_MID_RT")</f>
        <v>-0.37158763408660889</v>
      </c>
      <c r="X36" s="47">
        <f>Y36/'Master P&amp;L'!$AE$5</f>
        <v>-3.8832464650782337E-3</v>
      </c>
      <c r="Y36" s="15">
        <f>IF(G36="Sell", S36*W36*-H36*O36/N36, S36*W36*H36*O36/N36)</f>
        <v>-9205470.5148994923</v>
      </c>
      <c r="Z36" s="15" cm="1">
        <f t="array" ref="Z36">_xll.BDP($B36&amp;" Equity","opt_theta")*H36*O36/N36</f>
        <v>-33723.899999999994</v>
      </c>
      <c r="AA36" s="18" cm="1">
        <f t="array" ref="AA36">_xll.BDP($B36&amp;" Equity","opt_theta")/I36</f>
        <v>-6.8824285714285713E-2</v>
      </c>
      <c r="AB36" s="35" t="str" cm="1">
        <f t="array" ref="AB36">_xll.BDP($C36&amp;" Equity","EXPECTED_REPORT_DT")</f>
        <v>#N/A N/A</v>
      </c>
      <c r="AC36" s="15">
        <f>S36*H36*O36/N36</f>
        <v>24773349.999999996</v>
      </c>
      <c r="AD36" s="47">
        <f>AC36/'Master P&amp;L'!$AE$5</f>
        <v>1.0450418982923242E-2</v>
      </c>
      <c r="AE36" t="str">
        <f>B36&amp;" -&gt; Buy to open "&amp;H36&amp;"x"</f>
        <v>SOXX US 02/27/26 P347.5 -&gt; Buy to open 700x</v>
      </c>
      <c r="AJ36" t="s">
        <v>198</v>
      </c>
    </row>
    <row r="37" spans="1:36" outlineLevel="1">
      <c r="A37" s="97" t="s">
        <v>197</v>
      </c>
      <c r="B37" s="396" t="s">
        <v>1252</v>
      </c>
      <c r="C37" t="str" cm="1">
        <f t="array" ref="C37">_xll.BDP(B37&amp;" Equity","OPT_UNDL_TICKER")</f>
        <v>SMH US</v>
      </c>
      <c r="D37" t="str" cm="1">
        <f t="array" ref="D37">_xll.BDP($B37&amp;" Index","mifid_Maturity_date")</f>
        <v>27/02/2026</v>
      </c>
      <c r="E37" cm="1">
        <f t="array" ref="E37">_xll.BDP($B37&amp;" Index","opt_days_expire")</f>
        <v>8</v>
      </c>
      <c r="F37" t="str" cm="1">
        <f t="array" ref="F37">_xll.BDP(B37&amp;" Equity","QUOTED_CURRENCY_REALTIME")</f>
        <v>USD</v>
      </c>
      <c r="G37" s="103" t="s">
        <v>190</v>
      </c>
      <c r="H37" s="95">
        <v>610</v>
      </c>
      <c r="I37" s="96">
        <f>IF(G37="Buy",L37,K37)</f>
        <v>7.25</v>
      </c>
      <c r="J37" s="18">
        <f>I37/S37</f>
        <v>1.7756334112979267E-2</v>
      </c>
      <c r="K37" s="35" cm="1">
        <f t="array" ref="K37">_xll.BDP($B37&amp;" Equity","bid")</f>
        <v>6.9</v>
      </c>
      <c r="L37" s="35" cm="1">
        <f t="array" ref="L37">_xll.BDP($B37&amp;" Equity","ask")</f>
        <v>7.25</v>
      </c>
      <c r="M37" s="39">
        <f>(L37/K37-1)</f>
        <v>5.0724637681159424E-2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442250</v>
      </c>
      <c r="Q37" s="57">
        <f>P37/'Master P&amp;L'!$AD$5*10000</f>
        <v>1.8655925804131472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408.30500000000001</v>
      </c>
      <c r="T37" s="52" cm="1">
        <f t="array" ref="T37">_xll.BDP(B37&amp;" Equity","OPT_STRIKE_PX")</f>
        <v>400</v>
      </c>
      <c r="U37" s="39">
        <f>T37/S37-1</f>
        <v>-2.0340186870109411E-2</v>
      </c>
      <c r="V37" s="36" cm="1">
        <f t="array" ref="V37">_xll.BDP(B37&amp;" Equity","ivol_mid")</f>
        <v>43.513010000000001</v>
      </c>
      <c r="W37" s="37" cm="1">
        <f t="array" ref="W37">_xll.BDP(B37&amp;" Equity","DELTA_MID_RT")</f>
        <v>-0.36276006698608398</v>
      </c>
      <c r="X37" s="47">
        <f>Y37/'Master P&amp;L'!$AE$5</f>
        <v>-3.8113863206973827E-3</v>
      </c>
      <c r="Y37" s="15">
        <f>IF(G37="Sell", S37*W37*-H37*O37/N37, S37*W37*H37*O37/N37)</f>
        <v>-9035121.6981959362</v>
      </c>
      <c r="Z37" s="15" cm="1">
        <f t="array" ref="Z37">_xll.BDP($B37&amp;" Equity","opt_theta")*H37*O37/N37</f>
        <v>-37583.198000000004</v>
      </c>
      <c r="AA37" s="18" cm="1">
        <f t="array" ref="AA37">_xll.BDP($B37&amp;" Equity","opt_theta")/I37</f>
        <v>-8.4981793103448278E-2</v>
      </c>
      <c r="AB37" s="35" t="str" cm="1">
        <f t="array" ref="AB37">_xll.BDP($C37&amp;" Equity","EXPECTED_REPORT_DT")</f>
        <v>#N/A N/A</v>
      </c>
      <c r="AC37" s="15">
        <f>S37*H37*O37/N37</f>
        <v>24906605</v>
      </c>
      <c r="AD37" s="18">
        <f>AC37/'Master P&amp;L'!$AE$5</f>
        <v>1.0506631428215037E-2</v>
      </c>
      <c r="AE37" t="str">
        <f>B37  &amp; " -&gt; Sell to open " &amp;   H37 &amp;"x"</f>
        <v>SMH US 02/27/26 P400 -&gt; Sell to open 610x</v>
      </c>
      <c r="AJ37" t="s">
        <v>199</v>
      </c>
    </row>
    <row r="38" spans="1:36" outlineLevel="1">
      <c r="G38">
        <f>I38/K39</f>
        <v>0.37037037037037046</v>
      </c>
      <c r="H38" s="99" t="s">
        <v>64</v>
      </c>
      <c r="I38" s="101">
        <f>I36-I37</f>
        <v>-0.25</v>
      </c>
      <c r="J38" s="99" t="s">
        <v>192</v>
      </c>
      <c r="K38" s="100">
        <f>K37/L36</f>
        <v>0.98571428571428577</v>
      </c>
      <c r="L38" s="63"/>
      <c r="P38" s="99" t="s">
        <v>193</v>
      </c>
      <c r="Q38" s="106">
        <f>Q36+Q37</f>
        <v>3.9326143201586357</v>
      </c>
      <c r="S38" s="99" t="s">
        <v>194</v>
      </c>
      <c r="T38" s="101">
        <f>T36-T37</f>
        <v>-52.5</v>
      </c>
      <c r="W38" s="99" t="s">
        <v>195</v>
      </c>
      <c r="X38" s="120">
        <f>X36+X37</f>
        <v>-7.6946327857756163E-3</v>
      </c>
      <c r="Y38" s="13"/>
      <c r="AC38" s="99" t="s">
        <v>172</v>
      </c>
      <c r="AD38" s="120">
        <f>AD36</f>
        <v>1.0450418982923242E-2</v>
      </c>
    </row>
    <row r="39" spans="1:36" outlineLevel="1">
      <c r="H39" s="99" t="s">
        <v>196</v>
      </c>
      <c r="I39" s="101">
        <f>(T38-I38)/I38</f>
        <v>209</v>
      </c>
      <c r="J39" s="99" t="s">
        <v>90</v>
      </c>
      <c r="K39" s="107">
        <f>AVERAGE(K36:L36)-AVERAGE(K37:L37)</f>
        <v>-0.67499999999999982</v>
      </c>
      <c r="L39" s="63"/>
      <c r="P39" s="127">
        <f>P36+P37</f>
        <v>932250</v>
      </c>
      <c r="Q39" s="106"/>
      <c r="S39" s="99"/>
      <c r="T39" s="101"/>
      <c r="W39" s="99"/>
      <c r="X39" s="120"/>
      <c r="Y39" s="13">
        <f>Y36+Y37</f>
        <v>-18240592.213095427</v>
      </c>
      <c r="Z39" s="3"/>
      <c r="AC39" s="99"/>
      <c r="AD39" s="102"/>
    </row>
    <row r="40" spans="1:36" outlineLevel="1">
      <c r="K40" s="63">
        <f>K39-K33</f>
        <v>0.94000000000000039</v>
      </c>
      <c r="Q40" s="63"/>
      <c r="Y40" s="63">
        <f>Y39/S36</f>
        <v>-51540.928252201658</v>
      </c>
    </row>
    <row r="41" spans="1:36" outlineLevel="1">
      <c r="I41" s="63">
        <f>I32-I38</f>
        <v>-1.3600000000000003</v>
      </c>
      <c r="K41" s="63">
        <f>K33-K39</f>
        <v>-0.94000000000000039</v>
      </c>
      <c r="Y41" s="63"/>
    </row>
    <row r="42" spans="1:36" outlineLevel="1">
      <c r="H42">
        <v>1</v>
      </c>
      <c r="I42" s="63"/>
      <c r="L42" s="63">
        <f>AVERAGE(K43:L43)</f>
        <v>0.47</v>
      </c>
      <c r="T42" s="63">
        <f>T43-S43</f>
        <v>-4.120000000000001</v>
      </c>
    </row>
    <row r="43" spans="1:36" outlineLevel="1">
      <c r="A43" s="97" t="s">
        <v>197</v>
      </c>
      <c r="B43" s="396" t="s">
        <v>1255</v>
      </c>
      <c r="C43" t="str" cm="1">
        <f t="array" ref="C43">_xll.BDP(B43&amp;" Equity","OPT_UNDL_TICKER")</f>
        <v>JETS US</v>
      </c>
      <c r="D43" t="str" cm="1">
        <f t="array" ref="D43">_xll.BDP($B43&amp;" Index","mifid_Maturity_date")</f>
        <v>27/02/2026</v>
      </c>
      <c r="E43" cm="1">
        <f t="array" ref="E43">_xll.BDP($B43&amp;" Index","opt_days_expire")</f>
        <v>8</v>
      </c>
      <c r="F43" t="str" cm="1">
        <f t="array" ref="F43">_xll.BDP(B43&amp;" Equity","QUOTED_CURRENCY_REALTIME")</f>
        <v>USD</v>
      </c>
      <c r="G43" s="103" t="s">
        <v>190</v>
      </c>
      <c r="H43" s="95">
        <v>500</v>
      </c>
      <c r="I43" s="96">
        <f>IF(G43="Buy",L43,K43)</f>
        <v>0.47</v>
      </c>
      <c r="J43" s="18">
        <f>I43/S43</f>
        <v>1.6140109890109888E-2</v>
      </c>
      <c r="K43" s="35" t="str" cm="1">
        <f t="array" ref="K43">_xll.BDP($B43&amp;" Equity","bid")</f>
        <v>#N/A N/A</v>
      </c>
      <c r="L43" s="35" cm="1">
        <f t="array" ref="L43">_xll.BDP($B43&amp;" Equity","ask")</f>
        <v>0.47</v>
      </c>
      <c r="M43" s="39" t="e">
        <f>(L43/K43-1)</f>
        <v>#VALUE!</v>
      </c>
      <c r="N43" s="35" cm="1">
        <f t="array" ref="N43">_xll.BDP(F43&amp;" Curncy","PX_LAST")</f>
        <v>1</v>
      </c>
      <c r="O43" s="132" cm="1">
        <f t="array" ref="O43">_xll.BDP(B43&amp;" Equity","OPT_MULTIPLIER")</f>
        <v>100</v>
      </c>
      <c r="P43" s="15">
        <f>IF(G43="Buy",((I43/N43)*H43*O43),((I43/N43)*-H43*O43))</f>
        <v>23500</v>
      </c>
      <c r="Q43" s="57">
        <f>P43/'Master P&amp;L'!$AD$5*10000</f>
        <v>9.9132675273508122E-2</v>
      </c>
      <c r="R43" s="36" t="e" cm="1">
        <f t="array" ref="R43">_xll.BDP($C43&amp;" Equity","EST_PE_NXT_YR")*(T43/S43)</f>
        <v>#VALUE!</v>
      </c>
      <c r="S43" s="35" cm="1">
        <f t="array" ref="S43">_xll.BDP(C43&amp;" Equity","LAST_PRICE")</f>
        <v>29.12</v>
      </c>
      <c r="T43" s="52" cm="1">
        <f t="array" ref="T43">_xll.BDP(B43&amp;" Equity","OPT_STRIKE_PX")</f>
        <v>25</v>
      </c>
      <c r="U43" s="39">
        <f>T43/S43-1</f>
        <v>-0.14148351648351654</v>
      </c>
      <c r="V43" s="36" cm="1">
        <f t="array" ref="V43">_xll.BDP($B43&amp;" Equity","ivol_mid")</f>
        <v>112.0949</v>
      </c>
      <c r="W43" s="37" cm="1">
        <f t="array" ref="W43">_xll.BDP(B43&amp;" Equity","DELTA_MID_RT")</f>
        <v>-0.16288274526596069</v>
      </c>
      <c r="X43" s="47">
        <f>Y43/'Master P&amp;L'!$AE$5</f>
        <v>-1.0004270357540971E-4</v>
      </c>
      <c r="Y43" s="15">
        <f>IF(G43="Sell", S43*W43*-H43*O43/N43, S43*W43*H43*O43/N43)</f>
        <v>-237157.27710723877</v>
      </c>
      <c r="Z43" s="15" cm="1">
        <f t="array" ref="Z43">_xll.BDP($B43&amp;" Equity","opt_theta")*H43*O43/N43</f>
        <v>-404.6</v>
      </c>
      <c r="AA43" s="18" cm="1">
        <f t="array" ref="AA43">_xll.BDP($B43&amp;" Equity","opt_theta")/I43</f>
        <v>-1.7217021276595745E-2</v>
      </c>
      <c r="AB43" s="35" t="str" cm="1">
        <f t="array" ref="AB43">_xll.BDP($C43&amp;" Equity","EXPECTED_REPORT_DT")</f>
        <v>#N/A N/A</v>
      </c>
      <c r="AC43" s="15">
        <f>S43*H43*O43/N43</f>
        <v>1456000</v>
      </c>
      <c r="AD43" s="47">
        <f>AC43/'Master P&amp;L'!$AE$5</f>
        <v>6.1420074552437365E-4</v>
      </c>
      <c r="AE43" t="str">
        <f>B43&amp;" -&gt; Buy to open "&amp;H43&amp;"x"</f>
        <v>JETS US 02/27/26 P25 -&gt; Buy to open 500x</v>
      </c>
      <c r="AJ43" t="s">
        <v>198</v>
      </c>
    </row>
    <row r="44" spans="1:36" outlineLevel="1">
      <c r="A44" s="97" t="s">
        <v>197</v>
      </c>
      <c r="B44" s="396" t="s">
        <v>1258</v>
      </c>
      <c r="C44" t="str" cm="1">
        <f t="array" ref="C44">_xll.BDP(B44&amp;" Equity","OPT_UNDL_TICKER")</f>
        <v>JETS US</v>
      </c>
      <c r="D44" t="str" cm="1">
        <f t="array" ref="D44">_xll.BDP($B44&amp;" Index","mifid_Maturity_date")</f>
        <v>20/03/2026</v>
      </c>
      <c r="E44" cm="1">
        <f t="array" ref="E44">_xll.BDP($B44&amp;" Index","opt_days_expire")</f>
        <v>29</v>
      </c>
      <c r="F44" t="str" cm="1">
        <f t="array" ref="F44">_xll.BDP(B44&amp;" Equity","QUOTED_CURRENCY_REALTIME")</f>
        <v>USD</v>
      </c>
      <c r="G44" s="103" t="s">
        <v>190</v>
      </c>
      <c r="H44" s="95">
        <v>1000</v>
      </c>
      <c r="I44" s="96">
        <f>IF(G44="Buy",L44,K44)</f>
        <v>0.32</v>
      </c>
      <c r="J44" s="18">
        <f>I44/S44</f>
        <v>1.0989010989010988E-2</v>
      </c>
      <c r="K44" s="35" cm="1">
        <f t="array" ref="K44">_xll.BDP($B44&amp;" Equity","bid")</f>
        <v>0.27</v>
      </c>
      <c r="L44" s="35" cm="1">
        <f t="array" ref="L44">_xll.BDP($B44&amp;" Equity","ask")</f>
        <v>0.32</v>
      </c>
      <c r="M44" s="39">
        <f>(L44/K44-1)</f>
        <v>0.18518518518518512</v>
      </c>
      <c r="N44" s="35" cm="1">
        <f t="array" ref="N44">_xll.BDP(F44&amp;" Curncy","PX_LAST")</f>
        <v>1</v>
      </c>
      <c r="O44" s="132" cm="1">
        <f t="array" ref="O44">_xll.BDP(B44&amp;" Equity","OPT_MULTIPLIER")</f>
        <v>100</v>
      </c>
      <c r="P44" s="15">
        <f>IF(G44="Buy",((I44/N44)*H44*O44),((I44/N44)*-H44*O44))</f>
        <v>32000</v>
      </c>
      <c r="Q44" s="57">
        <f>P44/'Master P&amp;L'!$AD$5*10000</f>
        <v>0.1349891748405217</v>
      </c>
      <c r="R44" s="36" t="e" cm="1">
        <f t="array" ref="R44">_xll.BDP($C44&amp;" Equity","EST_PE_NXT_YR")*(T44/S44)</f>
        <v>#VALUE!</v>
      </c>
      <c r="S44" s="35" cm="1">
        <f t="array" ref="S44">_xll.BDP(C44&amp;" Equity","LAST_PRICE")</f>
        <v>29.12</v>
      </c>
      <c r="T44" s="52" cm="1">
        <f t="array" ref="T44">_xll.BDP(B44&amp;" Equity","OPT_STRIKE_PX")</f>
        <v>26</v>
      </c>
      <c r="U44" s="39">
        <f>T44/S44-1</f>
        <v>-0.10714285714285721</v>
      </c>
      <c r="V44" s="36" cm="1">
        <f t="array" ref="V44">_xll.BDP($B44&amp;" Equity","ivol_mid")</f>
        <v>41.824379999999998</v>
      </c>
      <c r="W44" s="37" cm="1">
        <f t="array" ref="W44">_xll.BDP(B44&amp;" Equity","DELTA_MID_RT")</f>
        <v>-0.15277642011642456</v>
      </c>
      <c r="X44" s="47">
        <f>Y44/'Master P&amp;L'!$AE$5</f>
        <v>-1.8767078226810579E-4</v>
      </c>
      <c r="Y44" s="15">
        <f>IF(G44="Sell", S44*W44*-H44*O44/N44, S44*W44*H44*O44/N44)</f>
        <v>-444884.93537902832</v>
      </c>
      <c r="Z44" s="15" cm="1">
        <f t="array" ref="Z44">_xll.BDP($B44&amp;" Equity","opt_theta")*H44*O44/N44</f>
        <v>-1354</v>
      </c>
      <c r="AA44" s="18" cm="1">
        <f t="array" ref="AA44">_xll.BDP($B44&amp;" Equity","opt_theta")/I44</f>
        <v>-4.2312499999999996E-2</v>
      </c>
      <c r="AB44" s="35" t="str" cm="1">
        <f t="array" ref="AB44">_xll.BDP($C44&amp;" Equity","EXPECTED_REPORT_DT")</f>
        <v>#N/A N/A</v>
      </c>
      <c r="AC44" s="15">
        <f>S44*H44*O44/N44</f>
        <v>2912000</v>
      </c>
      <c r="AD44" s="47">
        <f>AC44/'Master P&amp;L'!$AE$5</f>
        <v>1.2284014910487473E-3</v>
      </c>
      <c r="AE44" t="str">
        <f>B44&amp;" -&gt; Buy to open "&amp;H44&amp;"x"</f>
        <v>JETS US 03/20/26 P26 -&gt; Buy to open 1000x</v>
      </c>
      <c r="AJ44" t="s">
        <v>198</v>
      </c>
    </row>
    <row r="45" spans="1:36" outlineLevel="1">
      <c r="H45" s="99" t="s">
        <v>64</v>
      </c>
      <c r="I45" s="101">
        <f>I43-I44</f>
        <v>0.14999999999999997</v>
      </c>
      <c r="J45" s="99" t="s">
        <v>192</v>
      </c>
      <c r="K45" s="100">
        <f>K44/L43</f>
        <v>0.57446808510638303</v>
      </c>
      <c r="L45" s="63"/>
      <c r="P45" s="99" t="s">
        <v>193</v>
      </c>
      <c r="Q45" s="106">
        <f>Q43+Q44</f>
        <v>0.23412185011402981</v>
      </c>
      <c r="S45" s="99" t="s">
        <v>194</v>
      </c>
      <c r="T45" s="101">
        <f>T43-T44</f>
        <v>-1</v>
      </c>
      <c r="W45" s="99" t="s">
        <v>195</v>
      </c>
      <c r="X45" s="120">
        <f>X43+X44</f>
        <v>-2.8771348584351547E-4</v>
      </c>
      <c r="Y45" s="13">
        <f>Y43+Y44</f>
        <v>-682042.21248626709</v>
      </c>
      <c r="AC45" s="99" t="s">
        <v>172</v>
      </c>
      <c r="AD45" s="120">
        <f>AD43</f>
        <v>6.1420074552437365E-4</v>
      </c>
    </row>
    <row r="46" spans="1:36" outlineLevel="1">
      <c r="H46" s="99" t="s">
        <v>196</v>
      </c>
      <c r="I46" s="101">
        <f>(T45-I45)/I45</f>
        <v>-7.6666666666666679</v>
      </c>
      <c r="J46" s="99" t="s">
        <v>90</v>
      </c>
      <c r="K46" s="107">
        <f>AVERAGE(K43:L43)-AVERAGE(K44:L44)</f>
        <v>0.17499999999999993</v>
      </c>
      <c r="P46" s="99"/>
      <c r="Q46" s="106"/>
      <c r="S46" s="99"/>
      <c r="T46" s="101"/>
      <c r="W46" s="99"/>
      <c r="X46" s="120"/>
      <c r="Z46" s="3">
        <f>Y45/S43</f>
        <v>-23421.779274940491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-153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-153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 t="e">
        <f>Z61/P61</f>
        <v>#VALUE!</v>
      </c>
    </row>
    <row r="61" spans="1:38">
      <c r="A61" s="97"/>
      <c r="B61" s="249" t="s">
        <v>1018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-6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 t="str">
        <f>IF(G61="Buy",L61,K61)</f>
        <v>#N/A N/A</v>
      </c>
      <c r="J61" s="18" t="e">
        <f>I61/S61</f>
        <v>#VALUE!</v>
      </c>
      <c r="K61" s="35" t="str" cm="1">
        <f t="array" ref="K61">_xll.BDP($B61&amp;" Index","bid")</f>
        <v>#N/A N/A</v>
      </c>
      <c r="L61" s="35" t="str" cm="1">
        <f t="array" ref="L61">_xll.BDP($B61&amp;" Index","ask")</f>
        <v>#N/A N/A</v>
      </c>
      <c r="M61" s="39" t="e">
        <f>(L61/K61-1)</f>
        <v>#VALUE!</v>
      </c>
      <c r="N61" s="35" cm="1">
        <f t="array" ref="N61">_xll.BDP(F61&amp;" Curncy","PX_LAST")</f>
        <v>1</v>
      </c>
      <c r="O61" s="132">
        <v>20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24821.25</v>
      </c>
      <c r="T61" s="52" cm="1">
        <f t="array" ref="T61">_xll.BDP(B61&amp;" Index","OPT_STRIKE_PX")</f>
        <v>24750</v>
      </c>
      <c r="U61" s="39">
        <f>T61/S61-1</f>
        <v>-2.8705242483758608E-3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N/A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>
        <f>S61*H61*O61/N61</f>
        <v>14892750</v>
      </c>
      <c r="AD61" s="47">
        <f>AC61/'Master P&amp;L'!$AE$5</f>
        <v>6.2823751050193107E-3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6.2823751050193107E-3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09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6853.83</v>
      </c>
      <c r="T68" s="52" cm="1">
        <f t="array" ref="T68">_xll.BDP(B68&amp;" Index","OPT_STRIKE_PX")</f>
        <v>6950</v>
      </c>
      <c r="U68" s="39">
        <f>T68/S68-1</f>
        <v>1.4031570669246207E-2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68538300</v>
      </c>
      <c r="AD68" s="47">
        <f>AC68/'Master P&amp;L'!$AE$5</f>
        <v>2.89122767561629E-2</v>
      </c>
      <c r="AG68" t="str">
        <f>B68&amp;" -&gt; Buy to open "&amp;H68&amp;"x"</f>
        <v>SPXW US 12/31/25 C6950 -&gt; Buy to open 100x</v>
      </c>
    </row>
    <row r="69" spans="1:37" hidden="1">
      <c r="A69" s="97"/>
      <c r="B69" s="309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2.89122767561629E-2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11.699999999999996</v>
      </c>
    </row>
    <row r="76" spans="1:37" hidden="1">
      <c r="A76">
        <v>300</v>
      </c>
      <c r="H76" s="205">
        <v>1</v>
      </c>
      <c r="I76" s="63">
        <f>I78-I79</f>
        <v>11.699999999999996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15.3</v>
      </c>
      <c r="E77" cm="1">
        <f t="array" ref="E77">_xll.BDP($B77&amp;" Index","opt_days_expire")</f>
        <v>57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15.4</v>
      </c>
      <c r="J77" s="18">
        <f>I77/S77</f>
        <v>2.3898756178371627E-2</v>
      </c>
      <c r="K77" s="35" cm="1">
        <f t="array" ref="K77">_xll.BDP($B77&amp;" Equity","bid")</f>
        <v>15.2</v>
      </c>
      <c r="L77" s="35" cm="1">
        <f t="array" ref="L77">_xll.BDP($B77&amp;" Equity","ask")</f>
        <v>15.4</v>
      </c>
      <c r="M77" s="39">
        <f>(L77/K77-1)</f>
        <v>1.3157894736842257E-2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92400</v>
      </c>
      <c r="Q77" s="57">
        <f>P77/'Master P&amp;L'!$AD$5*10000</f>
        <v>0.3897812423520064</v>
      </c>
      <c r="R77" s="36" cm="1">
        <f t="array" ref="R77">_xll.BDP($C77&amp;" Equity","EST_PE_NXT_YR")*(T77/S77)</f>
        <v>18.32666048944369</v>
      </c>
      <c r="S77" s="35" cm="1">
        <f t="array" ref="S77">_xll.BDP(C77&amp;" Equity","LAST_PRICE")</f>
        <v>644.38499999999999</v>
      </c>
      <c r="T77" s="52" cm="1">
        <f t="array" ref="T77">_xll.BDP(B77&amp;" Equity","OPT_STRIKE_PX")</f>
        <v>690</v>
      </c>
      <c r="U77" s="39">
        <f>T77/S77-1</f>
        <v>7.0788426173793662E-2</v>
      </c>
      <c r="V77" s="36" cm="1">
        <f t="array" ref="V77">_xll.BDP($B77&amp;" Equity","ivol_mid")</f>
        <v>30.32281</v>
      </c>
      <c r="W77" s="37" cm="1">
        <f t="array" ref="W77">_xll.BDP(B77&amp;" Equity","DELTA_MID_RT")</f>
        <v>0.32262322306632996</v>
      </c>
      <c r="X77" s="47">
        <f>Y77/'Master P&amp;L'!$AE$5</f>
        <v>5.261883913950659E-4</v>
      </c>
      <c r="Y77" s="15">
        <f>IF(G77="Sell", S77*W77*-H77*O77/N77, S77*W77*H77*O77/N77)</f>
        <v>1247361.3935735822</v>
      </c>
      <c r="Z77" s="15" cm="1">
        <f t="array" ref="Z77">_xll.BDP($B77&amp;" Equity","opt_theta")*H77*O77/N77</f>
        <v>-1461.12</v>
      </c>
      <c r="AA77" s="18" cm="1">
        <f t="array" ref="AA77">_xll.BDP($B77&amp;" Equity","opt_theta")/I77</f>
        <v>-1.5812987012987011E-2</v>
      </c>
      <c r="AB77" s="35" t="str" cm="1">
        <f t="array" ref="AB77">_xll.BDP($C77&amp;" Equity","EXPECTED_REPORT_DT")</f>
        <v>30/04/2026</v>
      </c>
      <c r="AC77" s="15">
        <f>S77*H77*O77/N77</f>
        <v>3866310</v>
      </c>
      <c r="AD77" s="18">
        <f>AC77/'Master P&amp;L'!$AE$5</f>
        <v>1.6309687393051794E-3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854</v>
      </c>
      <c r="C78" t="str" cm="1">
        <f t="array" ref="C78">_xll.BDP(B78&amp;" Equity","OPT_UNDL_TICKER")</f>
        <v>META US</v>
      </c>
      <c r="D78" s="63">
        <f>A78*AVERAGE(K78:L78)</f>
        <v>101.05</v>
      </c>
      <c r="E78" cm="1">
        <f t="array" ref="E78">_xll.BDP($B78&amp;" Index","opt_days_expire")</f>
        <v>148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50.3</v>
      </c>
      <c r="J78" s="18">
        <f>I78/S78</f>
        <v>7.805892440078524E-2</v>
      </c>
      <c r="K78" s="35" cm="1">
        <f t="array" ref="K78">_xll.BDP($B78&amp;" Equity","bid")</f>
        <v>50.3</v>
      </c>
      <c r="L78" s="35" cm="1">
        <f t="array" ref="L78">_xll.BDP($B78&amp;" Equity","ask")</f>
        <v>50.75</v>
      </c>
      <c r="M78" s="39">
        <f>(L78/K78-1)</f>
        <v>8.9463220675944921E-3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-377250</v>
      </c>
      <c r="Q78" s="57">
        <f>P78/'Master P&amp;L'!$AD$5*10000</f>
        <v>-1.5913958190183377</v>
      </c>
      <c r="R78" s="36" cm="1">
        <f t="array" ref="R78">_xll.BDP($C78&amp;" Equity","EST_PE_NXT_YR")*(T78/S78)</f>
        <v>17.795452939025033</v>
      </c>
      <c r="S78" s="35" cm="1">
        <f t="array" ref="S78">_xll.BDP(C78&amp;" Equity","LAST_PRICE")</f>
        <v>644.38499999999999</v>
      </c>
      <c r="T78" s="52" cm="1">
        <f t="array" ref="T78">_xll.BDP(B78&amp;" Equity","OPT_STRIKE_PX")</f>
        <v>670</v>
      </c>
      <c r="U78" s="39">
        <f>T78/S78-1</f>
        <v>3.9751080487596679E-2</v>
      </c>
      <c r="V78" s="36" cm="1">
        <f t="array" ref="V78">_xll.BDP($B78&amp;" Equity","ivol_mid")</f>
        <v>35.199579999999997</v>
      </c>
      <c r="W78" s="37" cm="1">
        <f t="array" ref="W78">_xll.BDP(B78&amp;" Equity","DELTA_MID_RT")</f>
        <v>0.50155764818191528</v>
      </c>
      <c r="X78" s="47">
        <f>Y78/'Master P&amp;L'!$AE$5</f>
        <v>-1.0225310564301615E-3</v>
      </c>
      <c r="Y78" s="15">
        <f>IF(G78="Sell", S78*W78*-H78*O78/N78, S78*W78*H78*O78/N78)</f>
        <v>-2423971.6884277761</v>
      </c>
      <c r="Z78" s="15" cm="1">
        <f t="array" ref="Z78">_xll.BDP($B78&amp;" Equity","opt_theta")*H78*O78/N78</f>
        <v>-1427.3999999999999</v>
      </c>
      <c r="AA78" s="18" cm="1">
        <f t="array" ref="AA78">_xll.BDP($B78&amp;" Equity","opt_theta")/I78</f>
        <v>-3.7836978131212725E-3</v>
      </c>
      <c r="AB78" s="35" t="str" cm="1">
        <f t="array" ref="AB78">_xll.BDP($C78&amp;" Equity","EXPECTED_REPORT_DT")</f>
        <v>30/04/2026</v>
      </c>
      <c r="AC78" s="15">
        <f>S78*H78*O78/N78</f>
        <v>4832887.5</v>
      </c>
      <c r="AD78" s="47">
        <f>AC78/'Master P&amp;L'!$AE$5</f>
        <v>2.0387109241314745E-3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932</v>
      </c>
      <c r="C79" t="str" cm="1">
        <f t="array" ref="C79">_xll.BDP(B79&amp;" Equity","OPT_UNDL_TICKER")</f>
        <v>META US</v>
      </c>
      <c r="D79" s="63">
        <f>A79*AVERAGE(K79:L79)</f>
        <v>76.849999999999994</v>
      </c>
      <c r="E79" cm="1">
        <f t="array" ref="E79">_xll.BDP($B79&amp;" Index","opt_days_expire")</f>
        <v>148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38.6</v>
      </c>
      <c r="J79" s="18">
        <f>I79/S79</f>
        <v>5.9902077174360052E-2</v>
      </c>
      <c r="K79" s="35" cm="1">
        <f t="array" ref="K79">_xll.BDP($B79&amp;" Equity","bid")</f>
        <v>38.25</v>
      </c>
      <c r="L79" s="35" cm="1">
        <f t="array" ref="L79">_xll.BDP($B79&amp;" Equity","ask")</f>
        <v>38.6</v>
      </c>
      <c r="M79" s="39">
        <f>(L79/K79-1)</f>
        <v>9.1503267973855884E-3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289500</v>
      </c>
      <c r="Q79" s="57">
        <f>P79/'Master P&amp;L'!$AD$5*10000</f>
        <v>1.2212301911353445</v>
      </c>
      <c r="R79" s="36" cm="1">
        <f t="array" ref="R79">_xll.BDP($C79&amp;" Equity","EST_PE_NXT_YR")*(T79/S79)</f>
        <v>18.592264264653021</v>
      </c>
      <c r="S79" s="35" cm="1">
        <f t="array" ref="S79">_xll.BDP(C79&amp;" Equity","LAST_PRICE")</f>
        <v>644.38499999999999</v>
      </c>
      <c r="T79" s="52" cm="1">
        <f t="array" ref="T79">_xll.BDP(B79&amp;" Equity","OPT_STRIKE_PX")</f>
        <v>700</v>
      </c>
      <c r="U79" s="39">
        <f>T79/S79-1</f>
        <v>8.6307099016892153E-2</v>
      </c>
      <c r="V79" s="36" cm="1">
        <f t="array" ref="V79">_xll.BDP(B79&amp;" Equity","ivol_mid")</f>
        <v>34.5762</v>
      </c>
      <c r="W79" s="37" cm="1">
        <f t="array" ref="W79">_xll.BDP(B79&amp;" Equity","DELTA_MID_RT")</f>
        <v>0.42077633738517761</v>
      </c>
      <c r="X79" s="47">
        <f>Y79/'Master P&amp;L'!$AE$5</f>
        <v>8.5784131564319249E-4</v>
      </c>
      <c r="Y79" s="15">
        <f>IF(G79="Sell", S79*W79*-H79*O79/N79, S79*W79*H79*O79/N79)</f>
        <v>2033564.7012446076</v>
      </c>
      <c r="Z79" s="15" cm="1">
        <f t="array" ref="Z79">_xll.BDP($B79&amp;" Equity","opt_theta")*H79*O79/N79</f>
        <v>-1380.03</v>
      </c>
      <c r="AA79" s="18" cm="1">
        <f t="array" ref="AA79">_xll.BDP($B79&amp;" Equity","opt_theta")/I79</f>
        <v>-4.7669430051813467E-3</v>
      </c>
      <c r="AB79" s="35" t="str" cm="1">
        <f t="array" ref="AB79">_xll.BDP($C79&amp;" Equity","EXPECTED_REPORT_DT")</f>
        <v>30/04/2026</v>
      </c>
      <c r="AC79" s="15">
        <f>S79*H79*O79/N79</f>
        <v>4832887.5</v>
      </c>
      <c r="AD79" s="18">
        <f>AC79/'Master P&amp;L'!$AE$5</f>
        <v>2.0387109241314745E-3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-3.7000000000000028</v>
      </c>
      <c r="J80" s="99" t="s">
        <v>192</v>
      </c>
      <c r="K80" s="100">
        <f>K79/L78</f>
        <v>0.75369458128078815</v>
      </c>
      <c r="P80" s="127">
        <f>P78+P79+P77</f>
        <v>4650</v>
      </c>
      <c r="Q80" s="57">
        <f>P80/'Master P&amp;L'!$AD$5*10000</f>
        <v>1.9615614469013307E-2</v>
      </c>
      <c r="S80" s="99" t="s">
        <v>194</v>
      </c>
      <c r="T80" s="101"/>
      <c r="W80" s="99" t="s">
        <v>195</v>
      </c>
      <c r="X80" s="120">
        <f>X78+X79+X77</f>
        <v>3.6149865060809694E-4</v>
      </c>
      <c r="AC80" s="99" t="s">
        <v>172</v>
      </c>
      <c r="AD80" s="120">
        <f>AD78</f>
        <v>2.0387109241314745E-3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-3.2000000000000028</v>
      </c>
      <c r="P81" s="99"/>
      <c r="Q81" s="106"/>
      <c r="S81" s="99"/>
      <c r="T81" s="101"/>
      <c r="W81" s="99"/>
      <c r="X81" s="120"/>
      <c r="Y81" s="13">
        <f>(Y77+Y78+Y79)/S78</f>
        <v>1329.8795074224472</v>
      </c>
      <c r="AC81" s="99"/>
      <c r="AD81" s="102"/>
    </row>
    <row r="82" spans="1:37" hidden="1">
      <c r="D82" s="63"/>
      <c r="H82" s="95"/>
      <c r="I82" s="63">
        <f>(I78*A78)-(I79*A79)-(I77*A77)</f>
        <v>7.9999999999999911</v>
      </c>
      <c r="K82" s="63"/>
      <c r="N82" s="35"/>
      <c r="O82" s="132"/>
      <c r="P82" s="15"/>
      <c r="Q82" s="57"/>
    </row>
    <row r="83" spans="1:37" hidden="1">
      <c r="I83" s="20">
        <f>I79/I78</f>
        <v>0.76739562624254476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856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8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6.1</v>
      </c>
      <c r="J88" s="18">
        <f>I88/S88</f>
        <v>9.4663904342900587E-3</v>
      </c>
      <c r="K88" s="35" cm="1">
        <f t="array" ref="K88">_xll.BDP($B88&amp;" Equity","bid")</f>
        <v>6</v>
      </c>
      <c r="L88" s="35" cm="1">
        <f t="array" ref="L88">_xll.BDP($B88&amp;" Equity","ask")</f>
        <v>6.1</v>
      </c>
      <c r="M88" s="39">
        <f>(L88/K88-1)</f>
        <v>1.6666666666666607E-2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21350</v>
      </c>
      <c r="Q88" s="57">
        <f>P88/'Master P&amp;L'!$AD$5*10000</f>
        <v>9.0063090088910558E-2</v>
      </c>
      <c r="R88" s="36" cm="1">
        <f t="array" ref="R88">_xll.BDP($C88&amp;" Equity","EST_PE_NXT_YR")*(T88/S88)</f>
        <v>17.529849163815701</v>
      </c>
      <c r="S88" s="35" cm="1">
        <f t="array" ref="S88">_xll.BDP(C88&amp;" Equity","LAST_PRICE")</f>
        <v>644.38499999999999</v>
      </c>
      <c r="T88" s="52" cm="1">
        <f t="array" ref="T88">_xll.BDP(B88&amp;" Equity","OPT_STRIKE_PX")</f>
        <v>660</v>
      </c>
      <c r="U88" s="39">
        <f>T88/S88-1</f>
        <v>2.4232407644498188E-2</v>
      </c>
      <c r="V88" s="36" cm="1">
        <f t="array" ref="V88">_xll.BDP(B88&amp;" Equity","ivol_mid")</f>
        <v>30.52403</v>
      </c>
      <c r="W88" s="37" cm="1">
        <f t="array" ref="W88">_xll.BDP(B88&amp;" Equity","DELTA_MID_RT")</f>
        <v>0.31827220320701599</v>
      </c>
      <c r="X88" s="47">
        <f>Y88/'Master P&amp;L'!$AE$5</f>
        <v>3.0280367484525008E-4</v>
      </c>
      <c r="Y88" s="15">
        <f>IF(G88="Sell", S88*W88*-H88*O88/N88, S88*W88*H88*O88/N88)</f>
        <v>717814.4178224355</v>
      </c>
      <c r="Z88" s="15" cm="1">
        <f t="array" ref="Z88">_xll.BDP($B88&amp;" Equity","opt_theta")*H88*O88/N88</f>
        <v>-2238.9814999999999</v>
      </c>
      <c r="AA88" s="18" cm="1">
        <f t="array" ref="AA88">_xll.BDP($B88&amp;" Equity","opt_theta")/I88</f>
        <v>-0.10487032786885246</v>
      </c>
      <c r="AB88" s="35" t="str" cm="1">
        <f t="array" ref="AB88">_xll.BDP($C88&amp;" Equity","EXPECTED_REPORT_DT")</f>
        <v>30/04/2026</v>
      </c>
      <c r="AC88" s="15">
        <f>S88*H88*O88/N88</f>
        <v>2255347.5</v>
      </c>
      <c r="AD88" s="18">
        <f>AC88/'Master P&amp;L'!$AE$5</f>
        <v>9.5139843126135464E-4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1.66</v>
      </c>
      <c r="J93" s="17">
        <f>T94-T95</f>
        <v>-615</v>
      </c>
      <c r="K93" s="205">
        <f>(J93-I93)/I93</f>
        <v>-371.48192771084337</v>
      </c>
      <c r="Q93" s="205">
        <f>Q95+Q94</f>
        <v>-0.28010253779408251</v>
      </c>
    </row>
    <row r="94" spans="1:37">
      <c r="A94" s="191"/>
      <c r="G94" s="103"/>
      <c r="H94" s="128"/>
      <c r="I94" s="96"/>
      <c r="J94" s="18"/>
      <c r="K94" s="35"/>
      <c r="L94" s="35"/>
      <c r="M94" s="39"/>
      <c r="N94" s="35"/>
      <c r="O94" s="132"/>
      <c r="P94" s="15"/>
      <c r="Q94" s="57"/>
      <c r="R94" s="36"/>
      <c r="S94" s="35"/>
      <c r="T94" s="52"/>
      <c r="U94" s="39"/>
      <c r="V94" s="36"/>
      <c r="W94" s="37"/>
      <c r="X94" s="47"/>
      <c r="Y94" s="15"/>
      <c r="Z94" s="15"/>
      <c r="AA94" s="18"/>
      <c r="AB94" s="35"/>
      <c r="AC94" s="15"/>
      <c r="AD94" s="18"/>
      <c r="AK94" s="58"/>
    </row>
    <row r="95" spans="1:37">
      <c r="A95" s="191">
        <v>2</v>
      </c>
      <c r="B95" t="s">
        <v>1260</v>
      </c>
      <c r="C95" t="str" cm="1">
        <f t="array" ref="C95">_xll.BDP(B95&amp;" Equity","OPT_UNDL_TICKER")</f>
        <v>QQQ US</v>
      </c>
      <c r="D95" t="str" cm="1">
        <f t="array" ref="D95">_xll.BDP($B95&amp;" Index","mifid_Maturity_date")</f>
        <v>25/02/2026</v>
      </c>
      <c r="E95" cm="1">
        <f t="array" ref="E95">_xll.BDP($B95&amp;" Index","opt_days_expire")</f>
        <v>6</v>
      </c>
      <c r="F95" t="str" cm="1">
        <f t="array" ref="F95">_xll.BDP(B95&amp;" Equity","QUOTED_CURRENCY_REALTIME")</f>
        <v>USD</v>
      </c>
      <c r="G95" s="103" t="s">
        <v>191</v>
      </c>
      <c r="H95" s="128">
        <v>400</v>
      </c>
      <c r="I95" s="96">
        <f>IF(G95="Buy",L95,K95)</f>
        <v>1.66</v>
      </c>
      <c r="J95" s="18">
        <f>I95/S95</f>
        <v>2.7552141598090603E-3</v>
      </c>
      <c r="K95" s="35" cm="1">
        <f t="array" ref="K95">_xll.BDP($B95&amp;" Equity","bid")</f>
        <v>1.66</v>
      </c>
      <c r="L95" s="35" cm="1">
        <f t="array" ref="L95">_xll.BDP($B95&amp;" Equity","ask")</f>
        <v>1.69</v>
      </c>
      <c r="M95" s="39">
        <f>(L95/K95-1)</f>
        <v>1.8072289156626509E-2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-66400</v>
      </c>
      <c r="Q95" s="57">
        <f>P95/'Master P&amp;L'!$AD$5*10000</f>
        <v>-0.28010253779408251</v>
      </c>
      <c r="R95" s="36" t="e" cm="1">
        <f t="array" ref="R95">_xll.BDP($C95&amp;" Equity","EST_PE_NXT_YR")*(T95/S95)</f>
        <v>#VALUE!</v>
      </c>
      <c r="S95" s="35">
        <f>_xll.BDP(C95&amp;" Equity","LAST_PRICE")</f>
        <v>602.49400000000003</v>
      </c>
      <c r="T95" s="52" cm="1">
        <f t="array" ref="T95">_xll.BDP(B95&amp;" Equity","OPT_STRIKE_PX")</f>
        <v>615</v>
      </c>
      <c r="U95" s="39">
        <f>T95/S95-1</f>
        <v>2.0757053182272278E-2</v>
      </c>
      <c r="V95" s="36" cm="1">
        <f t="array" ref="V95">_xll.BDP($B95&amp;" Equity","ivol_mid")</f>
        <v>19.072399999999998</v>
      </c>
      <c r="W95" s="37" cm="1">
        <f t="array" ref="W95">_xll.BDP(B95&amp;" Equity","DELTA_MID_RT")</f>
        <v>0.20723667740821838</v>
      </c>
      <c r="X95" s="47">
        <f>Y95/'Master P&amp;L'!$AE$5</f>
        <v>-2.1068242212459571E-3</v>
      </c>
      <c r="Y95" s="15">
        <f>IF(G95="Sell", S95*W95*-H95*O95/N95, S95*W95*H95*O95/N95)</f>
        <v>-4994354.1887354851</v>
      </c>
      <c r="Z95" s="15" cm="1">
        <f t="array" ref="Z95">_xll.BDP($B95&amp;" Equity","opt_theta")*H95*O95/N95</f>
        <v>-14550.52</v>
      </c>
      <c r="AA95" s="18" cm="1">
        <f t="array" ref="AA95">_xll.BDP($B95&amp;" Equity","opt_theta")/I95</f>
        <v>-0.21913433734939761</v>
      </c>
      <c r="AB95" s="35" t="str" cm="1">
        <f t="array" ref="AB95">_xll.BDP($C95&amp;" Equity","EXPECTED_REPORT_DT")</f>
        <v>#N/A N/A</v>
      </c>
      <c r="AC95" s="15">
        <f>S95*H95*O95/N95</f>
        <v>24099760</v>
      </c>
      <c r="AD95" s="18">
        <f>AC95/'Master P&amp;L'!$AE$5</f>
        <v>1.0166270988295659E-2</v>
      </c>
      <c r="AE95" t="str">
        <f>B95  &amp; " - Buy to open " &amp;  "-" &amp; H95 &amp;"x"</f>
        <v>QQQ US 02/25/26 C615 - Buy to open -400x</v>
      </c>
      <c r="AK95" s="58" t="s">
        <v>481</v>
      </c>
    </row>
    <row r="96" spans="1:37">
      <c r="A96" s="191">
        <v>2</v>
      </c>
      <c r="B96" s="396" t="s">
        <v>1250</v>
      </c>
      <c r="C96" t="str" cm="1">
        <f t="array" ref="C96">_xll.BDP(B96&amp;" Equity","OPT_UNDL_TICKER")</f>
        <v>QQQ US</v>
      </c>
      <c r="D96" t="str" cm="1">
        <f t="array" ref="D96">_xll.BDP($B96&amp;" Index","mifid_Maturity_date")</f>
        <v>25/02/2026</v>
      </c>
      <c r="E96" cm="1">
        <f t="array" ref="E96">_xll.BDP($B96&amp;" Index","opt_days_expire")</f>
        <v>6</v>
      </c>
      <c r="F96" t="str" cm="1">
        <f t="array" ref="F96">_xll.BDP(B96&amp;" Equity","QUOTED_CURRENCY_REALTIME")</f>
        <v>USD</v>
      </c>
      <c r="G96" s="103" t="s">
        <v>190</v>
      </c>
      <c r="H96" s="128">
        <v>400</v>
      </c>
      <c r="I96" s="96">
        <f>IF(G96="Buy",L96,K96)</f>
        <v>3.33</v>
      </c>
      <c r="J96" s="18">
        <f>I96/S96</f>
        <v>5.5270259952796205E-3</v>
      </c>
      <c r="K96" s="35" cm="1">
        <f t="array" ref="K96">_xll.BDP($B96&amp;" Equity","bid")</f>
        <v>3.29</v>
      </c>
      <c r="L96" s="35" cm="1">
        <f t="array" ref="L96">_xll.BDP($B96&amp;" Equity","ask")</f>
        <v>3.33</v>
      </c>
      <c r="M96" s="39">
        <f>(L96/K96-1)</f>
        <v>1.2158054711246313E-2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133200</v>
      </c>
      <c r="Q96" s="57">
        <f>P96/'Master P&amp;L'!$AD$5*10000</f>
        <v>0.56189244027367158</v>
      </c>
      <c r="R96" s="36" t="e" cm="1">
        <f t="array" ref="R96">_xll.BDP($C96&amp;" Equity","EST_PE_NXT_YR")*(T96/S96)</f>
        <v>#VALUE!</v>
      </c>
      <c r="S96" s="35" cm="1">
        <f t="array" ref="S96">_xll.BDP(C96&amp;" Equity","LAST_PRICE")</f>
        <v>602.49400000000003</v>
      </c>
      <c r="T96" s="52" cm="1">
        <f t="array" ref="T96">_xll.BDP(B96&amp;" Equity","OPT_STRIKE_PX")</f>
        <v>590</v>
      </c>
      <c r="U96" s="39">
        <f>T96/S96-1</f>
        <v>-2.0737135971478637E-2</v>
      </c>
      <c r="V96" s="36" cm="1">
        <f t="array" ref="V96">_xll.BDP($B96&amp;" Equity","ivol_mid")</f>
        <v>27.061900000000001</v>
      </c>
      <c r="W96" s="37" cm="1">
        <f t="array" ref="W96">_xll.BDP(B96&amp;" Equity","DELTA_MID_RT")</f>
        <v>-0.25975626707077026</v>
      </c>
      <c r="X96" s="47">
        <f>Y96/'Master P&amp;L'!$AE$5</f>
        <v>-2.6407526019495507E-3</v>
      </c>
      <c r="Y96" s="15">
        <f>IF(G96="Sell", S96*W96*-H96*O96/N96, S96*W96*H96*O96/N96)</f>
        <v>-6260063.6949014664</v>
      </c>
      <c r="Z96" s="15" cm="1">
        <f t="array" ref="Z96">_xll.BDP($B96&amp;" Equity","opt_theta")*H96*O96/N96</f>
        <v>-22987.120000000003</v>
      </c>
      <c r="AA96" s="18" cm="1">
        <f t="array" ref="AA96">_xll.BDP($B96&amp;" Equity","opt_theta")/I96</f>
        <v>-0.17257597597597599</v>
      </c>
      <c r="AB96" s="35" t="str" cm="1">
        <f t="array" ref="AB96">_xll.BDP($C96&amp;" Equity","EXPECTED_REPORT_DT")</f>
        <v>#N/A N/A</v>
      </c>
      <c r="AC96" s="15">
        <f>S96*H96*O96/N96</f>
        <v>24099760</v>
      </c>
      <c r="AD96" s="18">
        <f>AC96/'Master P&amp;L'!$AE$5</f>
        <v>1.0166270988295659E-2</v>
      </c>
      <c r="AE96" t="str">
        <f>B96  &amp; " - Buy to open " &amp;  "-" &amp; H96 &amp;"x"</f>
        <v>QQQ US 02/25/26 P590 - Buy to open -400x</v>
      </c>
      <c r="AK96" s="58" t="s">
        <v>481</v>
      </c>
    </row>
    <row r="97" spans="1:37">
      <c r="H97" s="99" t="s">
        <v>64</v>
      </c>
      <c r="I97" s="101">
        <f>I95-I94-I96</f>
        <v>-1.6700000000000002</v>
      </c>
      <c r="J97" s="99" t="s">
        <v>192</v>
      </c>
      <c r="K97" s="100">
        <f>K96/L95</f>
        <v>1.9467455621301777</v>
      </c>
      <c r="P97" s="127">
        <f>P95+P96+P94</f>
        <v>66800</v>
      </c>
      <c r="Q97" s="57">
        <f>P97/'Master P&amp;L'!$AD$5*10000</f>
        <v>0.28178990247958902</v>
      </c>
      <c r="S97" s="99" t="s">
        <v>194</v>
      </c>
      <c r="T97" s="101"/>
      <c r="W97" s="99" t="s">
        <v>195</v>
      </c>
      <c r="X97" s="120">
        <f>X95+X96+X94</f>
        <v>-4.7475768231955082E-3</v>
      </c>
      <c r="AC97" s="99" t="s">
        <v>172</v>
      </c>
      <c r="AD97" s="120">
        <f>AD95</f>
        <v>1.0166270988295659E-2</v>
      </c>
    </row>
    <row r="98" spans="1:37">
      <c r="B98" s="17">
        <f>((T94-T95)*(H95*100))+P97</f>
        <v>-24533200</v>
      </c>
      <c r="H98" s="99" t="s">
        <v>196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>
        <f>(Y94+Y95+Y96)/S95</f>
        <v>-18679.717779159546</v>
      </c>
      <c r="AC98" s="99"/>
      <c r="AD98" s="102"/>
    </row>
    <row r="99" spans="1:37">
      <c r="B99" s="205">
        <f>B98/'Master P&amp;L'!$AD$5*10000</f>
        <v>-103.49113825617145</v>
      </c>
      <c r="D99" s="63"/>
      <c r="H99" s="95"/>
      <c r="I99" s="63">
        <f>I95-I94</f>
        <v>1.66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 t="e">
        <f>I104-I103</f>
        <v>#VALUE!</v>
      </c>
      <c r="Q101" s="63" t="e">
        <f>Q104+Q105</f>
        <v>#VALUE!</v>
      </c>
    </row>
    <row r="102" spans="1:37">
      <c r="A102">
        <v>300</v>
      </c>
      <c r="H102" s="205">
        <v>1</v>
      </c>
      <c r="I102" s="126" t="e">
        <f>(I104-I103)/I105</f>
        <v>#VALUE!</v>
      </c>
      <c r="K102" s="126" t="e">
        <f>K103/K104</f>
        <v>#VALUE!</v>
      </c>
      <c r="Q102" s="126" t="e">
        <f>(Q104+Q103)/Q105</f>
        <v>#VALUE!</v>
      </c>
    </row>
    <row r="103" spans="1:37">
      <c r="A103" s="191">
        <v>2</v>
      </c>
      <c r="B103" t="s">
        <v>1257</v>
      </c>
      <c r="C103" t="str" cm="1">
        <f t="array" ref="C103">_xll.BDP(B103&amp;" Equity","OPT_UNDL_TICKER")</f>
        <v>LHA GR</v>
      </c>
      <c r="D103" t="str" cm="1">
        <f t="array" ref="D103">_xll.BDP($B103&amp;" Index","mifid_Maturity_date")</f>
        <v>20/03/2026</v>
      </c>
      <c r="E103" cm="1">
        <f t="array" ref="E103">_xll.BDP($B103&amp;" Index","opt_days_expire")</f>
        <v>29</v>
      </c>
      <c r="F103" t="str" cm="1">
        <f t="array" ref="F103">_xll.BDP(B103&amp;" Equity","QUOTED_CURRENCY_REALTIME")</f>
        <v>EUR</v>
      </c>
      <c r="G103" s="103" t="s">
        <v>190</v>
      </c>
      <c r="H103" s="128">
        <v>300</v>
      </c>
      <c r="I103" s="96">
        <f>IF(G103="Buy",L103,K103)</f>
        <v>0.22</v>
      </c>
      <c r="J103" s="18">
        <f>I103/S103</f>
        <v>2.4245095878333702E-2</v>
      </c>
      <c r="K103" s="35" cm="1">
        <f t="array" ref="K103">_xll.BDP($B103&amp;" Equity","bid")</f>
        <v>0.12</v>
      </c>
      <c r="L103" s="35" cm="1">
        <f t="array" ref="L103">_xll.BDP($B103&amp;" Equity","ask")</f>
        <v>0.22</v>
      </c>
      <c r="M103" s="39">
        <f>(L103/K103-1)</f>
        <v>0.83333333333333348</v>
      </c>
      <c r="N103" s="35" cm="1">
        <f t="array" ref="N103">_xll.BDP(F103&amp;" Curncy","PX_LAST")</f>
        <v>1.1771</v>
      </c>
      <c r="O103" s="132" cm="1">
        <f t="array" ref="O103">_xll.BDP(B103&amp;" Equity","OPT_MULTIPLIER")</f>
        <v>100</v>
      </c>
      <c r="P103" s="15">
        <f>IF(G103="Buy",((I103/N103)*H103*O103),((I103/N103)*-H103*O103))</f>
        <v>5607.0002548636485</v>
      </c>
      <c r="Q103" s="57">
        <f>P103/'Master P&amp;L'!$AD$5*10000</f>
        <v>2.3652635554207459E-2</v>
      </c>
      <c r="R103" s="36" cm="1">
        <f t="array" ref="R103">_xll.BDP($C103&amp;" Equity","EST_PE_NXT_YR")*(T103/S103)</f>
        <v>6.3153308109203206</v>
      </c>
      <c r="S103" s="35">
        <f>_xll.BDP(C103&amp;" Equity","LAST_PRICE")</f>
        <v>9.0739999999999998</v>
      </c>
      <c r="T103" s="52" cm="1">
        <f t="array" ref="T103">_xll.BDP(B103&amp;" Equity","OPT_STRIKE_PX")</f>
        <v>8.1999999999999993</v>
      </c>
      <c r="U103" s="39">
        <f>T103/S103-1</f>
        <v>-9.6319153625743947E-2</v>
      </c>
      <c r="V103" s="36" cm="1">
        <f t="array" ref="V103">_xll.BDP($B103&amp;" Equity","ivol_mid")</f>
        <v>50.6023</v>
      </c>
      <c r="W103" s="37" cm="1">
        <f t="array" ref="W103">_xll.BDP(B103&amp;" Equity","DELTA_MID_RT")</f>
        <v>-0.20992486178874969</v>
      </c>
      <c r="X103" s="47">
        <f>Y103/'Master P&amp;L'!$AE$5</f>
        <v>-2.0479507586083904E-5</v>
      </c>
      <c r="Y103" s="15">
        <f>IF(G103="Sell", S103*W103*-H103*O103/N103, S103*W103*H103*O103/N103)</f>
        <v>-48547.91086240203</v>
      </c>
      <c r="Z103" s="15" cm="1">
        <f t="array" ref="Z103">_xll.BDP($B103&amp;" Equity","opt_theta")*H103*O103/N103</f>
        <v>-155.44133888369723</v>
      </c>
      <c r="AA103" s="18" cm="1">
        <f t="array" ref="AA103">_xll.BDP($B103&amp;" Equity","opt_theta")/I103</f>
        <v>-2.7722727272727274E-2</v>
      </c>
      <c r="AB103" s="35" t="str" cm="1">
        <f t="array" ref="AB103">_xll.BDP($C103&amp;" Equity","EXPECTED_REPORT_DT")</f>
        <v>06/03/2026</v>
      </c>
      <c r="AC103" s="15">
        <f>S103*H103*O103/N103</f>
        <v>231263.27414833065</v>
      </c>
      <c r="AD103" s="18">
        <f>AC103/'Master P&amp;L'!$AE$5</f>
        <v>9.7556370463126578E-5</v>
      </c>
      <c r="AE103" t="str">
        <f>B103  &amp; " - Buy to open " &amp;  "-" &amp; H103 &amp;"x"</f>
        <v>LHA GR 03/20/26 P8.2 - Buy to open -300x</v>
      </c>
      <c r="AK103" s="58" t="s">
        <v>481</v>
      </c>
    </row>
    <row r="104" spans="1:37">
      <c r="A104" s="191">
        <v>2</v>
      </c>
      <c r="B104" t="s">
        <v>1256</v>
      </c>
      <c r="C104" t="str" cm="1">
        <f t="array" ref="C104">_xll.BDP(B104&amp;" Equity","OPT_UNDL_TICKER")</f>
        <v>AF FP</v>
      </c>
      <c r="D104" t="str" cm="1">
        <f t="array" ref="D104">_xll.BDP($B104&amp;" Index","mifid_Maturity_date")</f>
        <v>20/03/2026</v>
      </c>
      <c r="E104" cm="1">
        <f t="array" ref="E104">_xll.BDP($B104&amp;" Index","opt_days_expire")</f>
        <v>29</v>
      </c>
      <c r="F104" t="str" cm="1">
        <f t="array" ref="F104">_xll.BDP(B104&amp;" Equity","QUOTED_CURRENCY_REALTIME")</f>
        <v>EUR</v>
      </c>
      <c r="G104" s="103" t="s">
        <v>190</v>
      </c>
      <c r="H104" s="128">
        <v>500</v>
      </c>
      <c r="I104" s="96" t="str">
        <f>IF(G104="Buy",L104,K104)</f>
        <v>#N/A N/A</v>
      </c>
      <c r="J104" s="18" t="e">
        <f>I104/S104</f>
        <v>#VALUE!</v>
      </c>
      <c r="K104" s="35" t="str" cm="1">
        <f t="array" ref="K104">_xll.BDP($B104&amp;" Equity","bid")</f>
        <v>#N/A N/A</v>
      </c>
      <c r="L104" s="35" t="str" cm="1">
        <f t="array" ref="L104">_xll.BDP($B104&amp;" Equity","ask")</f>
        <v>#N/A N/A</v>
      </c>
      <c r="M104" s="39" t="e">
        <f>(L104/K104-1)</f>
        <v>#VALUE!</v>
      </c>
      <c r="N104" s="35" cm="1">
        <f t="array" ref="N104">_xll.BDP(F104&amp;" Curncy","PX_LAST")</f>
        <v>1.1771</v>
      </c>
      <c r="O104" s="132" cm="1">
        <f t="array" ref="O104">_xll.BDP(B104&amp;" Equity","OPT_MULTIPLIER")</f>
        <v>100</v>
      </c>
      <c r="P104" s="15" t="e">
        <f>IF(G104="Buy",((I104/N104)*H104*O104),((I104/N104)*-H104*O104))</f>
        <v>#VALUE!</v>
      </c>
      <c r="Q104" s="57" t="e">
        <f>P104/'Master P&amp;L'!$AD$5*10000</f>
        <v>#VALUE!</v>
      </c>
      <c r="R104" s="36" cm="1">
        <f t="array" ref="R104">_xll.BDP($C104&amp;" Equity","EST_PE_NXT_YR")*(T104/S104)</f>
        <v>2.4236037934668069</v>
      </c>
      <c r="S104" s="35">
        <f>_xll.BDP(C104&amp;" Equity","LAST_PRICE")</f>
        <v>12.98</v>
      </c>
      <c r="T104" s="52" cm="1">
        <f t="array" ref="T104">_xll.BDP(B104&amp;" Equity","OPT_STRIKE_PX")</f>
        <v>11.5</v>
      </c>
      <c r="U104" s="39">
        <f>T104/S104-1</f>
        <v>-0.11402157164869031</v>
      </c>
      <c r="V104" s="36" t="str" cm="1">
        <f t="array" ref="V104">_xll.BDP($B104&amp;" Equity","ivol_mid")</f>
        <v>#N/A N/A</v>
      </c>
      <c r="W104" s="37" cm="1">
        <f t="array" ref="W104">_xll.BDP(B104&amp;" Equity","DELTA_MID_RT")</f>
        <v>-0.1824265718460083</v>
      </c>
      <c r="X104" s="47">
        <f>Y104/'Master P&amp;L'!$AE$5</f>
        <v>-4.2429547322891263E-5</v>
      </c>
      <c r="Y104" s="15">
        <f>IF(G104="Sell", S104*W104*-H104*O104/N104, S104*W104*H104*O104/N104)</f>
        <v>-100581.80709205625</v>
      </c>
      <c r="Z104" s="15" cm="1">
        <f t="array" ref="Z104">_xll.BDP($B104&amp;" Equity","opt_theta")*H104*O104/N104</f>
        <v>-403.66154107552455</v>
      </c>
      <c r="AA104" s="18" t="e" cm="1">
        <f t="array" ref="AA104">_xll.BDP($B104&amp;" Equity","opt_theta")/I104</f>
        <v>#VALUE!</v>
      </c>
      <c r="AB104" s="35" t="str" cm="1">
        <f t="array" ref="AB104">_xll.BDP($C104&amp;" Equity","EXPECTED_REPORT_DT")</f>
        <v>19/02/2026</v>
      </c>
      <c r="AC104" s="15">
        <f>S104*H104*O104/N104</f>
        <v>551355.02506159199</v>
      </c>
      <c r="AD104" s="18">
        <f>AC104/'Master P&amp;L'!$AE$5</f>
        <v>2.3258424961637331E-4</v>
      </c>
      <c r="AE104" t="str">
        <f>B104  &amp; " - Buy to open " &amp;  "-" &amp; H104 &amp;"x"</f>
        <v>AF1 FP 03/20/26 P11.5 - Buy to open -500x</v>
      </c>
      <c r="AK104" s="58" t="s">
        <v>481</v>
      </c>
    </row>
    <row r="105" spans="1:37">
      <c r="A105" s="191">
        <v>2</v>
      </c>
      <c r="B105" t="s">
        <v>1062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148</v>
      </c>
      <c r="F105" t="str" cm="1">
        <f t="array" ref="F105">_xll.BDP(B105&amp;" Equity","QUOTED_CURRENCY_REALTIME")</f>
        <v>USD</v>
      </c>
      <c r="G105" s="103" t="s">
        <v>190</v>
      </c>
      <c r="H105" s="128">
        <v>300</v>
      </c>
      <c r="I105" s="96">
        <f>IF(G105="Buy",L105,K105)</f>
        <v>8.1</v>
      </c>
      <c r="J105" s="18">
        <f>I105/S105</f>
        <v>3.9602798597767573E-2</v>
      </c>
      <c r="K105" s="35" cm="1">
        <f t="array" ref="K105">_xll.BDP($B105&amp;" Equity","bid")</f>
        <v>8</v>
      </c>
      <c r="L105" s="35" cm="1">
        <f t="array" ref="L105">_xll.BDP($B105&amp;" Equity","ask")</f>
        <v>8.1</v>
      </c>
      <c r="M105" s="39">
        <f>(L105/K105-1)</f>
        <v>1.2499999999999956E-2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243000</v>
      </c>
      <c r="Q105" s="57">
        <f>P105/'Master P&amp;L'!$AD$5*10000</f>
        <v>1.0250740464452117</v>
      </c>
      <c r="R105" s="36" cm="1">
        <f t="array" ref="R105">_xll.BDP($C105&amp;" Equity","EST_PE_NXT_YR")*(T105/S105)</f>
        <v>16.433453534826047</v>
      </c>
      <c r="S105" s="35" cm="1">
        <f t="array" ref="S105">_xll.BDP(C105&amp;" Equity","LAST_PRICE")</f>
        <v>204.53100000000001</v>
      </c>
      <c r="T105" s="52" cm="1">
        <f t="array" ref="T105">_xll.BDP(B105&amp;" Equity","OPT_STRIKE_PX")</f>
        <v>180</v>
      </c>
      <c r="U105" s="39">
        <f>T105/S105-1</f>
        <v>-0.11993780893849837</v>
      </c>
      <c r="V105" s="36" cm="1">
        <f t="array" ref="V105">_xll.BDP($B105&amp;" Equity","ivol_mid")</f>
        <v>38.450749999999999</v>
      </c>
      <c r="W105" s="37" cm="1">
        <f t="array" ref="W105">_xll.BDP(B105&amp;" Equity","DELTA_MID_RT")</f>
        <v>-0.24254418909549713</v>
      </c>
      <c r="X105" s="47">
        <f>Y105/'Master P&amp;L'!$AE$5</f>
        <v>-6.277984439511528E-4</v>
      </c>
      <c r="Y105" s="15">
        <f>IF(G105="Sell", S105*W105*-H105*O105/N105, S105*W105*H105*O105/N105)</f>
        <v>-1488234.1661967337</v>
      </c>
      <c r="Z105" s="15" cm="1">
        <f t="array" ref="Z105">_xll.BDP($B105&amp;" Equity","opt_theta")*H105*O105/N105</f>
        <v>-1585.23</v>
      </c>
      <c r="AA105" s="18" cm="1">
        <f t="array" ref="AA105">_xll.BDP($B105&amp;" Equity","opt_theta")/I105</f>
        <v>-6.52358024691358E-3</v>
      </c>
      <c r="AB105" s="35" t="str" cm="1">
        <f t="array" ref="AB105">_xll.BDP($C105&amp;" Equity","EXPECTED_REPORT_DT")</f>
        <v>01/05/2026</v>
      </c>
      <c r="AC105" s="15">
        <f>S105*H105*O105/N105</f>
        <v>6135930</v>
      </c>
      <c r="AD105" s="18">
        <f>AC105/'Master P&amp;L'!$AE$5</f>
        <v>2.5883878986850072E-3</v>
      </c>
      <c r="AE105" t="str">
        <f>B105  &amp; " - Buy to open " &amp;  "-" &amp; H105 &amp;"x"</f>
        <v>AMZN US 07/17/26 P180 - Buy to open -300x</v>
      </c>
      <c r="AK105" s="58" t="s">
        <v>481</v>
      </c>
    </row>
    <row r="106" spans="1:37">
      <c r="H106" s="99" t="s">
        <v>64</v>
      </c>
      <c r="I106" s="101" t="e">
        <f>I104-I103-I105</f>
        <v>#VALUE!</v>
      </c>
      <c r="J106" s="99" t="s">
        <v>192</v>
      </c>
      <c r="K106" s="100" t="e">
        <f>K105/L104</f>
        <v>#VALUE!</v>
      </c>
      <c r="P106" s="127" t="e">
        <f>P104+P105+P103</f>
        <v>#VALUE!</v>
      </c>
      <c r="Q106" s="57" t="e">
        <f>P106/'Master P&amp;L'!$AD$5*10000</f>
        <v>#VALUE!</v>
      </c>
      <c r="S106" s="99" t="s">
        <v>194</v>
      </c>
      <c r="T106" s="101"/>
      <c r="W106" s="99" t="s">
        <v>195</v>
      </c>
      <c r="X106" s="120">
        <f>X104+X105+X103</f>
        <v>-6.9070749886012805E-4</v>
      </c>
      <c r="AC106" s="99" t="s">
        <v>172</v>
      </c>
      <c r="AD106" s="120">
        <f>AD104</f>
        <v>2.3258424961637331E-4</v>
      </c>
    </row>
    <row r="107" spans="1:37">
      <c r="H107" s="99" t="s">
        <v>196</v>
      </c>
      <c r="I107" s="101"/>
      <c r="J107" s="99" t="s">
        <v>90</v>
      </c>
      <c r="K107" s="107" t="e">
        <f>-AVERAGE(K103:L103)+AVERAGE(K104:L104)-AVERAGE(K105:L105)</f>
        <v>#DIV/0!</v>
      </c>
      <c r="P107" s="99"/>
      <c r="Q107" s="106"/>
      <c r="S107" s="99"/>
      <c r="T107" s="101"/>
      <c r="W107" s="99"/>
      <c r="X107" s="120"/>
      <c r="Y107" s="13">
        <f>(Y103+Y104+Y105)/S104</f>
        <v>-126145.13745386686</v>
      </c>
      <c r="AC107" s="99"/>
      <c r="AD107" s="102"/>
    </row>
    <row r="108" spans="1:37">
      <c r="D108" s="63"/>
      <c r="H108" s="95">
        <v>186</v>
      </c>
      <c r="I108" s="63" t="e">
        <f>(I104*A104)-(I105*A105)-(I103*A103)</f>
        <v>#VALUE!</v>
      </c>
      <c r="K108" s="63"/>
      <c r="N108" s="35"/>
      <c r="O108" s="132"/>
      <c r="P108" s="15"/>
      <c r="Q108" s="57"/>
      <c r="X108" s="70">
        <f>AD106+X106</f>
        <v>-4.5812324924375471E-4</v>
      </c>
    </row>
    <row r="109" spans="1:37">
      <c r="I109" s="63"/>
      <c r="K109" s="63"/>
    </row>
    <row r="110" spans="1:37">
      <c r="G110" s="63">
        <f>H110/$S$103-1</f>
        <v>0.8205862905003305</v>
      </c>
      <c r="H110" s="205">
        <f>$I$110+T103</f>
        <v>16.52</v>
      </c>
      <c r="I110" s="63">
        <f>I103+I105</f>
        <v>8.32</v>
      </c>
      <c r="K110" s="63"/>
      <c r="Q110" s="126" t="e">
        <f>(#REF!+#REF!)/#REF!</f>
        <v>#REF!</v>
      </c>
    </row>
    <row r="111" spans="1:37">
      <c r="G111" s="63">
        <f>H111/$S$103-1</f>
        <v>17.9199911836015</v>
      </c>
      <c r="H111" s="63">
        <f>T105-I110</f>
        <v>171.68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L29" sqref="L29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IF(B5="","",IF(LEN(B5)&gt;9,SUMIFS(Options!$H$3:$H$28,Options!$B$3:$B$28,Check!B5),SUMIFS('Master P&amp;L'!$H$11:$H$88,'Master P&amp;L'!$B$11:$B$88,Check!B5)))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1030</v>
      </c>
      <c r="P5" s="173">
        <f>IF(O5="","",IF(OR(LEFT(O5,4)="Cash",LEFT(O5,4)="Prov"),0,SUMIFS(Input_APM!N:N,Input_APM!L:L,Check!O5)))</f>
        <v>3962</v>
      </c>
      <c r="Q5" s="21">
        <f>IF(O5="","",IF(LEN(O5)&gt;9,SUMIFS(Options!$H$3:$H$28,Options!$B$3:$B$28,Check!O5),SUMIFS('Master P&amp;L'!$H$11:$H$88,'Master P&amp;L'!$B$11:$B$88,Check!O5)))</f>
        <v>4217</v>
      </c>
      <c r="R5" s="173">
        <f>IF(O5="","",P5-Q5)</f>
        <v>-255</v>
      </c>
      <c r="S5" s="288">
        <f>IF(O5="","",IF((P5+Q5)=0,"Ok",IF(OR(P5=0,Q5=0),"Erro",P5/Q5)))</f>
        <v>0.9395304718994546</v>
      </c>
      <c r="V5" s="13"/>
    </row>
    <row r="6" spans="2:22">
      <c r="B6" t="s">
        <v>334</v>
      </c>
      <c r="C6" s="187">
        <f>IF(B6="","",IF(LEN(B6)&gt;9,SUMIFS(Options!$H$3:$H$28,Options!$B$3:$B$28,Check!B6),SUMIFS('Master P&amp;L'!$H$11:$H$88,'Master P&amp;L'!$B$11:$B$88,Check!B6)))</f>
        <v>3978</v>
      </c>
      <c r="D6" s="187">
        <f>IF(B6="","",SUMIFS(Input_APM!N:N,Input_APM!L:L,Check!B6,Input_APM!M:M,Check!$F$1))</f>
        <v>3727</v>
      </c>
      <c r="E6" s="175">
        <f>IF(B6="","",C6-M6)</f>
        <v>0</v>
      </c>
      <c r="F6" s="187">
        <f>IF(B6="","",SUMIFS(Input_APM!N:N,Input_APM!M:M,Check!$F$1,Input_APM!L:L,Check!B6))</f>
        <v>3727</v>
      </c>
      <c r="G6" s="187">
        <f>IF(B6="","",SUMIFS(Input_APM!N:N,Input_APM!M:M,Check!$G$1,Input_APM!L:L,Check!B6))</f>
        <v>0</v>
      </c>
      <c r="H6" s="173">
        <f t="shared" ref="H6:H69" si="0">IF(B6="","",F6-G6)</f>
        <v>3727</v>
      </c>
      <c r="I6" s="173">
        <f>SUMIFS(Input_APM!N:N,Input_APM!L:L,Check!B6)</f>
        <v>3727</v>
      </c>
      <c r="J6" s="175">
        <f>IF(B6="","",(F6+G6)-I6)</f>
        <v>0</v>
      </c>
      <c r="K6" s="21">
        <f>IF(B6="","",SUMIFS('Input_APM (Zenith)'!N:N,'Input_APM (Zenith)'!L:L,Check!B6,'Input_APM (Zenith)'!M:M,Check!$F$1))</f>
        <v>251</v>
      </c>
      <c r="L6" s="21">
        <f>IF(B6="","",SUMIFS('Input_APM (Zenith)'!N:N,'Input_APM (Zenith)'!L:L,Check!B6,'Input_APM (Zenith)'!M:M,Check!$G$1))</f>
        <v>0</v>
      </c>
      <c r="M6" s="193">
        <f>IF(B6="","",F6+G6+K6+L6)</f>
        <v>3978</v>
      </c>
      <c r="O6" t="s">
        <v>1066</v>
      </c>
      <c r="P6" s="173">
        <f>IF(O6="","",IF(OR(LEFT(O6,4)="Cash",LEFT(O6,4)="Prov"),0,SUMIFS(Input_APM!N:N,Input_APM!L:L,Check!O6)))</f>
        <v>21662</v>
      </c>
      <c r="Q6" s="21">
        <f>IF(O6="","",IF(LEN(O6)&gt;9,SUMIFS(Options!$H$3:$H$28,Options!$B$3:$B$28,Check!O6),SUMIFS('Master P&amp;L'!$H$11:$H$88,'Master P&amp;L'!$B$11:$B$88,Check!O6)))</f>
        <v>23060</v>
      </c>
      <c r="R6" s="173">
        <f t="shared" ref="R6:R69" si="1">IF(O6="","",P6-Q6)</f>
        <v>-1398</v>
      </c>
      <c r="S6" s="288">
        <f t="shared" ref="S6:S69" si="2">IF(O6="","",IF((P6+Q6)=0,"Ok",IF(OR(P6=0,Q6=0),"Erro",P6/Q6)))</f>
        <v>0.93937554206418039</v>
      </c>
      <c r="V6" s="13"/>
    </row>
    <row r="7" spans="2:22">
      <c r="B7" t="s">
        <v>800</v>
      </c>
      <c r="C7" s="187">
        <f>IF(B7="","",IF(LEN(B7)&gt;9,SUMIFS(Options!$H$3:$H$28,Options!$B$3:$B$28,Check!B7),SUMIFS('Master P&amp;L'!$H$11:$H$88,'Master P&amp;L'!$B$11:$B$88,Check!B7)))</f>
        <v>4800</v>
      </c>
      <c r="D7" s="187">
        <f>IF(B7="","",SUMIFS(Input_APM!N:N,Input_APM!L:L,Check!B7,Input_APM!M:M,Check!$F$1))</f>
        <v>4497</v>
      </c>
      <c r="E7" s="175">
        <f>IF(B7="","",C7-M7)</f>
        <v>0</v>
      </c>
      <c r="F7" s="187">
        <f>IF(B7="","",SUMIFS(Input_APM!N:N,Input_APM!M:M,Check!$F$1,Input_APM!L:L,Check!B7))</f>
        <v>4497</v>
      </c>
      <c r="G7" s="187">
        <f>IF(B7="","",SUMIFS(Input_APM!N:N,Input_APM!M:M,Check!$G$1,Input_APM!L:L,Check!B7))</f>
        <v>0</v>
      </c>
      <c r="H7" s="173">
        <f>IF(B7="","",F7-G7)</f>
        <v>4497</v>
      </c>
      <c r="I7" s="173">
        <f>SUMIFS(Input_APM!N:N,Input_APM!L:L,Check!B7)</f>
        <v>4497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303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4800</v>
      </c>
      <c r="O7" t="s">
        <v>1022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IF(O7="","",IF(LEN(O7)&gt;9,SUMIFS(Options!$H$3:$H$28,Options!$B$3:$B$28,Check!O7),SUMIFS('Master P&amp;L'!$H$11:$H$88,'Master P&amp;L'!$B$11:$B$88,Check!O7)))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IF(B8="","",IF(LEN(B8)&gt;9,SUMIFS(Options!$H$3:$H$28,Options!$B$3:$B$28,Check!B8),SUMIFS('Master P&amp;L'!$H$11:$H$88,'Master P&amp;L'!$B$11:$B$88,Check!B8)))</f>
        <v>10700</v>
      </c>
      <c r="D8" s="187">
        <f>IF(B8="","",SUMIFS(Input_APM!N:N,Input_APM!L:L,Check!B8,Input_APM!M:M,Check!$F$1))</f>
        <v>10050</v>
      </c>
      <c r="E8" s="175">
        <f>IF(B8="","",C8-M8)</f>
        <v>0</v>
      </c>
      <c r="F8" s="187">
        <f>IF(B8="","",SUMIFS(Input_APM!N:N,Input_APM!M:M,Check!$F$1,Input_APM!L:L,Check!B8))</f>
        <v>10050</v>
      </c>
      <c r="G8" s="187">
        <f>IF(B8="","",SUMIFS(Input_APM!N:N,Input_APM!M:M,Check!$G$1,Input_APM!L:L,Check!B8))</f>
        <v>0</v>
      </c>
      <c r="H8" s="173">
        <f t="shared" si="0"/>
        <v>10050</v>
      </c>
      <c r="I8" s="173">
        <f>SUMIFS(Input_APM!N:N,Input_APM!L:L,Check!B8)</f>
        <v>10050</v>
      </c>
      <c r="J8" s="175">
        <f t="shared" si="3"/>
        <v>0</v>
      </c>
      <c r="K8" s="21">
        <f>IF(B8="","",SUMIFS('Input_APM (Zenith)'!N:N,'Input_APM (Zenith)'!L:L,Check!B8,'Input_APM (Zenith)'!M:M,Check!$F$1))</f>
        <v>650</v>
      </c>
      <c r="L8" s="21">
        <f>IF(B8="","",SUMIFS('Input_APM (Zenith)'!N:N,'Input_APM (Zenith)'!L:L,Check!B8,'Input_APM (Zenith)'!M:M,Check!$G$1))</f>
        <v>0</v>
      </c>
      <c r="M8" s="193">
        <f t="shared" si="4"/>
        <v>10700</v>
      </c>
      <c r="O8" t="s">
        <v>1063</v>
      </c>
      <c r="P8" s="173">
        <f>IF(O8="","",IF(OR(LEFT(O8,4)="Cash",LEFT(O8,4)="Prov"),0,SUMIFS(Input_APM!N:N,Input_APM!L:L,Check!O8)))</f>
        <v>-281</v>
      </c>
      <c r="Q8" s="21">
        <f>IF(O8="","",IF(LEN(O8)&gt;9,SUMIFS(Options!$H$3:$H$28,Options!$B$3:$B$28,Check!O8),SUMIFS('Master P&amp;L'!$H$11:$H$88,'Master P&amp;L'!$B$11:$B$88,Check!O8)))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IF(B9="","",IF(LEN(B9)&gt;9,SUMIFS(Options!$H$3:$H$28,Options!$B$3:$B$28,Check!B9),SUMIFS('Master P&amp;L'!$H$11:$H$88,'Master P&amp;L'!$B$11:$B$88,Check!B9)))</f>
        <v>0</v>
      </c>
      <c r="D9" s="187">
        <f>IF(B9="","",SUMIFS(Input_APM!N:N,Input_APM!L:L,Check!B9,Input_APM!M:M,Check!$F$1))</f>
        <v>0</v>
      </c>
      <c r="E9" s="175">
        <f>IF(B9="","",C9-M9)</f>
        <v>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1062</v>
      </c>
      <c r="P9" s="173">
        <f>IF(O9="","",IF(OR(LEFT(O9,4)="Cash",LEFT(O9,4)="Prov"),0,SUMIFS(Input_APM!N:N,Input_APM!L:L,Check!O9)))</f>
        <v>-282</v>
      </c>
      <c r="Q9" s="21">
        <f>IF(O9="","",IF(LEN(O9)&gt;9,SUMIFS(Options!$H$3:$H$28,Options!$B$3:$B$28,Check!O9),SUMIFS('Master P&amp;L'!$H$11:$H$88,'Master P&amp;L'!$B$11:$B$88,Check!O9)))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573</v>
      </c>
      <c r="C10" s="187">
        <f>IF(B10="","",IF(LEN(B10)&gt;9,SUMIFS(Options!$H$3:$H$28,Options!$B$3:$B$28,Check!B10),SUMIFS('Master P&amp;L'!$H$11:$H$88,'Master P&amp;L'!$B$11:$B$88,Check!B10)))</f>
        <v>-110</v>
      </c>
      <c r="D10" s="187">
        <f>IF(B10="","",SUMIFS(Input_APM!N:N,Input_APM!L:L,Check!B10,Input_APM!M:M,Check!$F$1))</f>
        <v>0</v>
      </c>
      <c r="E10" s="173">
        <f t="shared" ref="E10:E65" si="5">IF(B10="","",C10-M10)</f>
        <v>-110</v>
      </c>
      <c r="F10" s="187">
        <f>IF(B10="","",SUMIFS(Input_APM!N:N,Input_APM!M:M,Check!$F$1,Input_APM!L:L,Check!B10))</f>
        <v>0</v>
      </c>
      <c r="G10" s="187">
        <f>IF(B10="","",SUMIFS(Input_APM!N:N,Input_APM!M:M,Check!$G$1,Input_APM!L:L,Check!B10))</f>
        <v>0</v>
      </c>
      <c r="H10" s="173">
        <f t="shared" si="0"/>
        <v>0</v>
      </c>
      <c r="I10" s="173">
        <f>SUMIFS(Input_APM!N:N,Input_APM!L:L,Check!B10)</f>
        <v>0</v>
      </c>
      <c r="J10" s="175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3">
        <f t="shared" si="4"/>
        <v>0</v>
      </c>
      <c r="O10" t="s">
        <v>7</v>
      </c>
      <c r="P10" s="173">
        <f>IF(O10="","",IF(OR(LEFT(O10,4)="Cash",LEFT(O10,4)="Prov"),0,SUMIFS(Input_APM!N:N,Input_APM!L:L,Check!O10)))</f>
        <v>10050</v>
      </c>
      <c r="Q10" s="21">
        <f>IF(O10="","",IF(LEN(O10)&gt;9,SUMIFS(Options!$H$3:$H$28,Options!$B$3:$B$28,Check!O10),SUMIFS('Master P&amp;L'!$H$11:$H$88,'Master P&amp;L'!$B$11:$B$88,Check!O10)))</f>
        <v>10700</v>
      </c>
      <c r="R10" s="173">
        <f t="shared" si="1"/>
        <v>-650</v>
      </c>
      <c r="S10" s="288">
        <f t="shared" si="2"/>
        <v>0.93925233644859818</v>
      </c>
      <c r="V10" s="13"/>
    </row>
    <row r="11" spans="2:22">
      <c r="B11" t="s">
        <v>807</v>
      </c>
      <c r="C11" s="187">
        <f>IF(B11="","",IF(LEN(B11)&gt;9,SUMIFS(Options!$H$3:$H$28,Options!$B$3:$B$28,Check!B11),SUMIFS('Master P&amp;L'!$H$11:$H$88,'Master P&amp;L'!$B$11:$B$88,Check!B11)))</f>
        <v>12450</v>
      </c>
      <c r="D11" s="187">
        <f>IF(B11="","",SUMIFS(Input_APM!N:N,Input_APM!L:L,Check!B11,Input_APM!M:M,Check!$F$1))</f>
        <v>11666</v>
      </c>
      <c r="E11" s="173">
        <f t="shared" si="5"/>
        <v>0</v>
      </c>
      <c r="F11" s="187">
        <f>IF(B11="","",SUMIFS(Input_APM!N:N,Input_APM!M:M,Check!$F$1,Input_APM!L:L,Check!B11))</f>
        <v>11666</v>
      </c>
      <c r="G11" s="187">
        <f>IF(B11="","",SUMIFS(Input_APM!N:N,Input_APM!M:M,Check!$G$1,Input_APM!L:L,Check!B11))</f>
        <v>0</v>
      </c>
      <c r="H11" s="173">
        <f t="shared" si="0"/>
        <v>11666</v>
      </c>
      <c r="I11" s="173">
        <f>SUMIFS(Input_APM!N:N,Input_APM!L:L,Check!B11)</f>
        <v>11666</v>
      </c>
      <c r="J11" s="175">
        <f t="shared" si="3"/>
        <v>0</v>
      </c>
      <c r="K11" s="21">
        <f>IF(B11="","",SUMIFS('Input_APM (Zenith)'!N:N,'Input_APM (Zenith)'!L:L,Check!B11,'Input_APM (Zenith)'!M:M,Check!$F$1))</f>
        <v>784</v>
      </c>
      <c r="L11" s="21">
        <f>IF(B11="","",SUMIFS('Input_APM (Zenith)'!N:N,'Input_APM (Zenith)'!L:L,Check!B11,'Input_APM (Zenith)'!M:M,Check!$G$1))</f>
        <v>0</v>
      </c>
      <c r="M11" s="193">
        <f t="shared" si="4"/>
        <v>12450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IF(O11="","",IF(LEN(O11)&gt;9,SUMIFS(Options!$H$3:$H$28,Options!$B$3:$B$28,Check!O11),SUMIFS('Master P&amp;L'!$H$11:$H$88,'Master P&amp;L'!$B$11:$B$88,Check!O11)))</f>
        <v>2000</v>
      </c>
      <c r="R11" s="173">
        <f t="shared" si="1"/>
        <v>-126</v>
      </c>
      <c r="S11" s="288">
        <f t="shared" si="2"/>
        <v>0.93700000000000006</v>
      </c>
      <c r="V11" s="13"/>
    </row>
    <row r="12" spans="2:22">
      <c r="B12" t="s">
        <v>29</v>
      </c>
      <c r="C12" s="187">
        <f>IF(B12="","",IF(LEN(B12)&gt;9,SUMIFS(Options!$H$3:$H$28,Options!$B$3:$B$28,Check!B12),SUMIFS('Master P&amp;L'!$H$11:$H$88,'Master P&amp;L'!$B$11:$B$88,Check!B12)))</f>
        <v>9100</v>
      </c>
      <c r="D12" s="187">
        <f>IF(B12="","",SUMIFS(Input_APM!N:N,Input_APM!L:L,Check!B12,Input_APM!M:M,Check!$F$1))</f>
        <v>8549</v>
      </c>
      <c r="E12" s="173">
        <f t="shared" si="5"/>
        <v>0</v>
      </c>
      <c r="F12" s="187">
        <f>IF(B12="","",SUMIFS(Input_APM!N:N,Input_APM!M:M,Check!$F$1,Input_APM!L:L,Check!B12))</f>
        <v>8549</v>
      </c>
      <c r="G12" s="187">
        <f>IF(B12="","",SUMIFS(Input_APM!N:N,Input_APM!M:M,Check!$G$1,Input_APM!L:L,Check!B12))</f>
        <v>0</v>
      </c>
      <c r="H12" s="173">
        <f t="shared" si="0"/>
        <v>8549</v>
      </c>
      <c r="I12" s="173">
        <f>SUMIFS(Input_APM!N:N,Input_APM!L:L,Check!B12)</f>
        <v>8549</v>
      </c>
      <c r="J12" s="175">
        <f t="shared" si="3"/>
        <v>0</v>
      </c>
      <c r="K12" s="21">
        <f>IF(B12="","",SUMIFS('Input_APM (Zenith)'!N:N,'Input_APM (Zenith)'!L:L,Check!B12,'Input_APM (Zenith)'!M:M,Check!$F$1))</f>
        <v>551</v>
      </c>
      <c r="L12" s="21">
        <f>IF(B12="","",SUMIFS('Input_APM (Zenith)'!N:N,'Input_APM (Zenith)'!L:L,Check!B12,'Input_APM (Zenith)'!M:M,Check!$G$1))</f>
        <v>0</v>
      </c>
      <c r="M12" s="193">
        <f t="shared" si="4"/>
        <v>9100</v>
      </c>
      <c r="O12" t="s">
        <v>1043</v>
      </c>
      <c r="P12" s="173">
        <f>IF(O12="","",IF(OR(LEFT(O12,4)="Cash",LEFT(O12,4)="Prov"),0,SUMIFS(Input_APM!N:N,Input_APM!L:L,Check!O12)))</f>
        <v>939</v>
      </c>
      <c r="Q12" s="21">
        <f>IF(O12="","",IF(LEN(O12)&gt;9,SUMIFS(Options!$H$3:$H$28,Options!$B$3:$B$28,Check!O12),SUMIFS('Master P&amp;L'!$H$11:$H$88,'Master P&amp;L'!$B$11:$B$88,Check!O12)))</f>
        <v>1000</v>
      </c>
      <c r="R12" s="173">
        <f t="shared" si="1"/>
        <v>-61</v>
      </c>
      <c r="S12" s="288">
        <f t="shared" si="2"/>
        <v>0.93899999999999995</v>
      </c>
      <c r="V12" s="13"/>
    </row>
    <row r="13" spans="2:22">
      <c r="B13" t="s">
        <v>316</v>
      </c>
      <c r="C13" s="187">
        <f>IF(B13="","",IF(LEN(B13)&gt;9,SUMIFS(Options!$H$3:$H$28,Options!$B$3:$B$28,Check!B13),SUMIFS('Master P&amp;L'!$H$11:$H$88,'Master P&amp;L'!$B$11:$B$88,Check!B13)))</f>
        <v>0</v>
      </c>
      <c r="D13" s="187">
        <f>IF(B13="","",SUMIFS(Input_APM!N:N,Input_APM!L:L,Check!B13,Input_APM!M:M,Check!$F$1))</f>
        <v>0</v>
      </c>
      <c r="E13" s="175">
        <f t="shared" si="5"/>
        <v>0</v>
      </c>
      <c r="F13" s="187">
        <f>IF(B13="","",SUMIFS(Input_APM!N:N,Input_APM!M:M,Check!$F$1,Input_APM!L:L,Check!B13))</f>
        <v>0</v>
      </c>
      <c r="G13" s="187">
        <f>IF(B13="","",SUMIFS(Input_APM!N:N,Input_APM!M:M,Check!$G$1,Input_APM!L:L,Check!B13))</f>
        <v>0</v>
      </c>
      <c r="H13" s="173">
        <f t="shared" si="0"/>
        <v>0</v>
      </c>
      <c r="I13" s="173">
        <f>SUMIFS(Input_APM!N:N,Input_APM!L:L,Check!B13)</f>
        <v>0</v>
      </c>
      <c r="J13" s="175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3">
        <f t="shared" si="4"/>
        <v>0</v>
      </c>
      <c r="O13" t="s">
        <v>84</v>
      </c>
      <c r="P13" s="173">
        <f>IF(O13="","",IF(OR(LEFT(O13,4)="Cash",LEFT(O13,4)="Prov"),0,SUMIFS(Input_APM!N:N,Input_APM!L:L,Check!O13)))</f>
        <v>11970</v>
      </c>
      <c r="Q13" s="21">
        <f>IF(O13="","",IF(LEN(O13)&gt;9,SUMIFS(Options!$H$3:$H$28,Options!$B$3:$B$28,Check!O13),SUMIFS('Master P&amp;L'!$H$11:$H$88,'Master P&amp;L'!$B$11:$B$88,Check!O13)))</f>
        <v>12750</v>
      </c>
      <c r="R13" s="173">
        <f t="shared" si="1"/>
        <v>-780</v>
      </c>
      <c r="S13" s="288">
        <f t="shared" si="2"/>
        <v>0.93882352941176472</v>
      </c>
      <c r="V13" s="13"/>
    </row>
    <row r="14" spans="2:22">
      <c r="B14" t="s">
        <v>978</v>
      </c>
      <c r="C14" s="187">
        <f>IF(B14="","",IF(LEN(B14)&gt;9,SUMIFS(Options!$H$3:$H$28,Options!$B$3:$B$28,Check!B14),SUMIFS('Master P&amp;L'!$H$11:$H$88,'Master P&amp;L'!$B$11:$B$88,Check!B14)))</f>
        <v>0</v>
      </c>
      <c r="D14" s="187">
        <f>IF(B14="","",SUMIFS(Input_APM!N:N,Input_APM!L:L,Check!B14,Input_APM!M:M,Check!$F$1))</f>
        <v>0</v>
      </c>
      <c r="E14" s="173">
        <f t="shared" si="5"/>
        <v>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1095</v>
      </c>
      <c r="P14" s="173">
        <f>IF(O14="","",IF(OR(LEFT(O14,4)="Cash",LEFT(O14,4)="Prov"),0,SUMIFS(Input_APM!N:N,Input_APM!L:L,Check!O14)))</f>
        <v>-113</v>
      </c>
      <c r="Q14" s="21">
        <f>IF(O14="","",IF(LEN(O14)&gt;9,SUMIFS(Options!$H$3:$H$28,Options!$B$3:$B$28,Check!O14),SUMIFS('Master P&amp;L'!$H$11:$H$88,'Master P&amp;L'!$B$11:$B$88,Check!O14)))</f>
        <v>-120</v>
      </c>
      <c r="R14" s="173">
        <f t="shared" si="1"/>
        <v>7</v>
      </c>
      <c r="S14" s="288">
        <f t="shared" si="2"/>
        <v>0.94166666666666665</v>
      </c>
      <c r="V14" s="13"/>
    </row>
    <row r="15" spans="2:22">
      <c r="B15" t="s">
        <v>425</v>
      </c>
      <c r="C15" s="187">
        <f>IF(B15="","",IF(LEN(B15)&gt;9,SUMIFS(Options!$H$3:$H$28,Options!$B$3:$B$28,Check!B15),SUMIFS('Master P&amp;L'!$H$11:$H$88,'Master P&amp;L'!$B$11:$B$88,Check!B15)))</f>
        <v>30500</v>
      </c>
      <c r="D15" s="187">
        <f>IF(B15="","",SUMIFS(Input_APM!N:N,Input_APM!L:L,Check!B15,Input_APM!M:M,Check!$F$1))</f>
        <v>54615</v>
      </c>
      <c r="E15" s="175">
        <f t="shared" si="5"/>
        <v>-27796</v>
      </c>
      <c r="F15" s="187">
        <f>IF(B15="","",SUMIFS(Input_APM!N:N,Input_APM!M:M,Check!$F$1,Input_APM!L:L,Check!B15))</f>
        <v>54615</v>
      </c>
      <c r="G15" s="187">
        <f>IF(B15="","",SUMIFS(Input_APM!N:N,Input_APM!M:M,Check!$G$1,Input_APM!L:L,Check!B15))</f>
        <v>0</v>
      </c>
      <c r="H15" s="173">
        <f t="shared" si="0"/>
        <v>54615</v>
      </c>
      <c r="I15" s="173">
        <f>SUMIFS(Input_APM!N:N,Input_APM!L:L,Check!B15)</f>
        <v>54615</v>
      </c>
      <c r="J15" s="175">
        <f t="shared" si="3"/>
        <v>0</v>
      </c>
      <c r="K15" s="21">
        <f>IF(B15="","",SUMIFS('Input_APM (Zenith)'!N:N,'Input_APM (Zenith)'!L:L,Check!B15,'Input_APM (Zenith)'!M:M,Check!$F$1))</f>
        <v>3681</v>
      </c>
      <c r="L15" s="21">
        <f>IF(B15="","",SUMIFS('Input_APM (Zenith)'!N:N,'Input_APM (Zenith)'!L:L,Check!B15,'Input_APM (Zenith)'!M:M,Check!$G$1))</f>
        <v>0</v>
      </c>
      <c r="M15" s="193">
        <f t="shared" si="4"/>
        <v>58296</v>
      </c>
      <c r="O15" t="s">
        <v>765</v>
      </c>
      <c r="P15" s="173">
        <f>IF(O15="","",IF(OR(LEFT(O15,4)="Cash",LEFT(O15,4)="Prov"),0,SUMIFS(Input_APM!N:N,Input_APM!L:L,Check!O15)))</f>
        <v>114</v>
      </c>
      <c r="Q15" s="21">
        <f>IF(O15="","",IF(LEN(O15)&gt;9,SUMIFS(Options!$H$3:$H$28,Options!$B$3:$B$28,Check!O15),SUMIFS('Master P&amp;L'!$H$11:$H$88,'Master P&amp;L'!$B$11:$B$88,Check!O15)))</f>
        <v>120</v>
      </c>
      <c r="R15" s="173">
        <f t="shared" si="1"/>
        <v>-6</v>
      </c>
      <c r="S15" s="288">
        <f t="shared" si="2"/>
        <v>0.95</v>
      </c>
      <c r="V15" s="13"/>
    </row>
    <row r="16" spans="2:22">
      <c r="B16" t="s">
        <v>432</v>
      </c>
      <c r="C16" s="187">
        <f>IF(B16="","",IF(LEN(B16)&gt;9,SUMIFS(Options!$H$3:$H$28,Options!$B$3:$B$28,Check!B16),SUMIFS('Master P&amp;L'!$H$11:$H$88,'Master P&amp;L'!$B$11:$B$88,Check!B16)))</f>
        <v>1563</v>
      </c>
      <c r="D16" s="187">
        <f>IF(B16="","",SUMIFS(Input_APM!N:N,Input_APM!L:L,Check!B16,Input_APM!M:M,Check!$F$1))</f>
        <v>655</v>
      </c>
      <c r="E16" s="173">
        <f t="shared" si="5"/>
        <v>856</v>
      </c>
      <c r="F16" s="187">
        <f>IF(B16="","",SUMIFS(Input_APM!N:N,Input_APM!M:M,Check!$F$1,Input_APM!L:L,Check!B16))</f>
        <v>655</v>
      </c>
      <c r="G16" s="187">
        <f>IF(B16="","",SUMIFS(Input_APM!N:N,Input_APM!M:M,Check!$G$1,Input_APM!L:L,Check!B16))</f>
        <v>0</v>
      </c>
      <c r="H16" s="173">
        <f t="shared" si="0"/>
        <v>655</v>
      </c>
      <c r="I16" s="173">
        <f>SUMIFS(Input_APM!N:N,Input_APM!L:L,Check!B16)</f>
        <v>655</v>
      </c>
      <c r="J16" s="175">
        <f t="shared" si="3"/>
        <v>0</v>
      </c>
      <c r="K16" s="21">
        <f>IF(B16="","",SUMIFS('Input_APM (Zenith)'!N:N,'Input_APM (Zenith)'!L:L,Check!B16,'Input_APM (Zenith)'!M:M,Check!$F$1))</f>
        <v>52</v>
      </c>
      <c r="L16" s="21">
        <f>IF(B16="","",SUMIFS('Input_APM (Zenith)'!N:N,'Input_APM (Zenith)'!L:L,Check!B16,'Input_APM (Zenith)'!M:M,Check!$G$1))</f>
        <v>0</v>
      </c>
      <c r="M16" s="193">
        <f t="shared" si="4"/>
        <v>707</v>
      </c>
      <c r="O16" t="s">
        <v>334</v>
      </c>
      <c r="P16" s="173">
        <f>IF(O16="","",IF(OR(LEFT(O16,4)="Cash",LEFT(O16,4)="Prov"),0,SUMIFS(Input_APM!N:N,Input_APM!L:L,Check!O16)))</f>
        <v>3727</v>
      </c>
      <c r="Q16" s="21">
        <f>IF(O16="","",IF(LEN(O16)&gt;9,SUMIFS(Options!$H$3:$H$28,Options!$B$3:$B$28,Check!O16),SUMIFS('Master P&amp;L'!$H$11:$H$88,'Master P&amp;L'!$B$11:$B$88,Check!O16)))</f>
        <v>3978</v>
      </c>
      <c r="R16" s="173">
        <f t="shared" si="1"/>
        <v>-251</v>
      </c>
      <c r="S16" s="288">
        <f t="shared" si="2"/>
        <v>0.93690296631473102</v>
      </c>
      <c r="V16" s="13"/>
    </row>
    <row r="17" spans="2:22">
      <c r="B17" t="s">
        <v>523</v>
      </c>
      <c r="C17" s="187">
        <f>IF(B17="","",IF(LEN(B17)&gt;9,SUMIFS(Options!$H$3:$H$28,Options!$B$3:$B$28,Check!B17),SUMIFS('Master P&amp;L'!$H$11:$H$88,'Master P&amp;L'!$B$11:$B$88,Check!B17)))</f>
        <v>1468</v>
      </c>
      <c r="D17" s="187">
        <f>IF(B17="","",SUMIFS(Input_APM!N:N,Input_APM!L:L,Check!B17,Input_APM!M:M,Check!$F$1))</f>
        <v>0</v>
      </c>
      <c r="E17" s="175">
        <f t="shared" si="5"/>
        <v>1468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800</v>
      </c>
      <c r="P17" s="173">
        <f>IF(O17="","",IF(OR(LEFT(O17,4)="Cash",LEFT(O17,4)="Prov"),0,SUMIFS(Input_APM!N:N,Input_APM!L:L,Check!O17)))</f>
        <v>4497</v>
      </c>
      <c r="Q17" s="21">
        <f>IF(O17="","",IF(LEN(O17)&gt;9,SUMIFS(Options!$H$3:$H$28,Options!$B$3:$B$28,Check!O17),SUMIFS('Master P&amp;L'!$H$11:$H$88,'Master P&amp;L'!$B$11:$B$88,Check!O17)))</f>
        <v>4800</v>
      </c>
      <c r="R17" s="173">
        <f t="shared" si="1"/>
        <v>-303</v>
      </c>
      <c r="S17" s="288">
        <f t="shared" si="2"/>
        <v>0.93687500000000001</v>
      </c>
      <c r="V17" s="13"/>
    </row>
    <row r="18" spans="2:22">
      <c r="B18" t="s">
        <v>952</v>
      </c>
      <c r="C18" s="187">
        <f>IF(B18="","",IF(LEN(B18)&gt;9,SUMIFS(Options!$H$3:$H$28,Options!$B$3:$B$28,Check!B18),SUMIFS('Master P&amp;L'!$H$11:$H$88,'Master P&amp;L'!$B$11:$B$88,Check!B18)))</f>
        <v>7080</v>
      </c>
      <c r="D18" s="187">
        <f>IF(B18="","",SUMIFS(Input_APM!N:N,Input_APM!L:L,Check!B18,Input_APM!M:M,Check!$F$1))</f>
        <v>0</v>
      </c>
      <c r="E18" s="175">
        <f t="shared" si="5"/>
        <v>7080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221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IF(O18="","",IF(LEN(O18)&gt;9,SUMIFS(Options!$H$3:$H$28,Options!$B$3:$B$28,Check!O18),SUMIFS('Master P&amp;L'!$H$11:$H$88,'Master P&amp;L'!$B$11:$B$88,Check!O18)))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1035</v>
      </c>
      <c r="C19" s="187">
        <f>IF(B19="","",IF(LEN(B19)&gt;9,SUMIFS(Options!$H$3:$H$28,Options!$B$3:$B$28,Check!B19),SUMIFS('Master P&amp;L'!$H$11:$H$88,'Master P&amp;L'!$B$11:$B$88,Check!B19)))</f>
        <v>4400</v>
      </c>
      <c r="D19" s="187">
        <f>IF(B19="","",SUMIFS(Input_APM!N:N,Input_APM!L:L,Check!B19,Input_APM!M:M,Check!$F$1))</f>
        <v>0</v>
      </c>
      <c r="E19" s="175">
        <f t="shared" si="5"/>
        <v>4400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222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IF(O19="","",IF(LEN(O19)&gt;9,SUMIFS(Options!$H$3:$H$28,Options!$B$3:$B$28,Check!O19),SUMIFS('Master P&amp;L'!$H$11:$H$88,'Master P&amp;L'!$B$11:$B$88,Check!O19)))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433</v>
      </c>
      <c r="C20" s="187">
        <f>IF(B20="","",IF(LEN(B20)&gt;9,SUMIFS(Options!$H$3:$H$28,Options!$B$3:$B$28,Check!B20),SUMIFS('Master P&amp;L'!$H$11:$H$88,'Master P&amp;L'!$B$11:$B$88,Check!B20)))</f>
        <v>17950</v>
      </c>
      <c r="D20" s="187">
        <f>IF(B20="","",SUMIFS(Input_APM!N:N,Input_APM!L:L,Check!B20,Input_APM!M:M,Check!$F$1))</f>
        <v>0</v>
      </c>
      <c r="E20" s="175">
        <f>IF(B20="","",C20-M20)</f>
        <v>17950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223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IF(O20="","",IF(LEN(O20)&gt;9,SUMIFS(Options!$H$3:$H$28,Options!$B$3:$B$28,Check!O20),SUMIFS('Master P&amp;L'!$H$11:$H$88,'Master P&amp;L'!$B$11:$B$88,Check!O20)))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44</v>
      </c>
      <c r="C21" s="187">
        <f>IF(B21="","",IF(LEN(B21)&gt;9,SUMIFS(Options!$H$3:$H$28,Options!$B$3:$B$28,Check!B21),SUMIFS('Master P&amp;L'!$H$11:$H$88,'Master P&amp;L'!$B$11:$B$88,Check!B21)))</f>
        <v>0</v>
      </c>
      <c r="D21" s="187">
        <f>IF(B21="","",SUMIFS(Input_APM!N:N,Input_APM!L:L,Check!B21,Input_APM!M:M,Check!$F$1))</f>
        <v>0</v>
      </c>
      <c r="E21" s="173">
        <f t="shared" si="5"/>
        <v>0</v>
      </c>
      <c r="F21" s="187">
        <f>IF(B21="","",SUMIFS(Input_APM!N:N,Input_APM!M:M,Check!$F$1,Input_APM!L:L,Check!B21))</f>
        <v>0</v>
      </c>
      <c r="G21" s="187">
        <f>IF(B21="","",SUMIFS(Input_APM!N:N,Input_APM!M:M,Check!$G$1,Input_APM!L:L,Check!B21))</f>
        <v>0</v>
      </c>
      <c r="H21" s="173">
        <f t="shared" si="0"/>
        <v>0</v>
      </c>
      <c r="I21" s="173">
        <f>SUMIFS(Input_APM!N:N,Input_APM!L:L,Check!B21)</f>
        <v>0</v>
      </c>
      <c r="J21" s="175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193">
        <f t="shared" si="4"/>
        <v>0</v>
      </c>
      <c r="O21" t="s">
        <v>786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IF(O21="","",IF(LEN(O21)&gt;9,SUMIFS(Options!$H$3:$H$28,Options!$B$3:$B$28,Check!O21),SUMIFS('Master P&amp;L'!$H$11:$H$88,'Master P&amp;L'!$B$11:$B$88,Check!O21)))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84</v>
      </c>
      <c r="C22" s="187">
        <f>IF(B22="","",IF(LEN(B22)&gt;9,SUMIFS(Options!$H$3:$H$28,Options!$B$3:$B$28,Check!B22),SUMIFS('Master P&amp;L'!$H$11:$H$88,'Master P&amp;L'!$B$11:$B$88,Check!B22)))</f>
        <v>12750</v>
      </c>
      <c r="D22" s="187">
        <f>IF(B22="","",SUMIFS(Input_APM!N:N,Input_APM!L:L,Check!B22,Input_APM!M:M,Check!$F$1))</f>
        <v>11970</v>
      </c>
      <c r="E22" s="173">
        <f t="shared" si="5"/>
        <v>0</v>
      </c>
      <c r="F22" s="187">
        <f>IF(B22="","",SUMIFS(Input_APM!N:N,Input_APM!M:M,Check!$F$1,Input_APM!L:L,Check!B22))</f>
        <v>11970</v>
      </c>
      <c r="G22" s="187">
        <f>IF(B22="","",SUMIFS(Input_APM!N:N,Input_APM!M:M,Check!$G$1,Input_APM!L:L,Check!B22))</f>
        <v>0</v>
      </c>
      <c r="H22" s="173">
        <f t="shared" si="0"/>
        <v>11970</v>
      </c>
      <c r="I22" s="173">
        <f>SUMIFS(Input_APM!N:N,Input_APM!L:L,Check!B22)</f>
        <v>11970</v>
      </c>
      <c r="J22" s="175">
        <f t="shared" si="3"/>
        <v>0</v>
      </c>
      <c r="K22" s="21">
        <f>IF(B22="","",SUMIFS('Input_APM (Zenith)'!N:N,'Input_APM (Zenith)'!L:L,Check!B22,'Input_APM (Zenith)'!M:M,Check!$F$1))</f>
        <v>780</v>
      </c>
      <c r="L22" s="21">
        <f>IF(B22="","",SUMIFS('Input_APM (Zenith)'!N:N,'Input_APM (Zenith)'!L:L,Check!B22,'Input_APM (Zenith)'!M:M,Check!$G$1))</f>
        <v>0</v>
      </c>
      <c r="M22" s="193">
        <f t="shared" si="4"/>
        <v>12750</v>
      </c>
      <c r="O22" t="s">
        <v>224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IF(O22="","",IF(LEN(O22)&gt;9,SUMIFS(Options!$H$3:$H$28,Options!$B$3:$B$28,Check!O22),SUMIFS('Master P&amp;L'!$H$11:$H$88,'Master P&amp;L'!$B$11:$B$88,Check!O22)))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342</v>
      </c>
      <c r="C23" s="187">
        <f>IF(B23="","",IF(LEN(B23)&gt;9,SUMIFS(Options!$H$3:$H$28,Options!$B$3:$B$28,Check!B23),SUMIFS('Master P&amp;L'!$H$11:$H$88,'Master P&amp;L'!$B$11:$B$88,Check!B23)))</f>
        <v>0</v>
      </c>
      <c r="D23" s="187">
        <f>IF(B23="","",SUMIFS(Input_APM!N:N,Input_APM!L:L,Check!B23,Input_APM!M:M,Check!$F$1))</f>
        <v>0</v>
      </c>
      <c r="E23" s="173">
        <f t="shared" si="5"/>
        <v>0</v>
      </c>
      <c r="F23" s="187">
        <f>IF(B23="","",SUMIFS(Input_APM!N:N,Input_APM!M:M,Check!$F$1,Input_APM!L:L,Check!B23))</f>
        <v>0</v>
      </c>
      <c r="G23" s="187">
        <f>IF(B23="","",SUMIFS(Input_APM!N:N,Input_APM!M:M,Check!$G$1,Input_APM!L:L,Check!B23))</f>
        <v>0</v>
      </c>
      <c r="H23" s="173">
        <f t="shared" si="0"/>
        <v>0</v>
      </c>
      <c r="I23" s="173">
        <f>SUMIFS(Input_APM!N:N,Input_APM!L:L,Check!B23)</f>
        <v>0</v>
      </c>
      <c r="J23" s="175">
        <f t="shared" si="3"/>
        <v>0</v>
      </c>
      <c r="K23" s="21">
        <f>IF(B23="","",SUMIFS('Input_APM (Zenith)'!N:N,'Input_APM (Zenith)'!L:L,Check!B23,'Input_APM (Zenith)'!M:M,Check!$F$1))</f>
        <v>0</v>
      </c>
      <c r="L23" s="21">
        <f>IF(B23="","",SUMIFS('Input_APM (Zenith)'!N:N,'Input_APM (Zenith)'!L:L,Check!B23,'Input_APM (Zenith)'!M:M,Check!$G$1))</f>
        <v>0</v>
      </c>
      <c r="M23" s="193">
        <f t="shared" si="4"/>
        <v>0</v>
      </c>
      <c r="O23" t="s">
        <v>225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IF(O23="","",IF(LEN(O23)&gt;9,SUMIFS(Options!$H$3:$H$28,Options!$B$3:$B$28,Check!O23),SUMIFS('Master P&amp;L'!$H$11:$H$88,'Master P&amp;L'!$B$11:$B$88,Check!O23)))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42</v>
      </c>
      <c r="C24" s="187">
        <f>IF(B24="","",IF(LEN(B24)&gt;9,SUMIFS(Options!$H$3:$H$28,Options!$B$3:$B$28,Check!B24),SUMIFS('Master P&amp;L'!$H$11:$H$88,'Master P&amp;L'!$B$11:$B$88,Check!B24)))</f>
        <v>55970</v>
      </c>
      <c r="D24" s="187">
        <f>IF(B24="","",SUMIFS(Input_APM!N:N,Input_APM!L:L,Check!B24,Input_APM!M:M,Check!$F$1))</f>
        <v>52479</v>
      </c>
      <c r="E24" s="173">
        <f t="shared" si="5"/>
        <v>0</v>
      </c>
      <c r="F24" s="187">
        <f>IF(B24="","",SUMIFS(Input_APM!N:N,Input_APM!M:M,Check!$F$1,Input_APM!L:L,Check!B24))</f>
        <v>52479</v>
      </c>
      <c r="G24" s="187">
        <f>IF(B24="","",SUMIFS(Input_APM!N:N,Input_APM!M:M,Check!$G$1,Input_APM!L:L,Check!B24))</f>
        <v>0</v>
      </c>
      <c r="H24" s="173">
        <f t="shared" si="0"/>
        <v>52479</v>
      </c>
      <c r="I24" s="173">
        <f>SUMIFS(Input_APM!N:N,Input_APM!L:L,Check!B24)</f>
        <v>52479</v>
      </c>
      <c r="J24" s="175">
        <f t="shared" si="3"/>
        <v>0</v>
      </c>
      <c r="K24" s="21">
        <f>IF(B24="","",SUMIFS('Input_APM (Zenith)'!N:N,'Input_APM (Zenith)'!L:L,Check!B24,'Input_APM (Zenith)'!M:M,Check!$F$1))</f>
        <v>3491</v>
      </c>
      <c r="L24" s="21">
        <f>IF(B24="","",SUMIFS('Input_APM (Zenith)'!N:N,'Input_APM (Zenith)'!L:L,Check!B24,'Input_APM (Zenith)'!M:M,Check!$G$1))</f>
        <v>0</v>
      </c>
      <c r="M24" s="193">
        <f t="shared" si="4"/>
        <v>55970</v>
      </c>
      <c r="O24" t="s">
        <v>226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IF(O24="","",IF(LEN(O24)&gt;9,SUMIFS(Options!$H$3:$H$28,Options!$B$3:$B$28,Check!O24),SUMIFS('Master P&amp;L'!$H$11:$H$88,'Master P&amp;L'!$B$11:$B$88,Check!O24)))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85</v>
      </c>
      <c r="C25" s="187">
        <f>IF(B25="","",IF(LEN(B25)&gt;9,SUMIFS(Options!$H$3:$H$28,Options!$B$3:$B$28,Check!B25),SUMIFS('Master P&amp;L'!$H$11:$H$88,'Master P&amp;L'!$B$11:$B$88,Check!B25)))</f>
        <v>-8800</v>
      </c>
      <c r="D25" s="187">
        <f>IF(B25="","",SUMIFS(Input_APM!N:N,Input_APM!L:L,Check!B25,Input_APM!M:M,Check!$F$1))</f>
        <v>-8267</v>
      </c>
      <c r="E25" s="173">
        <f t="shared" si="5"/>
        <v>0</v>
      </c>
      <c r="F25" s="187">
        <f>IF(B25="","",SUMIFS(Input_APM!N:N,Input_APM!M:M,Check!$F$1,Input_APM!L:L,Check!B25))</f>
        <v>-8267</v>
      </c>
      <c r="G25" s="187">
        <f>IF(B25="","",SUMIFS(Input_APM!N:N,Input_APM!M:M,Check!$G$1,Input_APM!L:L,Check!B25))</f>
        <v>0</v>
      </c>
      <c r="H25" s="173">
        <f t="shared" si="0"/>
        <v>-8267</v>
      </c>
      <c r="I25" s="173">
        <f>SUMIFS(Input_APM!N:N,Input_APM!L:L,Check!B25)</f>
        <v>-8267</v>
      </c>
      <c r="J25" s="175">
        <f t="shared" si="3"/>
        <v>0</v>
      </c>
      <c r="K25" s="21">
        <f>IF(B25="","",SUMIFS('Input_APM (Zenith)'!N:N,'Input_APM (Zenith)'!L:L,Check!B25,'Input_APM (Zenith)'!M:M,Check!$F$1))</f>
        <v>-533</v>
      </c>
      <c r="L25" s="21">
        <f>IF(B25="","",SUMIFS('Input_APM (Zenith)'!N:N,'Input_APM (Zenith)'!L:L,Check!B25,'Input_APM (Zenith)'!M:M,Check!$G$1))</f>
        <v>0</v>
      </c>
      <c r="M25" s="193">
        <f t="shared" si="4"/>
        <v>-8800</v>
      </c>
      <c r="O25" t="s">
        <v>227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IF(O25="","",IF(LEN(O25)&gt;9,SUMIFS(Options!$H$3:$H$28,Options!$B$3:$B$28,Check!O25),SUMIFS('Master P&amp;L'!$H$11:$H$88,'Master P&amp;L'!$B$11:$B$88,Check!O25)))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728</v>
      </c>
      <c r="C26" s="187">
        <f>IF(B26="","",IF(LEN(B26)&gt;9,SUMIFS(Options!$H$3:$H$28,Options!$B$3:$B$28,Check!B26),SUMIFS('Master P&amp;L'!$H$11:$H$88,'Master P&amp;L'!$B$11:$B$88,Check!B26)))</f>
        <v>4025</v>
      </c>
      <c r="D26" s="187">
        <f>IF(B26="","",SUMIFS(Input_APM!N:N,Input_APM!L:L,Check!B26,Input_APM!M:M,Check!$F$1))</f>
        <v>3779</v>
      </c>
      <c r="E26" s="175">
        <f>IF(B26="","",C26-M26)</f>
        <v>0</v>
      </c>
      <c r="F26" s="187">
        <f>IF(B26="","",SUMIFS(Input_APM!N:N,Input_APM!M:M,Check!$F$1,Input_APM!L:L,Check!B26))</f>
        <v>3779</v>
      </c>
      <c r="G26" s="187">
        <f>IF(B26="","",SUMIFS(Input_APM!N:N,Input_APM!M:M,Check!$G$1,Input_APM!L:L,Check!B26))</f>
        <v>0</v>
      </c>
      <c r="H26" s="173">
        <f t="shared" si="0"/>
        <v>3779</v>
      </c>
      <c r="I26" s="173">
        <f>SUMIFS(Input_APM!N:N,Input_APM!L:L,Check!B26)</f>
        <v>3779</v>
      </c>
      <c r="J26" s="175">
        <f t="shared" si="3"/>
        <v>0</v>
      </c>
      <c r="K26" s="21">
        <f>IF(B26="","",SUMIFS('Input_APM (Zenith)'!N:N,'Input_APM (Zenith)'!L:L,Check!B26,'Input_APM (Zenith)'!M:M,Check!$F$1))</f>
        <v>246</v>
      </c>
      <c r="L26" s="21">
        <f>IF(B26="","",SUMIFS('Input_APM (Zenith)'!N:N,'Input_APM (Zenith)'!L:L,Check!B26,'Input_APM (Zenith)'!M:M,Check!$G$1))</f>
        <v>0</v>
      </c>
      <c r="M26" s="193">
        <f t="shared" si="4"/>
        <v>4025</v>
      </c>
      <c r="O26" t="s">
        <v>228</v>
      </c>
      <c r="P26" s="173">
        <f>IF(O26="","",IF(OR(LEFT(O26,4)="Cash",LEFT(O26,4)="Prov"),0,SUMIFS(Input_APM!N:N,Input_APM!L:L,Check!O26)))</f>
        <v>0</v>
      </c>
      <c r="Q26" s="21">
        <f>IF(O26="","",IF(LEN(O26)&gt;9,SUMIFS(Options!$H$3:$H$28,Options!$B$3:$B$28,Check!O26),SUMIFS('Master P&amp;L'!$H$11:$H$88,'Master P&amp;L'!$B$11:$B$88,Check!O26)))</f>
        <v>0</v>
      </c>
      <c r="R26" s="173">
        <f t="shared" si="1"/>
        <v>0</v>
      </c>
      <c r="S26" s="288" t="str">
        <f t="shared" si="2"/>
        <v>Ok</v>
      </c>
      <c r="V26" s="13"/>
    </row>
    <row r="27" spans="2:22">
      <c r="B27" t="s">
        <v>1046</v>
      </c>
      <c r="C27" s="187">
        <f>IF(B27="","",IF(LEN(B27)&gt;9,SUMIFS(Options!$H$3:$H$28,Options!$B$3:$B$28,Check!B27),SUMIFS('Master P&amp;L'!$H$11:$H$88,'Master P&amp;L'!$B$11:$B$88,Check!B27)))</f>
        <v>0</v>
      </c>
      <c r="D27" s="187">
        <f>IF(B27="","",SUMIFS(Input_APM!N:N,Input_APM!L:L,Check!B27,Input_APM!M:M,Check!$F$1))</f>
        <v>0</v>
      </c>
      <c r="E27" s="175">
        <f t="shared" si="5"/>
        <v>0</v>
      </c>
      <c r="F27" s="187">
        <f>IF(B27="","",SUMIFS(Input_APM!N:N,Input_APM!M:M,Check!$F$1,Input_APM!L:L,Check!B27))</f>
        <v>0</v>
      </c>
      <c r="G27" s="187">
        <f>IF(B27="","",SUMIFS(Input_APM!N:N,Input_APM!M:M,Check!$G$1,Input_APM!L:L,Check!B27))</f>
        <v>0</v>
      </c>
      <c r="H27" s="173">
        <f t="shared" si="0"/>
        <v>0</v>
      </c>
      <c r="I27" s="173">
        <f>SUMIFS(Input_APM!N:N,Input_APM!L:L,Check!B27)</f>
        <v>0</v>
      </c>
      <c r="J27" s="175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193">
        <f t="shared" si="4"/>
        <v>0</v>
      </c>
      <c r="O27" t="s">
        <v>571</v>
      </c>
      <c r="P27" s="173">
        <f>IF(O27="","",IF(OR(LEFT(O27,4)="Cash",LEFT(O27,4)="Prov"),0,SUMIFS(Input_APM!N:N,Input_APM!L:L,Check!O27)))</f>
        <v>4625000</v>
      </c>
      <c r="Q27" s="21">
        <f>IF(O27="","",IF(LEN(O27)&gt;9,SUMIFS(Options!$H$3:$H$28,Options!$B$3:$B$28,Check!O27),SUMIFS('Master P&amp;L'!$H$11:$H$88,'Master P&amp;L'!$B$11:$B$88,Check!O27)))</f>
        <v>0</v>
      </c>
      <c r="R27" s="173">
        <f t="shared" si="1"/>
        <v>4625000</v>
      </c>
      <c r="S27" s="288" t="str">
        <f t="shared" si="2"/>
        <v>Erro</v>
      </c>
      <c r="V27" s="13"/>
    </row>
    <row r="28" spans="2:22">
      <c r="B28" t="s">
        <v>1066</v>
      </c>
      <c r="C28" s="187">
        <f>IF(B28="","",IF(LEN(B28)&gt;9,SUMIFS(Options!$H$3:$H$28,Options!$B$3:$B$28,Check!B28),SUMIFS('Master P&amp;L'!$H$11:$H$88,'Master P&amp;L'!$B$11:$B$88,Check!B28)))</f>
        <v>23060</v>
      </c>
      <c r="D28" s="187">
        <f>IF(B28="","",SUMIFS(Input_APM!N:N,Input_APM!L:L,Check!B28,Input_APM!M:M,Check!$F$1))</f>
        <v>21662</v>
      </c>
      <c r="E28" s="175">
        <f>IF(B28="","",C28-M28)</f>
        <v>0</v>
      </c>
      <c r="F28" s="187">
        <f>IF(B28="","",SUMIFS(Input_APM!N:N,Input_APM!M:M,Check!$F$1,Input_APM!L:L,Check!B28))</f>
        <v>21662</v>
      </c>
      <c r="G28" s="187">
        <f>IF(B28="","",SUMIFS(Input_APM!N:N,Input_APM!M:M,Check!$G$1,Input_APM!L:L,Check!B28))</f>
        <v>0</v>
      </c>
      <c r="H28" s="173">
        <f t="shared" si="0"/>
        <v>21662</v>
      </c>
      <c r="I28" s="173">
        <f>SUMIFS(Input_APM!N:N,Input_APM!L:L,Check!B28)</f>
        <v>21662</v>
      </c>
      <c r="J28" s="175">
        <f t="shared" si="3"/>
        <v>0</v>
      </c>
      <c r="K28" s="21">
        <f>IF(B28="","",SUMIFS('Input_APM (Zenith)'!N:N,'Input_APM (Zenith)'!L:L,Check!B28,'Input_APM (Zenith)'!M:M,Check!$F$1))</f>
        <v>1398</v>
      </c>
      <c r="L28" s="21">
        <f>IF(B28="","",SUMIFS('Input_APM (Zenith)'!N:N,'Input_APM (Zenith)'!L:L,Check!B28,'Input_APM (Zenith)'!M:M,Check!$G$1))</f>
        <v>0</v>
      </c>
      <c r="M28" s="193">
        <f t="shared" si="4"/>
        <v>23060</v>
      </c>
      <c r="O28" t="s">
        <v>1097</v>
      </c>
      <c r="P28" s="173">
        <f>IF(O28="","",IF(OR(LEFT(O28,4)="Cash",LEFT(O28,4)="Prov"),0,SUMIFS(Input_APM!N:N,Input_APM!L:L,Check!O28)))</f>
        <v>0</v>
      </c>
      <c r="Q28" s="21">
        <f>IF(O28="","",IF(LEN(O28)&gt;9,SUMIFS(Options!$H$3:$H$28,Options!$B$3:$B$28,Check!O28),SUMIFS('Master P&amp;L'!$H$11:$H$88,'Master P&amp;L'!$B$11:$B$88,Check!O28)))</f>
        <v>0</v>
      </c>
      <c r="R28" s="173">
        <f t="shared" si="1"/>
        <v>0</v>
      </c>
      <c r="S28" s="288" t="str">
        <f t="shared" si="2"/>
        <v>Ok</v>
      </c>
      <c r="V28" s="13"/>
    </row>
    <row r="29" spans="2:22">
      <c r="B29" t="s">
        <v>890</v>
      </c>
      <c r="C29" s="187">
        <f>IF(B29="","",IF(LEN(B29)&gt;9,SUMIFS(Options!$H$3:$H$28,Options!$B$3:$B$28,Check!B29),SUMIFS('Master P&amp;L'!$H$11:$H$88,'Master P&amp;L'!$B$11:$B$88,Check!B29)))</f>
        <v>41610</v>
      </c>
      <c r="D29" s="187">
        <f>IF(B29="","",SUMIFS(Input_APM!N:N,Input_APM!L:L,Check!B29,Input_APM!M:M,Check!$F$1))</f>
        <v>39047</v>
      </c>
      <c r="E29" s="175">
        <f t="shared" si="5"/>
        <v>0</v>
      </c>
      <c r="F29" s="187">
        <f>IF(B29="","",SUMIFS(Input_APM!N:N,Input_APM!M:M,Check!$F$1,Input_APM!L:L,Check!B29))</f>
        <v>39047</v>
      </c>
      <c r="G29" s="187">
        <f>IF(B29="","",SUMIFS(Input_APM!N:N,Input_APM!M:M,Check!$G$1,Input_APM!L:L,Check!B29))</f>
        <v>0</v>
      </c>
      <c r="H29" s="173">
        <f t="shared" si="0"/>
        <v>39047</v>
      </c>
      <c r="I29" s="173">
        <f>SUMIFS(Input_APM!N:N,Input_APM!L:L,Check!B29)</f>
        <v>39047</v>
      </c>
      <c r="J29" s="175">
        <f t="shared" si="3"/>
        <v>0</v>
      </c>
      <c r="K29" s="21">
        <f>IF(B29="","",SUMIFS('Input_APM (Zenith)'!N:N,'Input_APM (Zenith)'!L:L,Check!B29,'Input_APM (Zenith)'!M:M,Check!$F$1))</f>
        <v>2563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41610</v>
      </c>
      <c r="O29" t="s">
        <v>1046</v>
      </c>
      <c r="P29" s="173">
        <f>IF(O29="","",IF(OR(LEFT(O29,4)="Cash",LEFT(O29,4)="Prov"),0,SUMIFS(Input_APM!N:N,Input_APM!L:L,Check!O29)))</f>
        <v>0</v>
      </c>
      <c r="Q29" s="21">
        <f>IF(O29="","",IF(LEN(O29)&gt;9,SUMIFS(Options!$H$3:$H$28,Options!$B$3:$B$28,Check!O29),SUMIFS('Master P&amp;L'!$H$11:$H$88,'Master P&amp;L'!$B$11:$B$88,Check!O29)))</f>
        <v>0</v>
      </c>
      <c r="R29" s="173">
        <f t="shared" si="1"/>
        <v>0</v>
      </c>
      <c r="S29" s="288" t="str">
        <f t="shared" si="2"/>
        <v>Ok</v>
      </c>
      <c r="V29" s="13"/>
    </row>
    <row r="30" spans="2:22">
      <c r="B30" t="s">
        <v>790</v>
      </c>
      <c r="C30" s="187">
        <f>IF(B30="","",IF(LEN(B30)&gt;9,SUMIFS(Options!$H$3:$H$28,Options!$B$3:$B$28,Check!B30),SUMIFS('Master P&amp;L'!$H$11:$H$88,'Master P&amp;L'!$B$11:$B$88,Check!B30)))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890</v>
      </c>
      <c r="P30" s="173">
        <f>IF(O30="","",IF(OR(LEFT(O30,4)="Cash",LEFT(O30,4)="Prov"),0,SUMIFS(Input_APM!N:N,Input_APM!L:L,Check!O30)))</f>
        <v>39047</v>
      </c>
      <c r="Q30" s="21">
        <f>IF(O30="","",IF(LEN(O30)&gt;9,SUMIFS(Options!$H$3:$H$28,Options!$B$3:$B$28,Check!O30),SUMIFS('Master P&amp;L'!$H$11:$H$88,'Master P&amp;L'!$B$11:$B$88,Check!O30)))</f>
        <v>41610</v>
      </c>
      <c r="R30" s="173">
        <f t="shared" si="1"/>
        <v>-2563</v>
      </c>
      <c r="S30" s="288">
        <f t="shared" si="2"/>
        <v>0.9384042297524634</v>
      </c>
      <c r="V30" s="13"/>
    </row>
    <row r="31" spans="2:22">
      <c r="B31" t="s">
        <v>1030</v>
      </c>
      <c r="C31" s="187">
        <f>IF(B31="","",IF(LEN(B31)&gt;9,SUMIFS(Options!$H$3:$H$28,Options!$B$3:$B$28,Check!B31),SUMIFS('Master P&amp;L'!$H$11:$H$88,'Master P&amp;L'!$B$11:$B$88,Check!B31)))</f>
        <v>4217</v>
      </c>
      <c r="D31" s="187">
        <f>IF(B31="","",SUMIFS(Input_APM!N:N,Input_APM!L:L,Check!B31,Input_APM!M:M,Check!$F$1))</f>
        <v>3962</v>
      </c>
      <c r="E31" s="175">
        <f>IF(B31="","",C31-M31)</f>
        <v>0</v>
      </c>
      <c r="F31" s="187">
        <f>IF(B31="","",SUMIFS(Input_APM!N:N,Input_APM!M:M,Check!$F$1,Input_APM!L:L,Check!B31))</f>
        <v>3962</v>
      </c>
      <c r="G31" s="187">
        <f>IF(B31="","",SUMIFS(Input_APM!N:N,Input_APM!M:M,Check!$G$1,Input_APM!L:L,Check!B31))</f>
        <v>0</v>
      </c>
      <c r="H31" s="173">
        <f t="shared" si="0"/>
        <v>3962</v>
      </c>
      <c r="I31" s="173">
        <f>SUMIFS(Input_APM!N:N,Input_APM!L:L,Check!B31)</f>
        <v>3962</v>
      </c>
      <c r="J31" s="175">
        <f t="shared" si="3"/>
        <v>0</v>
      </c>
      <c r="K31" s="21">
        <f>IF(B31="","",SUMIFS('Input_APM (Zenith)'!N:N,'Input_APM (Zenith)'!L:L,Check!B31,'Input_APM (Zenith)'!M:M,Check!$F$1))</f>
        <v>255</v>
      </c>
      <c r="L31" s="21">
        <f>IF(B31="","",SUMIFS('Input_APM (Zenith)'!N:N,'Input_APM (Zenith)'!L:L,Check!B31,'Input_APM (Zenith)'!M:M,Check!$G$1))</f>
        <v>0</v>
      </c>
      <c r="M31" s="193">
        <f t="shared" si="4"/>
        <v>4217</v>
      </c>
      <c r="O31" t="s">
        <v>1044</v>
      </c>
      <c r="P31" s="173">
        <f>IF(O31="","",IF(OR(LEFT(O31,4)="Cash",LEFT(O31,4)="Prov"),0,SUMIFS(Input_APM!N:N,Input_APM!L:L,Check!O31)))</f>
        <v>-940</v>
      </c>
      <c r="Q31" s="21">
        <f>IF(O31="","",IF(LEN(O31)&gt;9,SUMIFS(Options!$H$3:$H$28,Options!$B$3:$B$28,Check!O31),SUMIFS('Master P&amp;L'!$H$11:$H$88,'Master P&amp;L'!$B$11:$B$88,Check!O31)))</f>
        <v>-1000</v>
      </c>
      <c r="R31" s="173">
        <f t="shared" si="1"/>
        <v>60</v>
      </c>
      <c r="S31" s="288">
        <f t="shared" si="2"/>
        <v>0.94</v>
      </c>
      <c r="V31" s="13"/>
    </row>
    <row r="32" spans="2:22">
      <c r="B32" t="s">
        <v>1031</v>
      </c>
      <c r="C32" s="187">
        <f>IF(B32="","",IF(LEN(B32)&gt;9,SUMIFS(Options!$H$3:$H$28,Options!$B$3:$B$28,Check!B32),SUMIFS('Master P&amp;L'!$H$11:$H$88,'Master P&amp;L'!$B$11:$B$88,Check!B32)))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1045</v>
      </c>
      <c r="P32" s="173">
        <f>IF(O32="","",IF(OR(LEFT(O32,4)="Cash",LEFT(O32,4)="Prov"),0,SUMIFS(Input_APM!N:N,Input_APM!L:L,Check!O32)))</f>
        <v>940</v>
      </c>
      <c r="Q32" s="21">
        <f>IF(O32="","",IF(LEN(O32)&gt;9,SUMIFS(Options!$H$3:$H$28,Options!$B$3:$B$28,Check!O32),SUMIFS('Master P&amp;L'!$H$11:$H$88,'Master P&amp;L'!$B$11:$B$88,Check!O32)))</f>
        <v>1000</v>
      </c>
      <c r="R32" s="173">
        <f t="shared" si="1"/>
        <v>-60</v>
      </c>
      <c r="S32" s="288">
        <f t="shared" si="2"/>
        <v>0.94</v>
      </c>
      <c r="V32" s="13"/>
    </row>
    <row r="33" spans="1:22">
      <c r="B33" t="s">
        <v>1041</v>
      </c>
      <c r="C33" s="187">
        <f>IF(B33="","",IF(LEN(B33)&gt;9,SUMIFS(Options!$H$3:$H$28,Options!$B$3:$B$28,Check!B33),SUMIFS('Master P&amp;L'!$H$11:$H$88,'Master P&amp;L'!$B$11:$B$88,Check!B33)))</f>
        <v>2000</v>
      </c>
      <c r="D33" s="187">
        <f>IF(B33="","",SUMIFS(Input_APM!N:N,Input_APM!L:L,Check!B33,Input_APM!M:M,Check!$F$1))</f>
        <v>1878</v>
      </c>
      <c r="E33" s="173">
        <f t="shared" si="5"/>
        <v>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1065</v>
      </c>
      <c r="P33" s="173">
        <f>IF(O33="","",IF(OR(LEFT(O33,4)="Cash",LEFT(O33,4)="Prov"),0,SUMIFS(Input_APM!N:N,Input_APM!L:L,Check!O33)))</f>
        <v>-470</v>
      </c>
      <c r="Q33" s="21">
        <f>IF(O33="","",IF(LEN(O33)&gt;9,SUMIFS(Options!$H$3:$H$28,Options!$B$3:$B$28,Check!O33),SUMIFS('Master P&amp;L'!$H$11:$H$88,'Master P&amp;L'!$B$11:$B$88,Check!O33)))</f>
        <v>-500</v>
      </c>
      <c r="R33" s="173">
        <f t="shared" si="1"/>
        <v>30</v>
      </c>
      <c r="S33" s="288">
        <f t="shared" si="2"/>
        <v>0.94</v>
      </c>
      <c r="V33" s="13"/>
    </row>
    <row r="34" spans="1:22">
      <c r="B34" t="s">
        <v>970</v>
      </c>
      <c r="C34" s="187">
        <f>IF(B34="","",IF(LEN(B34)&gt;9,SUMIFS(Options!$H$3:$H$28,Options!$B$3:$B$28,Check!B34),SUMIFS('Master P&amp;L'!$H$11:$H$88,'Master P&amp;L'!$B$11:$B$88,Check!B34)))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1041</v>
      </c>
      <c r="P34" s="173">
        <f>IF(O34="","",IF(OR(LEFT(O34,4)="Cash",LEFT(O34,4)="Prov"),0,SUMIFS(Input_APM!N:N,Input_APM!L:L,Check!O34)))</f>
        <v>1878</v>
      </c>
      <c r="Q34" s="21">
        <f>IF(O34="","",IF(LEN(O34)&gt;9,SUMIFS(Options!$H$3:$H$28,Options!$B$3:$B$28,Check!O34),SUMIFS('Master P&amp;L'!$H$11:$H$88,'Master P&amp;L'!$B$11:$B$88,Check!O34)))</f>
        <v>2000</v>
      </c>
      <c r="R34" s="173">
        <f t="shared" si="1"/>
        <v>-122</v>
      </c>
      <c r="S34" s="288">
        <f t="shared" si="2"/>
        <v>0.93899999999999995</v>
      </c>
      <c r="V34" s="13"/>
    </row>
    <row r="35" spans="1:22">
      <c r="B35" t="s">
        <v>78</v>
      </c>
      <c r="C35" s="187">
        <f>IF(B35="","",IF(LEN(B35)&gt;9,SUMIFS(Options!$H$3:$H$28,Options!$B$3:$B$28,Check!B35),SUMIFS('Master P&amp;L'!$H$11:$H$88,'Master P&amp;L'!$B$11:$B$88,Check!B35)))</f>
        <v>14909</v>
      </c>
      <c r="D35" s="187">
        <f>IF(B35="","",SUMIFS(Input_APM!N:N,Input_APM!L:L,Check!B35,Input_APM!M:M,Check!$F$1))</f>
        <v>14000</v>
      </c>
      <c r="E35" s="175">
        <f t="shared" si="5"/>
        <v>0</v>
      </c>
      <c r="F35" s="187">
        <f>IF(B35="","",SUMIFS(Input_APM!N:N,Input_APM!M:M,Check!$F$1,Input_APM!L:L,Check!B35))</f>
        <v>14000</v>
      </c>
      <c r="G35" s="187">
        <f>IF(B35="","",SUMIFS(Input_APM!N:N,Input_APM!M:M,Check!$G$1,Input_APM!L:L,Check!B35))</f>
        <v>0</v>
      </c>
      <c r="H35" s="173">
        <f t="shared" si="0"/>
        <v>14000</v>
      </c>
      <c r="I35" s="173">
        <f>SUMIFS(Input_APM!N:N,Input_APM!L:L,Check!B35)</f>
        <v>14000</v>
      </c>
      <c r="J35" s="175">
        <f t="shared" si="3"/>
        <v>0</v>
      </c>
      <c r="K35" s="21">
        <f>IF(B35="","",SUMIFS('Input_APM (Zenith)'!N:N,'Input_APM (Zenith)'!L:L,Check!B35,'Input_APM (Zenith)'!M:M,Check!$F$1))</f>
        <v>909</v>
      </c>
      <c r="L35" s="21">
        <f>IF(B35="","",SUMIFS('Input_APM (Zenith)'!N:N,'Input_APM (Zenith)'!L:L,Check!B35,'Input_APM (Zenith)'!M:M,Check!$G$1))</f>
        <v>0</v>
      </c>
      <c r="M35" s="193">
        <f t="shared" si="4"/>
        <v>14909</v>
      </c>
      <c r="O35" t="s">
        <v>425</v>
      </c>
      <c r="P35" s="173">
        <f>IF(O35="","",IF(OR(LEFT(O35,4)="Cash",LEFT(O35,4)="Prov"),0,SUMIFS(Input_APM!N:N,Input_APM!L:L,Check!O35)))</f>
        <v>54615</v>
      </c>
      <c r="Q35" s="21">
        <f>IF(O35="","",IF(LEN(O35)&gt;9,SUMIFS(Options!$H$3:$H$28,Options!$B$3:$B$28,Check!O35),SUMIFS('Master P&amp;L'!$H$11:$H$88,'Master P&amp;L'!$B$11:$B$88,Check!O35)))</f>
        <v>30500</v>
      </c>
      <c r="R35" s="173">
        <f t="shared" si="1"/>
        <v>24115</v>
      </c>
      <c r="S35" s="288">
        <f t="shared" si="2"/>
        <v>1.7906557377049179</v>
      </c>
      <c r="V35" s="13"/>
    </row>
    <row r="36" spans="1:22">
      <c r="B36" t="s">
        <v>1063</v>
      </c>
      <c r="C36" s="187">
        <f>IF(B36="","",IF(LEN(B36)&gt;9,SUMIFS(Options!$H$3:$H$28,Options!$B$3:$B$28,Check!B36),SUMIFS('Master P&amp;L'!$H$11:$H$88,'Master P&amp;L'!$B$11:$B$88,Check!B36)))</f>
        <v>-300</v>
      </c>
      <c r="D36" s="187">
        <f>IF(B36="","",SUMIFS(Input_APM!N:N,Input_APM!L:L,Check!B36,Input_APM!M:M,Check!$F$1))</f>
        <v>-281</v>
      </c>
      <c r="E36" s="175">
        <f>IF(B36="","",C36-M36)</f>
        <v>0</v>
      </c>
      <c r="F36" s="187">
        <f>IF(B36="","",SUMIFS(Input_APM!N:N,Input_APM!M:M,Check!$F$1,Input_APM!L:L,Check!B36))</f>
        <v>-281</v>
      </c>
      <c r="G36" s="187">
        <f>IF(B36="","",SUMIFS(Input_APM!N:N,Input_APM!M:M,Check!$G$1,Input_APM!L:L,Check!B36))</f>
        <v>0</v>
      </c>
      <c r="H36" s="173">
        <f t="shared" si="0"/>
        <v>-281</v>
      </c>
      <c r="I36" s="173">
        <f>SUMIFS(Input_APM!N:N,Input_APM!L:L,Check!B36)</f>
        <v>-281</v>
      </c>
      <c r="J36" s="175">
        <f t="shared" si="3"/>
        <v>0</v>
      </c>
      <c r="K36" s="21">
        <f>IF(B36="","",SUMIFS('Input_APM (Zenith)'!N:N,'Input_APM (Zenith)'!L:L,Check!B36,'Input_APM (Zenith)'!M:M,Check!$F$1))</f>
        <v>-19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-300</v>
      </c>
      <c r="O36" t="s">
        <v>78</v>
      </c>
      <c r="P36" s="173">
        <f>IF(O36="","",IF(OR(LEFT(O36,4)="Cash",LEFT(O36,4)="Prov"),0,SUMIFS(Input_APM!N:N,Input_APM!L:L,Check!O36)))</f>
        <v>14000</v>
      </c>
      <c r="Q36" s="21">
        <f>IF(O36="","",IF(LEN(O36)&gt;9,SUMIFS(Options!$H$3:$H$28,Options!$B$3:$B$28,Check!O36),SUMIFS('Master P&amp;L'!$H$11:$H$88,'Master P&amp;L'!$B$11:$B$88,Check!O36)))</f>
        <v>14909</v>
      </c>
      <c r="R36" s="173">
        <f t="shared" si="1"/>
        <v>-909</v>
      </c>
      <c r="S36" s="288">
        <f t="shared" si="2"/>
        <v>0.93903011603729292</v>
      </c>
      <c r="V36" s="13"/>
    </row>
    <row r="37" spans="1:22">
      <c r="B37" t="s">
        <v>1062</v>
      </c>
      <c r="C37" s="187">
        <f>IF(B37="","",IF(LEN(B37)&gt;9,SUMIFS(Options!$H$3:$H$28,Options!$B$3:$B$28,Check!B37),SUMIFS('Master P&amp;L'!$H$11:$H$88,'Master P&amp;L'!$B$11:$B$88,Check!B37)))</f>
        <v>-300</v>
      </c>
      <c r="D37" s="187">
        <f>IF(B37="","",SUMIFS(Input_APM!N:N,Input_APM!L:L,Check!B37,Input_APM!M:M,Check!$F$1))</f>
        <v>-282</v>
      </c>
      <c r="E37" s="175">
        <f>IF(B37="","",C37-M37)</f>
        <v>0</v>
      </c>
      <c r="F37" s="187">
        <f>IF(B37="","",SUMIFS(Input_APM!N:N,Input_APM!M:M,Check!$F$1,Input_APM!L:L,Check!B37))</f>
        <v>-282</v>
      </c>
      <c r="G37" s="187">
        <f>IF(B37="","",SUMIFS(Input_APM!N:N,Input_APM!M:M,Check!$G$1,Input_APM!L:L,Check!B37))</f>
        <v>0</v>
      </c>
      <c r="H37" s="173">
        <f t="shared" si="0"/>
        <v>-282</v>
      </c>
      <c r="I37" s="173">
        <f>SUMIFS(Input_APM!N:N,Input_APM!L:L,Check!B37)</f>
        <v>-282</v>
      </c>
      <c r="J37" s="175">
        <f t="shared" si="3"/>
        <v>0</v>
      </c>
      <c r="K37" s="21">
        <f>IF(B37="","",SUMIFS('Input_APM (Zenith)'!N:N,'Input_APM (Zenith)'!L:L,Check!B37,'Input_APM (Zenith)'!M:M,Check!$F$1))</f>
        <v>-18</v>
      </c>
      <c r="L37" s="21">
        <f>IF(B37="","",SUMIFS('Input_APM (Zenith)'!N:N,'Input_APM (Zenith)'!L:L,Check!B37,'Input_APM (Zenith)'!M:M,Check!$G$1))</f>
        <v>0</v>
      </c>
      <c r="M37" s="193">
        <f t="shared" si="4"/>
        <v>-300</v>
      </c>
      <c r="O37" t="s">
        <v>836</v>
      </c>
      <c r="P37" s="173">
        <f>IF(O37="","",IF(OR(LEFT(O37,4)="Cash",LEFT(O37,4)="Prov"),0,SUMIFS(Input_APM!N:N,Input_APM!L:L,Check!O37)))</f>
        <v>797</v>
      </c>
      <c r="Q37" s="21">
        <f>IF(O37="","",IF(LEN(O37)&gt;9,SUMIFS(Options!$H$3:$H$28,Options!$B$3:$B$28,Check!O37),SUMIFS('Master P&amp;L'!$H$11:$H$88,'Master P&amp;L'!$B$11:$B$88,Check!O37)))</f>
        <v>0</v>
      </c>
      <c r="R37" s="173">
        <f t="shared" si="1"/>
        <v>797</v>
      </c>
      <c r="S37" s="288" t="str">
        <f t="shared" si="2"/>
        <v>Erro</v>
      </c>
      <c r="V37" s="13"/>
    </row>
    <row r="38" spans="1:22">
      <c r="B38" t="s">
        <v>819</v>
      </c>
      <c r="C38" s="187">
        <f>IF(B38="","",IF(LEN(B38)&gt;9,SUMIFS(Options!$H$3:$H$28,Options!$B$3:$B$28,Check!B38),SUMIFS('Master P&amp;L'!$H$11:$H$88,'Master P&amp;L'!$B$11:$B$88,Check!B38)))</f>
        <v>2000</v>
      </c>
      <c r="D38" s="187">
        <f>IF(B38="","",SUMIFS(Input_APM!N:N,Input_APM!L:L,Check!B38,Input_APM!M:M,Check!$F$1))</f>
        <v>1874</v>
      </c>
      <c r="E38" s="173">
        <f t="shared" si="5"/>
        <v>0</v>
      </c>
      <c r="F38" s="187">
        <f>IF(B38="","",SUMIFS(Input_APM!N:N,Input_APM!M:M,Check!$F$1,Input_APM!L:L,Check!B38))</f>
        <v>1874</v>
      </c>
      <c r="G38" s="187">
        <f>IF(B38="","",SUMIFS(Input_APM!N:N,Input_APM!M:M,Check!$G$1,Input_APM!L:L,Check!B38))</f>
        <v>0</v>
      </c>
      <c r="H38" s="173">
        <f t="shared" si="0"/>
        <v>1874</v>
      </c>
      <c r="I38" s="173">
        <f>SUMIFS(Input_APM!N:N,Input_APM!L:L,Check!B38)</f>
        <v>1874</v>
      </c>
      <c r="J38" s="175">
        <f t="shared" si="3"/>
        <v>0</v>
      </c>
      <c r="K38" s="21">
        <f>IF(B38="","",SUMIFS('Input_APM (Zenith)'!N:N,'Input_APM (Zenith)'!L:L,Check!B38,'Input_APM (Zenith)'!M:M,Check!$F$1))</f>
        <v>126</v>
      </c>
      <c r="L38" s="21">
        <f>IF(B38="","",SUMIFS('Input_APM (Zenith)'!N:N,'Input_APM (Zenith)'!L:L,Check!B38,'Input_APM (Zenith)'!M:M,Check!$G$1))</f>
        <v>0</v>
      </c>
      <c r="M38" s="193">
        <f t="shared" si="4"/>
        <v>2000</v>
      </c>
      <c r="O38" t="s">
        <v>837</v>
      </c>
      <c r="P38" s="173">
        <f>IF(O38="","",IF(OR(LEFT(O38,4)="Cash",LEFT(O38,4)="Prov"),0,SUMIFS(Input_APM!N:N,Input_APM!L:L,Check!O38)))</f>
        <v>-797</v>
      </c>
      <c r="Q38" s="21">
        <f>IF(O38="","",IF(LEN(O38)&gt;9,SUMIFS(Options!$H$3:$H$28,Options!$B$3:$B$28,Check!O38),SUMIFS('Master P&amp;L'!$H$11:$H$88,'Master P&amp;L'!$B$11:$B$88,Check!O38)))</f>
        <v>0</v>
      </c>
      <c r="R38" s="173">
        <f t="shared" si="1"/>
        <v>-797</v>
      </c>
      <c r="S38" s="288" t="str">
        <f t="shared" si="2"/>
        <v>Erro</v>
      </c>
      <c r="V38" s="13"/>
    </row>
    <row r="39" spans="1:22">
      <c r="B39" t="s">
        <v>1043</v>
      </c>
      <c r="C39" s="187">
        <f>IF(B39="","",IF(LEN(B39)&gt;9,SUMIFS(Options!$H$3:$H$28,Options!$B$3:$B$28,Check!B39),SUMIFS('Master P&amp;L'!$H$11:$H$88,'Master P&amp;L'!$B$11:$B$88,Check!B39)))</f>
        <v>1000</v>
      </c>
      <c r="D39" s="187">
        <f>IF(B39="","",SUMIFS(Input_APM!N:N,Input_APM!L:L,Check!B39,Input_APM!M:M,Check!$F$1))</f>
        <v>939</v>
      </c>
      <c r="E39" s="173">
        <f t="shared" si="5"/>
        <v>0</v>
      </c>
      <c r="F39" s="187">
        <f>IF(B39="","",SUMIFS(Input_APM!N:N,Input_APM!M:M,Check!$F$1,Input_APM!L:L,Check!B39))</f>
        <v>939</v>
      </c>
      <c r="G39" s="187">
        <f>IF(B39="","",SUMIFS(Input_APM!N:N,Input_APM!M:M,Check!$G$1,Input_APM!L:L,Check!B39))</f>
        <v>0</v>
      </c>
      <c r="H39" s="173">
        <f t="shared" si="0"/>
        <v>939</v>
      </c>
      <c r="I39" s="173">
        <f>SUMIFS(Input_APM!N:N,Input_APM!L:L,Check!B39)</f>
        <v>939</v>
      </c>
      <c r="J39" s="175">
        <f t="shared" si="3"/>
        <v>0</v>
      </c>
      <c r="K39" s="21">
        <f>IF(B39="","",SUMIFS('Input_APM (Zenith)'!N:N,'Input_APM (Zenith)'!L:L,Check!B39,'Input_APM (Zenith)'!M:M,Check!$F$1))</f>
        <v>61</v>
      </c>
      <c r="L39" s="21">
        <f>IF(B39="","",SUMIFS('Input_APM (Zenith)'!N:N,'Input_APM (Zenith)'!L:L,Check!B39,'Input_APM (Zenith)'!M:M,Check!$G$1))</f>
        <v>0</v>
      </c>
      <c r="M39" s="193">
        <f t="shared" si="4"/>
        <v>1000</v>
      </c>
      <c r="O39" t="s">
        <v>1031</v>
      </c>
      <c r="P39" s="173">
        <f>IF(O39="","",IF(OR(LEFT(O39,4)="Cash",LEFT(O39,4)="Prov"),0,SUMIFS(Input_APM!N:N,Input_APM!L:L,Check!O39)))</f>
        <v>906</v>
      </c>
      <c r="Q39" s="21">
        <f>IF(O39="","",IF(LEN(O39)&gt;9,SUMIFS(Options!$H$3:$H$28,Options!$B$3:$B$28,Check!O39),SUMIFS('Master P&amp;L'!$H$11:$H$88,'Master P&amp;L'!$B$11:$B$88,Check!O39)))</f>
        <v>965</v>
      </c>
      <c r="R39" s="173">
        <f t="shared" si="1"/>
        <v>-59</v>
      </c>
      <c r="S39" s="288">
        <f t="shared" si="2"/>
        <v>0.93886010362694305</v>
      </c>
      <c r="V39" s="13"/>
    </row>
    <row r="40" spans="1:22">
      <c r="B40" t="s">
        <v>1043</v>
      </c>
      <c r="C40" s="187">
        <f>IF(B40="","",IF(LEN(B40)&gt;9,SUMIFS(Options!$H$3:$H$28,Options!$B$3:$B$28,Check!B40),SUMIFS('Master P&amp;L'!$H$11:$H$88,'Master P&amp;L'!$B$11:$B$88,Check!B40)))</f>
        <v>1000</v>
      </c>
      <c r="D40" s="187">
        <f>IF(B40="","",SUMIFS(Input_APM!N:N,Input_APM!L:L,Check!B40,Input_APM!M:M,Check!$F$1))</f>
        <v>939</v>
      </c>
      <c r="E40" s="175">
        <f t="shared" si="5"/>
        <v>0</v>
      </c>
      <c r="F40" s="187">
        <f>IF(B40="","",SUMIFS(Input_APM!N:N,Input_APM!M:M,Check!$F$1,Input_APM!L:L,Check!B40))</f>
        <v>939</v>
      </c>
      <c r="G40" s="187">
        <f>IF(B40="","",SUMIFS(Input_APM!N:N,Input_APM!M:M,Check!$G$1,Input_APM!L:L,Check!B40))</f>
        <v>0</v>
      </c>
      <c r="H40" s="173">
        <f t="shared" si="0"/>
        <v>939</v>
      </c>
      <c r="I40" s="173">
        <f>SUMIFS(Input_APM!N:N,Input_APM!L:L,Check!B40)</f>
        <v>939</v>
      </c>
      <c r="J40" s="175">
        <f t="shared" si="3"/>
        <v>0</v>
      </c>
      <c r="K40" s="21">
        <f>IF(B40="","",SUMIFS('Input_APM (Zenith)'!N:N,'Input_APM (Zenith)'!L:L,Check!B40,'Input_APM (Zenith)'!M:M,Check!$F$1))</f>
        <v>61</v>
      </c>
      <c r="L40" s="21">
        <f>IF(B40="","",SUMIFS('Input_APM (Zenith)'!N:N,'Input_APM (Zenith)'!L:L,Check!B40,'Input_APM (Zenith)'!M:M,Check!$G$1))</f>
        <v>0</v>
      </c>
      <c r="M40" s="193">
        <f t="shared" si="4"/>
        <v>1000</v>
      </c>
      <c r="O40" t="s">
        <v>807</v>
      </c>
      <c r="P40" s="173">
        <f>IF(O40="","",IF(OR(LEFT(O40,4)="Cash",LEFT(O40,4)="Prov"),0,SUMIFS(Input_APM!N:N,Input_APM!L:L,Check!O40)))</f>
        <v>11666</v>
      </c>
      <c r="Q40" s="21">
        <f>IF(O40="","",IF(LEN(O40)&gt;9,SUMIFS(Options!$H$3:$H$28,Options!$B$3:$B$28,Check!O40),SUMIFS('Master P&amp;L'!$H$11:$H$88,'Master P&amp;L'!$B$11:$B$88,Check!O40)))</f>
        <v>12450</v>
      </c>
      <c r="R40" s="173">
        <f t="shared" si="1"/>
        <v>-784</v>
      </c>
      <c r="S40" s="288">
        <f t="shared" si="2"/>
        <v>0.93702811244979922</v>
      </c>
      <c r="V40" s="13"/>
    </row>
    <row r="41" spans="1:22">
      <c r="B41" t="s">
        <v>765</v>
      </c>
      <c r="C41" s="187">
        <f>IF(B41="","",IF(LEN(B41)&gt;9,SUMIFS(Options!$H$3:$H$28,Options!$B$3:$B$28,Check!B41),SUMIFS('Master P&amp;L'!$H$11:$H$88,'Master P&amp;L'!$B$11:$B$88,Check!B41)))</f>
        <v>120</v>
      </c>
      <c r="D41" s="187">
        <f>IF(B41="","",SUMIFS(Input_APM!N:N,Input_APM!L:L,Check!B41,Input_APM!M:M,Check!$F$1))</f>
        <v>114</v>
      </c>
      <c r="E41" s="173">
        <f t="shared" si="5"/>
        <v>0</v>
      </c>
      <c r="F41" s="187">
        <f>IF(B41="","",SUMIFS(Input_APM!N:N,Input_APM!M:M,Check!$F$1,Input_APM!L:L,Check!B41))</f>
        <v>114</v>
      </c>
      <c r="G41" s="187">
        <f>IF(B41="","",SUMIFS(Input_APM!N:N,Input_APM!M:M,Check!$G$1,Input_APM!L:L,Check!B41))</f>
        <v>0</v>
      </c>
      <c r="H41" s="173">
        <f t="shared" si="0"/>
        <v>114</v>
      </c>
      <c r="I41" s="173">
        <f>SUMIFS(Input_APM!N:N,Input_APM!L:L,Check!B41)</f>
        <v>114</v>
      </c>
      <c r="J41" s="175">
        <f t="shared" si="3"/>
        <v>0</v>
      </c>
      <c r="K41" s="21">
        <f>IF(B41="","",SUMIFS('Input_APM (Zenith)'!N:N,'Input_APM (Zenith)'!L:L,Check!B41,'Input_APM (Zenith)'!M:M,Check!$F$1))</f>
        <v>6</v>
      </c>
      <c r="L41" s="21">
        <f>IF(B41="","",SUMIFS('Input_APM (Zenith)'!N:N,'Input_APM (Zenith)'!L:L,Check!B41,'Input_APM (Zenith)'!M:M,Check!$G$1))</f>
        <v>0</v>
      </c>
      <c r="M41" s="193">
        <f t="shared" si="4"/>
        <v>120</v>
      </c>
      <c r="O41" t="s">
        <v>561</v>
      </c>
      <c r="P41" s="173">
        <f>IF(O41="","",IF(OR(LEFT(O41,4)="Cash",LEFT(O41,4)="Prov"),0,SUMIFS(Input_APM!N:N,Input_APM!L:L,Check!O41)))</f>
        <v>276451</v>
      </c>
      <c r="Q41" s="21">
        <f>IF(O41="","",IF(LEN(O41)&gt;9,SUMIFS(Options!$H$3:$H$28,Options!$B$3:$B$28,Check!O41),SUMIFS('Master P&amp;L'!$H$11:$H$88,'Master P&amp;L'!$B$11:$B$88,Check!O41)))</f>
        <v>0</v>
      </c>
      <c r="R41" s="173">
        <f t="shared" si="1"/>
        <v>276451</v>
      </c>
      <c r="S41" s="288" t="str">
        <f t="shared" si="2"/>
        <v>Erro</v>
      </c>
      <c r="V41" s="13"/>
    </row>
    <row r="42" spans="1:22">
      <c r="B42" t="s">
        <v>1095</v>
      </c>
      <c r="C42" s="187">
        <f>IF(B42="","",IF(LEN(B42)&gt;9,SUMIFS(Options!$H$3:$H$28,Options!$B$3:$B$28,Check!B42),SUMIFS('Master P&amp;L'!$H$11:$H$88,'Master P&amp;L'!$B$11:$B$88,Check!B42)))</f>
        <v>-120</v>
      </c>
      <c r="D42" s="187">
        <f>IF(B42="","",SUMIFS(Input_APM!N:N,Input_APM!L:L,Check!B42,Input_APM!M:M,Check!$F$1))</f>
        <v>-113</v>
      </c>
      <c r="E42" s="175">
        <f t="shared" si="5"/>
        <v>0</v>
      </c>
      <c r="F42" s="187">
        <f>IF(B42="","",SUMIFS(Input_APM!N:N,Input_APM!M:M,Check!$F$1,Input_APM!L:L,Check!B42))</f>
        <v>-113</v>
      </c>
      <c r="G42" s="187">
        <f>IF(B42="","",SUMIFS(Input_APM!N:N,Input_APM!M:M,Check!$G$1,Input_APM!L:L,Check!B42))</f>
        <v>0</v>
      </c>
      <c r="H42" s="173">
        <f t="shared" si="0"/>
        <v>-113</v>
      </c>
      <c r="I42" s="173">
        <f>SUMIFS(Input_APM!N:N,Input_APM!L:L,Check!B42)</f>
        <v>-113</v>
      </c>
      <c r="J42" s="175">
        <f t="shared" si="3"/>
        <v>0</v>
      </c>
      <c r="K42" s="21">
        <f>IF(B42="","",SUMIFS('Input_APM (Zenith)'!N:N,'Input_APM (Zenith)'!L:L,Check!B42,'Input_APM (Zenith)'!M:M,Check!$F$1))</f>
        <v>-7</v>
      </c>
      <c r="L42" s="21">
        <f>IF(B42="","",SUMIFS('Input_APM (Zenith)'!N:N,'Input_APM (Zenith)'!L:L,Check!B42,'Input_APM (Zenith)'!M:M,Check!$G$1))</f>
        <v>0</v>
      </c>
      <c r="M42" s="193">
        <f t="shared" si="4"/>
        <v>-120</v>
      </c>
      <c r="O42" t="s">
        <v>562</v>
      </c>
      <c r="P42" s="173">
        <f>IF(O42="","",IF(OR(LEFT(O42,4)="Cash",LEFT(O42,4)="Prov"),0,SUMIFS(Input_APM!N:N,Input_APM!L:L,Check!O42)))</f>
        <v>-276451</v>
      </c>
      <c r="Q42" s="21">
        <f>IF(O42="","",IF(LEN(O42)&gt;9,SUMIFS(Options!$H$3:$H$28,Options!$B$3:$B$28,Check!O42),SUMIFS('Master P&amp;L'!$H$11:$H$88,'Master P&amp;L'!$B$11:$B$88,Check!O42)))</f>
        <v>0</v>
      </c>
      <c r="R42" s="173">
        <f t="shared" si="1"/>
        <v>-276451</v>
      </c>
      <c r="S42" s="288" t="str">
        <f t="shared" si="2"/>
        <v>Erro</v>
      </c>
      <c r="V42" s="13"/>
    </row>
    <row r="43" spans="1:22">
      <c r="A43" t="s">
        <v>441</v>
      </c>
      <c r="B43" t="s">
        <v>1045</v>
      </c>
      <c r="C43" s="187">
        <f>IF(B43="","",IF(LEN(B43)&gt;9,SUMIFS(Options!$H$3:$H$28,Options!$B$3:$B$28,Check!B43),SUMIFS('Master P&amp;L'!$H$11:$H$88,'Master P&amp;L'!$B$11:$B$88,Check!B43)))</f>
        <v>1000</v>
      </c>
      <c r="D43" s="187">
        <f>IF(B43="","",SUMIFS(Input_APM!N:N,Input_APM!L:L,Check!B43,Input_APM!M:M,Check!$F$1))</f>
        <v>940</v>
      </c>
      <c r="E43" s="173">
        <f t="shared" si="5"/>
        <v>0</v>
      </c>
      <c r="F43" s="187">
        <f>IF(B43="","",SUMIFS(Input_APM!N:N,Input_APM!M:M,Check!$F$1,Input_APM!L:L,Check!B43))</f>
        <v>940</v>
      </c>
      <c r="G43" s="187">
        <f>IF(B43="","",SUMIFS(Input_APM!N:N,Input_APM!M:M,Check!$G$1,Input_APM!L:L,Check!B43))</f>
        <v>0</v>
      </c>
      <c r="H43" s="173">
        <f t="shared" si="0"/>
        <v>940</v>
      </c>
      <c r="I43" s="173">
        <f>SUMIFS(Input_APM!N:N,Input_APM!L:L,Check!B43)</f>
        <v>940</v>
      </c>
      <c r="J43" s="175">
        <f t="shared" si="3"/>
        <v>0</v>
      </c>
      <c r="K43" s="21">
        <f>IF(B43="","",SUMIFS('Input_APM (Zenith)'!N:N,'Input_APM (Zenith)'!L:L,Check!B43,'Input_APM (Zenith)'!M:M,Check!$F$1))</f>
        <v>60</v>
      </c>
      <c r="L43" s="21">
        <f>IF(B43="","",SUMIFS('Input_APM (Zenith)'!N:N,'Input_APM (Zenith)'!L:L,Check!B43,'Input_APM (Zenith)'!M:M,Check!$G$1))</f>
        <v>0</v>
      </c>
      <c r="M43" s="173">
        <f t="shared" si="4"/>
        <v>1000</v>
      </c>
      <c r="O43" t="s">
        <v>342</v>
      </c>
      <c r="P43" s="173">
        <f>IF(O43="","",IF(OR(LEFT(O43,4)="Cash",LEFT(O43,4)="Prov"),0,SUMIFS(Input_APM!N:N,Input_APM!L:L,Check!O43)))</f>
        <v>0</v>
      </c>
      <c r="Q43" s="21">
        <f>IF(O43="","",IF(LEN(O43)&gt;9,SUMIFS(Options!$H$3:$H$28,Options!$B$3:$B$28,Check!O43),SUMIFS('Master P&amp;L'!$H$11:$H$88,'Master P&amp;L'!$B$11:$B$88,Check!O43)))</f>
        <v>0</v>
      </c>
      <c r="R43" s="173">
        <f t="shared" si="1"/>
        <v>0</v>
      </c>
      <c r="S43" s="288" t="str">
        <f t="shared" si="2"/>
        <v>Ok</v>
      </c>
      <c r="V43" s="13"/>
    </row>
    <row r="44" spans="1:22">
      <c r="B44" t="s">
        <v>1044</v>
      </c>
      <c r="C44" s="187">
        <f>IF(B44="","",IF(LEN(B44)&gt;9,SUMIFS(Options!$H$3:$H$28,Options!$B$3:$B$28,Check!B44),SUMIFS('Master P&amp;L'!$H$11:$H$88,'Master P&amp;L'!$B$11:$B$88,Check!B44)))</f>
        <v>-1000</v>
      </c>
      <c r="D44" s="187">
        <f>IF(B44="","",SUMIFS(Input_APM!N:N,Input_APM!L:L,Check!B44,Input_APM!M:M,Check!$F$1))</f>
        <v>-940</v>
      </c>
      <c r="E44" s="173">
        <f>IF(B44="","",C44-M44)</f>
        <v>0</v>
      </c>
      <c r="F44" s="187">
        <f>IF(B44="","",SUMIFS(Input_APM!N:N,Input_APM!M:M,Check!$F$1,Input_APM!L:L,Check!B44))</f>
        <v>-940</v>
      </c>
      <c r="G44" s="187">
        <f>IF(B44="","",SUMIFS(Input_APM!N:N,Input_APM!M:M,Check!$G$1,Input_APM!L:L,Check!B44))</f>
        <v>0</v>
      </c>
      <c r="H44" s="173">
        <f t="shared" si="0"/>
        <v>-940</v>
      </c>
      <c r="I44" s="173">
        <f>SUMIFS(Input_APM!N:N,Input_APM!L:L,Check!B44)</f>
        <v>-940</v>
      </c>
      <c r="J44" s="175">
        <f t="shared" si="3"/>
        <v>0</v>
      </c>
      <c r="K44" s="21">
        <f>IF(B44="","",SUMIFS('Input_APM (Zenith)'!N:N,'Input_APM (Zenith)'!L:L,Check!B44,'Input_APM (Zenith)'!M:M,Check!$F$1))</f>
        <v>-60</v>
      </c>
      <c r="L44" s="21">
        <f>IF(B44="","",SUMIFS('Input_APM (Zenith)'!N:N,'Input_APM (Zenith)'!L:L,Check!B44,'Input_APM (Zenith)'!M:M,Check!$G$1))</f>
        <v>0</v>
      </c>
      <c r="M44" s="173">
        <f t="shared" si="4"/>
        <v>-1000</v>
      </c>
      <c r="O44" t="s">
        <v>877</v>
      </c>
      <c r="P44" s="173">
        <f>IF(O44="","",IF(OR(LEFT(O44,4)="Cash",LEFT(O44,4)="Prov"),0,SUMIFS(Input_APM!N:N,Input_APM!L:L,Check!O44)))</f>
        <v>284</v>
      </c>
      <c r="Q44" s="21">
        <f>IF(O44="","",IF(LEN(O44)&gt;9,SUMIFS(Options!$H$3:$H$28,Options!$B$3:$B$28,Check!O44),SUMIFS('Master P&amp;L'!$H$11:$H$88,'Master P&amp;L'!$B$11:$B$88,Check!O44)))</f>
        <v>300</v>
      </c>
      <c r="R44" s="173">
        <f t="shared" si="1"/>
        <v>-16</v>
      </c>
      <c r="S44" s="288">
        <f t="shared" si="2"/>
        <v>0.94666666666666666</v>
      </c>
      <c r="V44" s="13"/>
    </row>
    <row r="45" spans="1:22">
      <c r="B45" t="s">
        <v>1065</v>
      </c>
      <c r="C45" s="187">
        <f>IF(B45="","",IF(LEN(B45)&gt;9,SUMIFS(Options!$H$3:$H$28,Options!$B$3:$B$28,Check!B45),SUMIFS('Master P&amp;L'!$H$11:$H$88,'Master P&amp;L'!$B$11:$B$88,Check!B45)))</f>
        <v>-500</v>
      </c>
      <c r="D45" s="187">
        <f>IF(B45="","",SUMIFS(Input_APM!N:N,Input_APM!L:L,Check!B45,Input_APM!M:M,Check!$F$1))</f>
        <v>-470</v>
      </c>
      <c r="E45" s="173">
        <f t="shared" si="5"/>
        <v>0</v>
      </c>
      <c r="F45" s="187">
        <f>IF(B45="","",SUMIFS(Input_APM!N:N,Input_APM!M:M,Check!$F$1,Input_APM!L:L,Check!B45))</f>
        <v>-470</v>
      </c>
      <c r="G45" s="187">
        <f>IF(B45="","",SUMIFS(Input_APM!N:N,Input_APM!M:M,Check!$G$1,Input_APM!L:L,Check!B45))</f>
        <v>0</v>
      </c>
      <c r="H45" s="173">
        <f t="shared" si="0"/>
        <v>-470</v>
      </c>
      <c r="I45" s="173">
        <f>SUMIFS(Input_APM!N:N,Input_APM!L:L,Check!B45)</f>
        <v>-470</v>
      </c>
      <c r="J45" s="175">
        <f t="shared" si="3"/>
        <v>0</v>
      </c>
      <c r="K45" s="21">
        <f>IF(B45="","",SUMIFS('Input_APM (Zenith)'!N:N,'Input_APM (Zenith)'!L:L,Check!B45,'Input_APM (Zenith)'!M:M,Check!$F$1))</f>
        <v>-30</v>
      </c>
      <c r="L45" s="21">
        <f>IF(B45="","",SUMIFS('Input_APM (Zenith)'!N:N,'Input_APM (Zenith)'!L:L,Check!B45,'Input_APM (Zenith)'!M:M,Check!$G$1))</f>
        <v>0</v>
      </c>
      <c r="M45" s="173">
        <f t="shared" si="4"/>
        <v>-500</v>
      </c>
      <c r="O45" t="s">
        <v>1099</v>
      </c>
      <c r="P45" s="173">
        <f>IF(O45="","",IF(OR(LEFT(O45,4)="Cash",LEFT(O45,4)="Prov"),0,SUMIFS(Input_APM!N:N,Input_APM!L:L,Check!O45)))</f>
        <v>0.01</v>
      </c>
      <c r="Q45" s="21">
        <f>IF(O45="","",IF(LEN(O45)&gt;9,SUMIFS(Options!$H$3:$H$28,Options!$B$3:$B$28,Check!O45),SUMIFS('Master P&amp;L'!$H$11:$H$88,'Master P&amp;L'!$B$11:$B$88,Check!O45)))</f>
        <v>0</v>
      </c>
      <c r="R45" s="173">
        <f t="shared" si="1"/>
        <v>0.01</v>
      </c>
      <c r="S45" s="288" t="str">
        <f t="shared" si="2"/>
        <v>Erro</v>
      </c>
      <c r="V45" s="13"/>
    </row>
    <row r="46" spans="1:22">
      <c r="B46" t="s">
        <v>877</v>
      </c>
      <c r="C46" s="187">
        <f>IF(B46="","",IF(LEN(B46)&gt;9,SUMIFS(Options!$H$3:$H$28,Options!$B$3:$B$28,Check!B46),SUMIFS('Master P&amp;L'!$H$11:$H$88,'Master P&amp;L'!$B$11:$B$88,Check!B46)))</f>
        <v>300</v>
      </c>
      <c r="D46" s="187">
        <f>IF(B46="","",SUMIFS(Input_APM!N:N,Input_APM!L:L,Check!B46,Input_APM!M:M,Check!$F$1))</f>
        <v>284</v>
      </c>
      <c r="E46" s="175">
        <f t="shared" si="5"/>
        <v>0</v>
      </c>
      <c r="F46" s="187">
        <f>IF(B46="","",SUMIFS(Input_APM!N:N,Input_APM!M:M,Check!$F$1,Input_APM!L:L,Check!B46))</f>
        <v>284</v>
      </c>
      <c r="G46" s="187">
        <f>IF(B46="","",SUMIFS(Input_APM!N:N,Input_APM!M:M,Check!$G$1,Input_APM!L:L,Check!B46))</f>
        <v>0</v>
      </c>
      <c r="H46" s="173">
        <f t="shared" si="0"/>
        <v>284</v>
      </c>
      <c r="I46" s="173">
        <f>SUMIFS(Input_APM!N:N,Input_APM!L:L,Check!B46)</f>
        <v>284</v>
      </c>
      <c r="J46" s="175">
        <f t="shared" si="3"/>
        <v>0</v>
      </c>
      <c r="K46" s="21">
        <f>IF(B46="","",SUMIFS('Input_APM (Zenith)'!N:N,'Input_APM (Zenith)'!L:L,Check!B46,'Input_APM (Zenith)'!M:M,Check!$F$1))</f>
        <v>16</v>
      </c>
      <c r="L46" s="21">
        <f>IF(B46="","",SUMIFS('Input_APM (Zenith)'!N:N,'Input_APM (Zenith)'!L:L,Check!B46,'Input_APM (Zenith)'!M:M,Check!$G$1))</f>
        <v>0</v>
      </c>
      <c r="M46" s="173">
        <f t="shared" si="4"/>
        <v>300</v>
      </c>
      <c r="O46" t="s">
        <v>860</v>
      </c>
      <c r="P46" s="173">
        <f>IF(O46="","",IF(OR(LEFT(O46,4)="Cash",LEFT(O46,4)="Prov"),0,SUMIFS(Input_APM!N:N,Input_APM!L:L,Check!O46)))</f>
        <v>10349446</v>
      </c>
      <c r="Q46" s="21">
        <f>IF(O46="","",IF(LEN(O46)&gt;9,SUMIFS(Options!$H$3:$H$28,Options!$B$3:$B$28,Check!O46),SUMIFS('Master P&amp;L'!$H$11:$H$88,'Master P&amp;L'!$B$11:$B$88,Check!O46)))</f>
        <v>0</v>
      </c>
      <c r="R46" s="173">
        <f t="shared" si="1"/>
        <v>10349446</v>
      </c>
      <c r="S46" s="288" t="str">
        <f t="shared" si="2"/>
        <v>Erro</v>
      </c>
      <c r="V46" s="13"/>
    </row>
    <row r="47" spans="1:22">
      <c r="B47" t="s">
        <v>1039</v>
      </c>
      <c r="C47" s="187">
        <f>IF(B47="","",IF(LEN(B47)&gt;9,SUMIFS(Options!$H$3:$H$28,Options!$B$3:$B$28,Check!B47),SUMIFS('Master P&amp;L'!$H$11:$H$88,'Master P&amp;L'!$B$11:$B$88,Check!B47)))</f>
        <v>150</v>
      </c>
      <c r="D47" s="187">
        <f>IF(B47="","",SUMIFS(Input_APM!N:N,Input_APM!L:L,Check!B47,Input_APM!M:M,Check!$F$1))</f>
        <v>142</v>
      </c>
      <c r="E47" s="175">
        <f t="shared" si="5"/>
        <v>0</v>
      </c>
      <c r="F47" s="187">
        <f>IF(B47="","",SUMIFS(Input_APM!N:N,Input_APM!M:M,Check!$F$1,Input_APM!L:L,Check!B47))</f>
        <v>142</v>
      </c>
      <c r="G47" s="187">
        <f>IF(B47="","",SUMIFS(Input_APM!N:N,Input_APM!M:M,Check!$G$1,Input_APM!L:L,Check!B47))</f>
        <v>0</v>
      </c>
      <c r="H47" s="173">
        <f t="shared" si="0"/>
        <v>142</v>
      </c>
      <c r="I47" s="173">
        <f>SUMIFS(Input_APM!N:N,Input_APM!L:L,Check!B47)</f>
        <v>142</v>
      </c>
      <c r="J47" s="175">
        <f t="shared" si="3"/>
        <v>0</v>
      </c>
      <c r="K47" s="21">
        <f>IF(B47="","",SUMIFS('Input_APM (Zenith)'!N:N,'Input_APM (Zenith)'!L:L,Check!B47,'Input_APM (Zenith)'!M:M,Check!$F$1))</f>
        <v>8</v>
      </c>
      <c r="L47" s="21">
        <f>IF(B47="","",SUMIFS('Input_APM (Zenith)'!N:N,'Input_APM (Zenith)'!L:L,Check!B47,'Input_APM (Zenith)'!M:M,Check!$G$1))</f>
        <v>0</v>
      </c>
      <c r="M47" s="173">
        <f t="shared" si="4"/>
        <v>150</v>
      </c>
      <c r="O47" t="s">
        <v>728</v>
      </c>
      <c r="P47" s="173">
        <f>IF(O47="","",IF(OR(LEFT(O47,4)="Cash",LEFT(O47,4)="Prov"),0,SUMIFS(Input_APM!N:N,Input_APM!L:L,Check!O47)))</f>
        <v>3779</v>
      </c>
      <c r="Q47" s="21">
        <f>IF(O47="","",IF(LEN(O47)&gt;9,SUMIFS(Options!$H$3:$H$28,Options!$B$3:$B$28,Check!O47),SUMIFS('Master P&amp;L'!$H$11:$H$88,'Master P&amp;L'!$B$11:$B$88,Check!O47)))</f>
        <v>4025</v>
      </c>
      <c r="R47" s="173">
        <f t="shared" si="1"/>
        <v>-246</v>
      </c>
      <c r="S47" s="288">
        <f t="shared" si="2"/>
        <v>0.93888198757763974</v>
      </c>
    </row>
    <row r="48" spans="1:22">
      <c r="B48" t="s">
        <v>1040</v>
      </c>
      <c r="C48" s="187">
        <f>IF(B48="","",IF(LEN(B48)&gt;9,SUMIFS(Options!$H$3:$H$28,Options!$B$3:$B$28,Check!B48),SUMIFS('Master P&amp;L'!$H$11:$H$88,'Master P&amp;L'!$B$11:$B$88,Check!B48)))</f>
        <v>-150</v>
      </c>
      <c r="D48" s="187">
        <f>IF(B48="","",SUMIFS(Input_APM!N:N,Input_APM!L:L,Check!B48,Input_APM!M:M,Check!$F$1))</f>
        <v>-143</v>
      </c>
      <c r="E48" s="175">
        <f t="shared" si="5"/>
        <v>0</v>
      </c>
      <c r="F48" s="187">
        <f>IF(B48="","",SUMIFS(Input_APM!N:N,Input_APM!M:M,Check!$F$1,Input_APM!L:L,Check!B48))</f>
        <v>-143</v>
      </c>
      <c r="G48" s="187">
        <f>IF(B48="","",SUMIFS(Input_APM!N:N,Input_APM!M:M,Check!$G$1,Input_APM!L:L,Check!B48))</f>
        <v>0</v>
      </c>
      <c r="H48" s="173">
        <f t="shared" si="0"/>
        <v>-143</v>
      </c>
      <c r="I48" s="173">
        <f>SUMIFS(Input_APM!N:N,Input_APM!L:L,Check!B48)</f>
        <v>-143</v>
      </c>
      <c r="J48" s="175">
        <f t="shared" si="3"/>
        <v>0</v>
      </c>
      <c r="K48" s="21">
        <f>IF(B48="","",SUMIFS('Input_APM (Zenith)'!N:N,'Input_APM (Zenith)'!L:L,Check!B48,'Input_APM (Zenith)'!M:M,Check!$F$1))</f>
        <v>-7</v>
      </c>
      <c r="L48" s="21">
        <f>IF(B48="","",SUMIFS('Input_APM (Zenith)'!N:N,'Input_APM (Zenith)'!L:L,Check!B48,'Input_APM (Zenith)'!M:M,Check!$G$1))</f>
        <v>0</v>
      </c>
      <c r="M48" s="173">
        <f t="shared" si="4"/>
        <v>-150</v>
      </c>
      <c r="O48" t="s">
        <v>1039</v>
      </c>
      <c r="P48" s="173">
        <f>IF(O48="","",IF(OR(LEFT(O48,4)="Cash",LEFT(O48,4)="Prov"),0,SUMIFS(Input_APM!N:N,Input_APM!L:L,Check!O48)))</f>
        <v>142</v>
      </c>
      <c r="Q48" s="21">
        <f>IF(O48="","",IF(LEN(O48)&gt;9,SUMIFS(Options!$H$3:$H$28,Options!$B$3:$B$28,Check!O48),SUMIFS('Master P&amp;L'!$H$11:$H$88,'Master P&amp;L'!$B$11:$B$88,Check!O48)))</f>
        <v>150</v>
      </c>
      <c r="R48" s="173">
        <f t="shared" si="1"/>
        <v>-8</v>
      </c>
      <c r="S48" s="288">
        <f t="shared" si="2"/>
        <v>0.94666666666666666</v>
      </c>
    </row>
    <row r="49" spans="1:19">
      <c r="B49" t="s">
        <v>953</v>
      </c>
      <c r="C49" s="187">
        <f>IF(B49="","",IF(LEN(B49)&gt;9,SUMIFS(Options!$H$3:$H$28,Options!$B$3:$B$28,Check!B49),SUMIFS('Master P&amp;L'!$H$11:$H$88,'Master P&amp;L'!$B$11:$B$88,Check!B49)))</f>
        <v>170</v>
      </c>
      <c r="D49" s="187">
        <f>IF(B49="","",SUMIFS(Input_APM!N:N,Input_APM!L:L,Check!B49,Input_APM!M:M,Check!$F$1))</f>
        <v>161</v>
      </c>
      <c r="E49" s="175">
        <f t="shared" si="5"/>
        <v>0</v>
      </c>
      <c r="F49" s="187">
        <f>IF(B49="","",SUMIFS(Input_APM!N:N,Input_APM!M:M,Check!$F$1,Input_APM!L:L,Check!B49))</f>
        <v>161</v>
      </c>
      <c r="G49" s="187">
        <f>IF(B49="","",SUMIFS(Input_APM!N:N,Input_APM!M:M,Check!$G$1,Input_APM!L:L,Check!B49))</f>
        <v>0</v>
      </c>
      <c r="H49" s="173">
        <f t="shared" si="0"/>
        <v>161</v>
      </c>
      <c r="I49" s="173">
        <f>SUMIFS(Input_APM!N:N,Input_APM!L:L,Check!B49)</f>
        <v>161</v>
      </c>
      <c r="J49" s="175">
        <f t="shared" si="3"/>
        <v>0</v>
      </c>
      <c r="K49" s="21">
        <f>IF(B49="","",SUMIFS('Input_APM (Zenith)'!N:N,'Input_APM (Zenith)'!L:L,Check!B49,'Input_APM (Zenith)'!M:M,Check!$F$1))</f>
        <v>9</v>
      </c>
      <c r="L49" s="21">
        <f>IF(B49="","",SUMIFS('Input_APM (Zenith)'!N:N,'Input_APM (Zenith)'!L:L,Check!B49,'Input_APM (Zenith)'!M:M,Check!$G$1))</f>
        <v>0</v>
      </c>
      <c r="M49" s="173">
        <f t="shared" si="4"/>
        <v>170</v>
      </c>
      <c r="O49" t="s">
        <v>1040</v>
      </c>
      <c r="P49" s="173">
        <f>IF(O49="","",IF(OR(LEFT(O49,4)="Cash",LEFT(O49,4)="Prov"),0,SUMIFS(Input_APM!N:N,Input_APM!L:L,Check!O49)))</f>
        <v>-143</v>
      </c>
      <c r="Q49" s="21">
        <f>IF(O49="","",IF(LEN(O49)&gt;9,SUMIFS(Options!$H$3:$H$28,Options!$B$3:$B$28,Check!O49),SUMIFS('Master P&amp;L'!$H$11:$H$88,'Master P&amp;L'!$B$11:$B$88,Check!O49)))</f>
        <v>-150</v>
      </c>
      <c r="R49" s="173">
        <f t="shared" si="1"/>
        <v>7</v>
      </c>
      <c r="S49" s="288">
        <f t="shared" si="2"/>
        <v>0.95333333333333337</v>
      </c>
    </row>
    <row r="50" spans="1:19">
      <c r="A50" t="s">
        <v>441</v>
      </c>
      <c r="B50" t="s">
        <v>843</v>
      </c>
      <c r="C50" s="187">
        <f>IF(B50="","",IF(LEN(B50)&gt;9,SUMIFS(Options!$H$3:$H$28,Options!$B$3:$B$28,Check!B50),SUMIFS('Master P&amp;L'!$H$11:$H$88,'Master P&amp;L'!$B$11:$B$88,Check!B50)))</f>
        <v>450</v>
      </c>
      <c r="D50" s="187">
        <f>IF(B50="","",SUMIFS(Input_APM!N:N,Input_APM!L:L,Check!B50,Input_APM!M:M,Check!$F$1))</f>
        <v>422</v>
      </c>
      <c r="E50" s="175">
        <f t="shared" si="5"/>
        <v>0</v>
      </c>
      <c r="F50" s="187">
        <f>IF(B50="","",SUMIFS(Input_APM!N:N,Input_APM!M:M,Check!$F$1,Input_APM!L:L,Check!B50))</f>
        <v>422</v>
      </c>
      <c r="G50" s="187">
        <f>IF(B50="","",SUMIFS(Input_APM!N:N,Input_APM!M:M,Check!$G$1,Input_APM!L:L,Check!B50))</f>
        <v>0</v>
      </c>
      <c r="H50" s="173">
        <f t="shared" si="0"/>
        <v>422</v>
      </c>
      <c r="I50" s="173">
        <f>SUMIFS(Input_APM!N:N,Input_APM!L:L,Check!B50)</f>
        <v>422</v>
      </c>
      <c r="J50" s="175">
        <f t="shared" si="3"/>
        <v>0</v>
      </c>
      <c r="K50" s="21">
        <f>IF(B50="","",SUMIFS('Input_APM (Zenith)'!N:N,'Input_APM (Zenith)'!L:L,Check!B50,'Input_APM (Zenith)'!M:M,Check!$F$1))</f>
        <v>28</v>
      </c>
      <c r="L50" s="21">
        <f>IF(B50="","",SUMIFS('Input_APM (Zenith)'!N:N,'Input_APM (Zenith)'!L:L,Check!B50,'Input_APM (Zenith)'!M:M,Check!$G$1))</f>
        <v>0</v>
      </c>
      <c r="M50" s="173">
        <f t="shared" si="4"/>
        <v>450</v>
      </c>
      <c r="O50" t="s">
        <v>934</v>
      </c>
      <c r="P50" s="173">
        <f>IF(O50="","",IF(OR(LEFT(O50,4)="Cash",LEFT(O50,4)="Prov"),0,SUMIFS(Input_APM!N:N,Input_APM!L:L,Check!O50)))</f>
        <v>-9372000</v>
      </c>
      <c r="Q50" s="21">
        <f>IF(O50="","",IF(LEN(O50)&gt;9,SUMIFS(Options!$H$3:$H$28,Options!$B$3:$B$28,Check!O50),SUMIFS('Master P&amp;L'!$H$11:$H$88,'Master P&amp;L'!$B$11:$B$88,Check!O50)))</f>
        <v>0</v>
      </c>
      <c r="R50" s="173">
        <f t="shared" si="1"/>
        <v>-9372000</v>
      </c>
      <c r="S50" s="288" t="str">
        <f t="shared" si="2"/>
        <v>Erro</v>
      </c>
    </row>
    <row r="51" spans="1:19">
      <c r="B51" t="s">
        <v>975</v>
      </c>
      <c r="C51" s="187">
        <f>IF(B51="","",IF(LEN(B51)&gt;9,SUMIFS(Options!$H$3:$H$28,Options!$B$3:$B$28,Check!B51),SUMIFS('Master P&amp;L'!$H$11:$H$88,'Master P&amp;L'!$B$11:$B$88,Check!B51)))</f>
        <v>-450</v>
      </c>
      <c r="D51" s="187">
        <f>IF(B51="","",SUMIFS(Input_APM!N:N,Input_APM!L:L,Check!B51,Input_APM!M:M,Check!$F$1))</f>
        <v>-422</v>
      </c>
      <c r="E51" s="175">
        <f t="shared" si="5"/>
        <v>0</v>
      </c>
      <c r="F51" s="187">
        <f>IF(B51="","",SUMIFS(Input_APM!N:N,Input_APM!M:M,Check!$F$1,Input_APM!L:L,Check!B51))</f>
        <v>-422</v>
      </c>
      <c r="G51" s="187">
        <f>IF(B51="","",SUMIFS(Input_APM!N:N,Input_APM!M:M,Check!$G$1,Input_APM!L:L,Check!B51))</f>
        <v>0</v>
      </c>
      <c r="H51" s="173">
        <f t="shared" si="0"/>
        <v>-422</v>
      </c>
      <c r="I51" s="173">
        <f>SUMIFS(Input_APM!N:N,Input_APM!L:L,Check!B51)</f>
        <v>-422</v>
      </c>
      <c r="J51" s="175">
        <f t="shared" si="3"/>
        <v>0</v>
      </c>
      <c r="K51" s="21">
        <f>IF(B51="","",SUMIFS('Input_APM (Zenith)'!N:N,'Input_APM (Zenith)'!L:L,Check!B51,'Input_APM (Zenith)'!M:M,Check!$F$1))</f>
        <v>-28</v>
      </c>
      <c r="L51" s="21">
        <f>IF(B51="","",SUMIFS('Input_APM (Zenith)'!N:N,'Input_APM (Zenith)'!L:L,Check!B51,'Input_APM (Zenith)'!M:M,Check!$G$1))</f>
        <v>0</v>
      </c>
      <c r="M51" s="173">
        <f t="shared" si="4"/>
        <v>-450</v>
      </c>
      <c r="O51" t="s">
        <v>29</v>
      </c>
      <c r="P51" s="173">
        <f>IF(O51="","",IF(OR(LEFT(O51,4)="Cash",LEFT(O51,4)="Prov"),0,SUMIFS(Input_APM!N:N,Input_APM!L:L,Check!O51)))</f>
        <v>8549</v>
      </c>
      <c r="Q51" s="21">
        <f>IF(O51="","",IF(LEN(O51)&gt;9,SUMIFS(Options!$H$3:$H$28,Options!$B$3:$B$28,Check!O51),SUMIFS('Master P&amp;L'!$H$11:$H$88,'Master P&amp;L'!$B$11:$B$88,Check!O51)))</f>
        <v>9100</v>
      </c>
      <c r="R51" s="173">
        <f t="shared" si="1"/>
        <v>-551</v>
      </c>
      <c r="S51" s="288">
        <f t="shared" si="2"/>
        <v>0.9394505494505494</v>
      </c>
    </row>
    <row r="52" spans="1:19">
      <c r="B52" t="s">
        <v>976</v>
      </c>
      <c r="C52" s="187">
        <f>IF(B52="","",IF(LEN(B52)&gt;9,SUMIFS(Options!$H$3:$H$28,Options!$B$3:$B$28,Check!B52),SUMIFS('Master P&amp;L'!$H$11:$H$88,'Master P&amp;L'!$B$11:$B$88,Check!B52)))</f>
        <v>-300</v>
      </c>
      <c r="D52" s="187">
        <f>IF(B52="","",SUMIFS(Input_APM!N:N,Input_APM!L:L,Check!B52,Input_APM!M:M,Check!$F$1))</f>
        <v>-282</v>
      </c>
      <c r="E52" s="173">
        <f>IF(B52="","",C52-M52)</f>
        <v>0</v>
      </c>
      <c r="F52" s="187">
        <f>IF(B52="","",SUMIFS(Input_APM!N:N,Input_APM!M:M,Check!$F$1,Input_APM!L:L,Check!B52))</f>
        <v>-282</v>
      </c>
      <c r="G52" s="187">
        <f>IF(B52="","",SUMIFS(Input_APM!N:N,Input_APM!M:M,Check!$G$1,Input_APM!L:L,Check!B52))</f>
        <v>0</v>
      </c>
      <c r="H52" s="173">
        <f t="shared" si="0"/>
        <v>-282</v>
      </c>
      <c r="I52" s="173">
        <f>SUMIFS(Input_APM!N:N,Input_APM!L:L,Check!B52)</f>
        <v>-282</v>
      </c>
      <c r="J52" s="175">
        <f t="shared" si="3"/>
        <v>0</v>
      </c>
      <c r="K52" s="21">
        <f>IF(B52="","",SUMIFS('Input_APM (Zenith)'!N:N,'Input_APM (Zenith)'!L:L,Check!B52,'Input_APM (Zenith)'!M:M,Check!$F$1))</f>
        <v>-18</v>
      </c>
      <c r="L52" s="21">
        <f>IF(B52="","",SUMIFS('Input_APM (Zenith)'!N:N,'Input_APM (Zenith)'!L:L,Check!B52,'Input_APM (Zenith)'!M:M,Check!$G$1))</f>
        <v>0</v>
      </c>
      <c r="M52" s="173">
        <f t="shared" si="4"/>
        <v>-300</v>
      </c>
      <c r="O52" t="s">
        <v>953</v>
      </c>
      <c r="P52" s="173">
        <f>IF(O52="","",IF(OR(LEFT(O52,4)="Cash",LEFT(O52,4)="Prov"),0,SUMIFS(Input_APM!N:N,Input_APM!L:L,Check!O52)))</f>
        <v>161</v>
      </c>
      <c r="Q52" s="21">
        <f>IF(O52="","",IF(LEN(O52)&gt;9,SUMIFS(Options!$H$3:$H$28,Options!$B$3:$B$28,Check!O52),SUMIFS('Master P&amp;L'!$H$11:$H$88,'Master P&amp;L'!$B$11:$B$88,Check!O52)))</f>
        <v>170</v>
      </c>
      <c r="R52" s="173">
        <f t="shared" si="1"/>
        <v>-9</v>
      </c>
      <c r="S52" s="288">
        <f t="shared" si="2"/>
        <v>0.94705882352941173</v>
      </c>
    </row>
    <row r="53" spans="1:19">
      <c r="B53" t="s">
        <v>977</v>
      </c>
      <c r="C53" s="187">
        <f>IF(B53="","",IF(LEN(B53)&gt;9,SUMIFS(Options!$H$3:$H$28,Options!$B$3:$B$28,Check!B53),SUMIFS('Master P&amp;L'!$H$11:$H$88,'Master P&amp;L'!$B$11:$B$88,Check!B53)))</f>
        <v>-100</v>
      </c>
      <c r="D53" s="187">
        <f>IF(B53="","",SUMIFS(Input_APM!N:N,Input_APM!L:L,Check!B53,Input_APM!M:M,Check!$F$1))</f>
        <v>-94</v>
      </c>
      <c r="E53" s="173">
        <f>IF(B53="","",C53-M53)</f>
        <v>0</v>
      </c>
      <c r="F53" s="187">
        <f>IF(B53="","",SUMIFS(Input_APM!N:N,Input_APM!M:M,Check!$F$1,Input_APM!L:L,Check!B53))</f>
        <v>-94</v>
      </c>
      <c r="G53" s="187">
        <f>IF(B53="","",SUMIFS(Input_APM!N:N,Input_APM!M:M,Check!$G$1,Input_APM!L:L,Check!B53))</f>
        <v>0</v>
      </c>
      <c r="H53" s="173">
        <f t="shared" si="0"/>
        <v>-94</v>
      </c>
      <c r="I53" s="173">
        <f>SUMIFS(Input_APM!N:N,Input_APM!L:L,Check!B53)</f>
        <v>-94</v>
      </c>
      <c r="J53" s="175">
        <f t="shared" si="3"/>
        <v>0</v>
      </c>
      <c r="K53" s="21">
        <f>IF(B53="","",SUMIFS('Input_APM (Zenith)'!N:N,'Input_APM (Zenith)'!L:L,Check!B53,'Input_APM (Zenith)'!M:M,Check!$F$1))</f>
        <v>-6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-100</v>
      </c>
      <c r="O53" t="s">
        <v>85</v>
      </c>
      <c r="P53" s="173">
        <f>IF(O53="","",IF(OR(LEFT(O53,4)="Cash",LEFT(O53,4)="Prov"),0,SUMIFS(Input_APM!N:N,Input_APM!L:L,Check!O53)))</f>
        <v>-8267</v>
      </c>
      <c r="Q53" s="21">
        <f>IF(O53="","",IF(LEN(O53)&gt;9,SUMIFS(Options!$H$3:$H$28,Options!$B$3:$B$28,Check!O53),SUMIFS('Master P&amp;L'!$H$11:$H$88,'Master P&amp;L'!$B$11:$B$88,Check!O53)))</f>
        <v>-8800</v>
      </c>
      <c r="R53" s="173">
        <f t="shared" si="1"/>
        <v>533</v>
      </c>
      <c r="S53" s="288">
        <f t="shared" si="2"/>
        <v>0.9394318181818182</v>
      </c>
    </row>
    <row r="54" spans="1:19">
      <c r="B54" t="s">
        <v>921</v>
      </c>
      <c r="C54" s="187">
        <f>IF(B54="","",IF(LEN(B54)&gt;9,SUMIFS(Options!$H$3:$H$28,Options!$B$3:$B$28,Check!B54),SUMIFS('Master P&amp;L'!$H$11:$H$88,'Master P&amp;L'!$B$11:$B$88,Check!B54)))</f>
        <v>150</v>
      </c>
      <c r="D54" s="187">
        <f>IF(B54="","",SUMIFS(Input_APM!N:N,Input_APM!L:L,Check!B54,Input_APM!M:M,Check!$F$1))</f>
        <v>142</v>
      </c>
      <c r="E54" s="175">
        <f t="shared" si="5"/>
        <v>0</v>
      </c>
      <c r="F54" s="187">
        <f>IF(B54="","",SUMIFS(Input_APM!N:N,Input_APM!M:M,Check!$F$1,Input_APM!L:L,Check!B54))</f>
        <v>142</v>
      </c>
      <c r="G54" s="187">
        <f>IF(B54="","",SUMIFS(Input_APM!N:N,Input_APM!M:M,Check!$G$1,Input_APM!L:L,Check!B54))</f>
        <v>0</v>
      </c>
      <c r="H54" s="173">
        <f t="shared" si="0"/>
        <v>142</v>
      </c>
      <c r="I54" s="173">
        <f>SUMIFS(Input_APM!N:N,Input_APM!L:L,Check!B54)</f>
        <v>142</v>
      </c>
      <c r="J54" s="175">
        <f t="shared" si="3"/>
        <v>0</v>
      </c>
      <c r="K54" s="21">
        <f>IF(B54="","",SUMIFS('Input_APM (Zenith)'!N:N,'Input_APM (Zenith)'!L:L,Check!B54,'Input_APM (Zenith)'!M:M,Check!$F$1))</f>
        <v>8</v>
      </c>
      <c r="L54" s="21">
        <f>IF(B54="","",SUMIFS('Input_APM (Zenith)'!N:N,'Input_APM (Zenith)'!L:L,Check!B54,'Input_APM (Zenith)'!M:M,Check!$G$1))</f>
        <v>0</v>
      </c>
      <c r="M54" s="173">
        <f t="shared" si="4"/>
        <v>150</v>
      </c>
      <c r="O54" t="s">
        <v>975</v>
      </c>
      <c r="P54" s="173">
        <f>IF(O54="","",IF(OR(LEFT(O54,4)="Cash",LEFT(O54,4)="Prov"),0,SUMIFS(Input_APM!N:N,Input_APM!L:L,Check!O54)))</f>
        <v>-422</v>
      </c>
      <c r="Q54" s="21">
        <f>IF(O54="","",IF(LEN(O54)&gt;9,SUMIFS(Options!$H$3:$H$28,Options!$B$3:$B$28,Check!O54),SUMIFS('Master P&amp;L'!$H$11:$H$88,'Master P&amp;L'!$B$11:$B$88,Check!O54)))</f>
        <v>-450</v>
      </c>
      <c r="R54" s="173">
        <f t="shared" si="1"/>
        <v>28</v>
      </c>
      <c r="S54" s="288">
        <f t="shared" si="2"/>
        <v>0.93777777777777782</v>
      </c>
    </row>
    <row r="55" spans="1:19">
      <c r="B55" t="s">
        <v>1060</v>
      </c>
      <c r="C55" s="187">
        <f>IF(B55="","",IF(LEN(B55)&gt;9,SUMIFS(Options!$H$3:$H$28,Options!$B$3:$B$28,Check!B55),SUMIFS('Master P&amp;L'!$H$11:$H$88,'Master P&amp;L'!$B$11:$B$88,Check!B55)))</f>
        <v>1100</v>
      </c>
      <c r="D55" s="187">
        <f>IF(B55="","",SUMIFS(Input_APM!N:N,Input_APM!L:L,Check!B55,Input_APM!M:M,Check!$F$1))</f>
        <v>1035</v>
      </c>
      <c r="E55" s="175">
        <f t="shared" si="5"/>
        <v>0</v>
      </c>
      <c r="F55" s="187">
        <f>IF(B55="","",SUMIFS(Input_APM!N:N,Input_APM!M:M,Check!$F$1,Input_APM!L:L,Check!B55))</f>
        <v>1035</v>
      </c>
      <c r="G55" s="187">
        <f>IF(B55="","",SUMIFS(Input_APM!N:N,Input_APM!M:M,Check!$G$1,Input_APM!L:L,Check!B55))</f>
        <v>0</v>
      </c>
      <c r="H55" s="173">
        <f t="shared" si="0"/>
        <v>1035</v>
      </c>
      <c r="I55" s="173">
        <f>SUMIFS(Input_APM!N:N,Input_APM!L:L,Check!B55)</f>
        <v>1035</v>
      </c>
      <c r="J55" s="175">
        <f t="shared" si="3"/>
        <v>0</v>
      </c>
      <c r="K55" s="21">
        <f>IF(B55="","",SUMIFS('Input_APM (Zenith)'!N:N,'Input_APM (Zenith)'!L:L,Check!B55,'Input_APM (Zenith)'!M:M,Check!$F$1))</f>
        <v>65</v>
      </c>
      <c r="L55" s="21">
        <f>IF(B55="","",SUMIFS('Input_APM (Zenith)'!N:N,'Input_APM (Zenith)'!L:L,Check!B55,'Input_APM (Zenith)'!M:M,Check!$G$1))</f>
        <v>0</v>
      </c>
      <c r="M55" s="173">
        <f t="shared" si="4"/>
        <v>1100</v>
      </c>
      <c r="O55" t="s">
        <v>843</v>
      </c>
      <c r="P55" s="173">
        <f>IF(O55="","",IF(OR(LEFT(O55,4)="Cash",LEFT(O55,4)="Prov"),0,SUMIFS(Input_APM!N:N,Input_APM!L:L,Check!O55)))</f>
        <v>422</v>
      </c>
      <c r="Q55" s="21">
        <f>IF(O55="","",IF(LEN(O55)&gt;9,SUMIFS(Options!$H$3:$H$28,Options!$B$3:$B$28,Check!O55),SUMIFS('Master P&amp;L'!$H$11:$H$88,'Master P&amp;L'!$B$11:$B$88,Check!O55)))</f>
        <v>450</v>
      </c>
      <c r="R55" s="173">
        <f t="shared" si="1"/>
        <v>-28</v>
      </c>
      <c r="S55" s="288">
        <f t="shared" si="2"/>
        <v>0.93777777777777782</v>
      </c>
    </row>
    <row r="56" spans="1:19">
      <c r="B56" t="s">
        <v>1061</v>
      </c>
      <c r="C56" s="187">
        <f>IF(B56="","",IF(LEN(B56)&gt;9,SUMIFS(Options!$H$3:$H$28,Options!$B$3:$B$28,Check!B56),SUMIFS('Master P&amp;L'!$H$11:$H$88,'Master P&amp;L'!$B$11:$B$88,Check!B56)))</f>
        <v>-1100</v>
      </c>
      <c r="D56" s="187">
        <f>IF(B56="","",SUMIFS(Input_APM!N:N,Input_APM!L:L,Check!B56,Input_APM!M:M,Check!$F$1))</f>
        <v>-1034</v>
      </c>
      <c r="E56" s="175">
        <f t="shared" si="5"/>
        <v>0</v>
      </c>
      <c r="F56" s="187">
        <f>IF(B56="","",SUMIFS(Input_APM!N:N,Input_APM!M:M,Check!$F$1,Input_APM!L:L,Check!B56))</f>
        <v>-1034</v>
      </c>
      <c r="G56" s="187">
        <f>IF(B56="","",SUMIFS(Input_APM!N:N,Input_APM!M:M,Check!$G$1,Input_APM!L:L,Check!B56))</f>
        <v>0</v>
      </c>
      <c r="H56" s="173">
        <f t="shared" si="0"/>
        <v>-1034</v>
      </c>
      <c r="I56" s="173">
        <f>SUMIFS(Input_APM!N:N,Input_APM!L:L,Check!B56)</f>
        <v>-1034</v>
      </c>
      <c r="J56" s="175">
        <f t="shared" si="3"/>
        <v>0</v>
      </c>
      <c r="K56" s="21">
        <f>IF(B56="","",SUMIFS('Input_APM (Zenith)'!N:N,'Input_APM (Zenith)'!L:L,Check!B56,'Input_APM (Zenith)'!M:M,Check!$F$1))</f>
        <v>-66</v>
      </c>
      <c r="L56" s="21">
        <f>IF(B56="","",SUMIFS('Input_APM (Zenith)'!N:N,'Input_APM (Zenith)'!L:L,Check!B56,'Input_APM (Zenith)'!M:M,Check!$G$1))</f>
        <v>0</v>
      </c>
      <c r="M56" s="173">
        <f t="shared" si="4"/>
        <v>-1100</v>
      </c>
      <c r="O56" t="s">
        <v>1093</v>
      </c>
      <c r="P56" s="173">
        <f>IF(O56="","",IF(OR(LEFT(O56,4)="Cash",LEFT(O56,4)="Prov"),0,SUMIFS(Input_APM!N:N,Input_APM!L:L,Check!O56)))</f>
        <v>-4694500</v>
      </c>
      <c r="Q56" s="21">
        <f>IF(O56="","",IF(LEN(O56)&gt;9,SUMIFS(Options!$H$3:$H$28,Options!$B$3:$B$28,Check!O56),SUMIFS('Master P&amp;L'!$H$11:$H$88,'Master P&amp;L'!$B$11:$B$88,Check!O56)))</f>
        <v>0</v>
      </c>
      <c r="R56" s="173">
        <f t="shared" si="1"/>
        <v>-4694500</v>
      </c>
      <c r="S56" s="288" t="str">
        <f t="shared" si="2"/>
        <v>Erro</v>
      </c>
    </row>
    <row r="57" spans="1:19">
      <c r="B57" t="s">
        <v>1060</v>
      </c>
      <c r="C57" s="187">
        <f>IF(B57="","",IF(LEN(B57)&gt;9,SUMIFS(Options!$H$3:$H$28,Options!$B$3:$B$28,Check!B57),SUMIFS('Master P&amp;L'!$H$11:$H$88,'Master P&amp;L'!$B$11:$B$88,Check!B57)))</f>
        <v>1100</v>
      </c>
      <c r="D57" s="187">
        <f>IF(B57="","",SUMIFS(Input_APM!N:N,Input_APM!L:L,Check!B57,Input_APM!M:M,Check!$F$1))</f>
        <v>1035</v>
      </c>
      <c r="E57" s="175">
        <f>IF(B57="","",C57-M57)</f>
        <v>0</v>
      </c>
      <c r="F57" s="187">
        <f>IF(B57="","",SUMIFS(Input_APM!N:N,Input_APM!M:M,Check!$F$1,Input_APM!L:L,Check!B57))</f>
        <v>1035</v>
      </c>
      <c r="G57" s="187">
        <f>IF(B57="","",SUMIFS(Input_APM!N:N,Input_APM!M:M,Check!$G$1,Input_APM!L:L,Check!B57))</f>
        <v>0</v>
      </c>
      <c r="H57" s="173">
        <f t="shared" si="0"/>
        <v>1035</v>
      </c>
      <c r="I57" s="173">
        <f>SUMIFS(Input_APM!N:N,Input_APM!L:L,Check!B57)</f>
        <v>1035</v>
      </c>
      <c r="J57" s="175">
        <f t="shared" si="3"/>
        <v>0</v>
      </c>
      <c r="K57" s="21">
        <f>IF(B57="","",SUMIFS('Input_APM (Zenith)'!N:N,'Input_APM (Zenith)'!L:L,Check!B57,'Input_APM (Zenith)'!M:M,Check!$F$1))</f>
        <v>65</v>
      </c>
      <c r="L57" s="21">
        <f>IF(B57="","",SUMIFS('Input_APM (Zenith)'!N:N,'Input_APM (Zenith)'!L:L,Check!B57,'Input_APM (Zenith)'!M:M,Check!$G$1))</f>
        <v>0</v>
      </c>
      <c r="M57" s="173">
        <f t="shared" si="4"/>
        <v>1100</v>
      </c>
      <c r="O57" t="s">
        <v>976</v>
      </c>
      <c r="P57" s="173">
        <f>IF(O57="","",IF(OR(LEFT(O57,4)="Cash",LEFT(O57,4)="Prov"),0,SUMIFS(Input_APM!N:N,Input_APM!L:L,Check!O57)))</f>
        <v>-282</v>
      </c>
      <c r="Q57" s="21">
        <f>IF(O57="","",IF(LEN(O57)&gt;9,SUMIFS(Options!$H$3:$H$28,Options!$B$3:$B$28,Check!O57),SUMIFS('Master P&amp;L'!$H$11:$H$88,'Master P&amp;L'!$B$11:$B$88,Check!O57)))</f>
        <v>-300</v>
      </c>
      <c r="R57" s="173">
        <f t="shared" si="1"/>
        <v>18</v>
      </c>
      <c r="S57" s="288">
        <f t="shared" si="2"/>
        <v>0.94</v>
      </c>
    </row>
    <row r="58" spans="1:19">
      <c r="B58" t="s">
        <v>1061</v>
      </c>
      <c r="C58" s="187">
        <f>IF(B58="","",IF(LEN(B58)&gt;9,SUMIFS(Options!$H$3:$H$28,Options!$B$3:$B$28,Check!B58),SUMIFS('Master P&amp;L'!$H$11:$H$88,'Master P&amp;L'!$B$11:$B$88,Check!B58)))</f>
        <v>-1100</v>
      </c>
      <c r="D58" s="187">
        <f>IF(B58="","",SUMIFS(Input_APM!N:N,Input_APM!L:L,Check!B58,Input_APM!M:M,Check!$F$1))</f>
        <v>-1034</v>
      </c>
      <c r="E58" s="173">
        <f t="shared" si="5"/>
        <v>0</v>
      </c>
      <c r="F58" s="187">
        <f>IF(B58="","",SUMIFS(Input_APM!N:N,Input_APM!M:M,Check!$F$1,Input_APM!L:L,Check!B58))</f>
        <v>-1034</v>
      </c>
      <c r="G58" s="187">
        <f>IF(B58="","",SUMIFS(Input_APM!N:N,Input_APM!M:M,Check!$G$1,Input_APM!L:L,Check!B58))</f>
        <v>0</v>
      </c>
      <c r="H58" s="173">
        <f t="shared" si="0"/>
        <v>-1034</v>
      </c>
      <c r="I58" s="173">
        <f>SUMIFS(Input_APM!N:N,Input_APM!L:L,Check!B58)</f>
        <v>-1034</v>
      </c>
      <c r="J58" s="175">
        <f t="shared" si="3"/>
        <v>0</v>
      </c>
      <c r="K58" s="21">
        <f>IF(B58="","",SUMIFS('Input_APM (Zenith)'!N:N,'Input_APM (Zenith)'!L:L,Check!B58,'Input_APM (Zenith)'!M:M,Check!$F$1))</f>
        <v>-66</v>
      </c>
      <c r="L58" s="21">
        <f>IF(B58="","",SUMIFS('Input_APM (Zenith)'!N:N,'Input_APM (Zenith)'!L:L,Check!B58,'Input_APM (Zenith)'!M:M,Check!$G$1))</f>
        <v>0</v>
      </c>
      <c r="M58" s="173">
        <f t="shared" si="4"/>
        <v>-1100</v>
      </c>
      <c r="O58" t="s">
        <v>977</v>
      </c>
      <c r="P58" s="173">
        <f>IF(O58="","",IF(OR(LEFT(O58,4)="Cash",LEFT(O58,4)="Prov"),0,SUMIFS(Input_APM!N:N,Input_APM!L:L,Check!O58)))</f>
        <v>-94</v>
      </c>
      <c r="Q58" s="21">
        <f>IF(O58="","",IF(LEN(O58)&gt;9,SUMIFS(Options!$H$3:$H$28,Options!$B$3:$B$28,Check!O58),SUMIFS('Master P&amp;L'!$H$11:$H$88,'Master P&amp;L'!$B$11:$B$88,Check!O58)))</f>
        <v>-100</v>
      </c>
      <c r="R58" s="173">
        <f t="shared" si="1"/>
        <v>6</v>
      </c>
      <c r="S58" s="288">
        <f t="shared" si="2"/>
        <v>0.94</v>
      </c>
    </row>
    <row r="59" spans="1:19">
      <c r="B59" t="s">
        <v>1081</v>
      </c>
      <c r="C59" s="187">
        <f>IF(B59="","",IF(LEN(B59)&gt;9,SUMIFS(Options!$H$3:$H$28,Options!$B$3:$B$28,Check!B59),SUMIFS('Master P&amp;L'!$H$11:$H$88,'Master P&amp;L'!$B$11:$B$88,Check!B59)))</f>
        <v>0</v>
      </c>
      <c r="D59" s="187">
        <f>IF(B59="","",SUMIFS(Input_APM!N:N,Input_APM!L:L,Check!B59,Input_APM!M:M,Check!$F$1))</f>
        <v>0</v>
      </c>
      <c r="E59" s="173">
        <f t="shared" si="5"/>
        <v>0</v>
      </c>
      <c r="F59" s="187">
        <f>IF(B59="","",SUMIFS(Input_APM!N:N,Input_APM!M:M,Check!$F$1,Input_APM!L:L,Check!B59))</f>
        <v>0</v>
      </c>
      <c r="G59" s="187">
        <f>IF(B59="","",SUMIFS(Input_APM!N:N,Input_APM!M:M,Check!$G$1,Input_APM!L:L,Check!B59))</f>
        <v>0</v>
      </c>
      <c r="H59" s="173">
        <f t="shared" si="0"/>
        <v>0</v>
      </c>
      <c r="I59" s="173">
        <f>SUMIFS(Input_APM!N:N,Input_APM!L:L,Check!B59)</f>
        <v>0</v>
      </c>
      <c r="J59" s="175">
        <f t="shared" si="3"/>
        <v>0</v>
      </c>
      <c r="K59" s="21">
        <f>IF(B59="","",SUMIFS('Input_APM (Zenith)'!N:N,'Input_APM (Zenith)'!L:L,Check!B59,'Input_APM (Zenith)'!M:M,Check!$F$1))</f>
        <v>0</v>
      </c>
      <c r="L59" s="21">
        <f>IF(B59="","",SUMIFS('Input_APM (Zenith)'!N:N,'Input_APM (Zenith)'!L:L,Check!B59,'Input_APM (Zenith)'!M:M,Check!$G$1))</f>
        <v>0</v>
      </c>
      <c r="M59" s="173">
        <f t="shared" si="4"/>
        <v>0</v>
      </c>
      <c r="O59" t="s">
        <v>959</v>
      </c>
      <c r="P59" s="173">
        <f>IF(O59="","",IF(OR(LEFT(O59,4)="Cash",LEFT(O59,4)="Prov"),0,SUMIFS(Input_APM!N:N,Input_APM!L:L,Check!O59)))</f>
        <v>-31</v>
      </c>
      <c r="Q59" s="21">
        <f>IF(O59="","",IF(LEN(O59)&gt;9,SUMIFS(Options!$H$3:$H$28,Options!$B$3:$B$28,Check!O59),SUMIFS('Master P&amp;L'!$H$11:$H$88,'Master P&amp;L'!$B$11:$B$88,Check!O59)))</f>
        <v>0</v>
      </c>
      <c r="R59" s="173">
        <f t="shared" si="1"/>
        <v>-31</v>
      </c>
      <c r="S59" s="288" t="str">
        <f t="shared" si="2"/>
        <v>Erro</v>
      </c>
    </row>
    <row r="60" spans="1:19">
      <c r="B60" t="s">
        <v>1059</v>
      </c>
      <c r="C60" s="187">
        <f>IF(B60="","",IF(LEN(B60)&gt;9,SUMIFS(Options!$H$3:$H$28,Options!$B$3:$B$28,Check!B60),SUMIFS('Master P&amp;L'!$H$11:$H$88,'Master P&amp;L'!$B$11:$B$88,Check!B60)))</f>
        <v>0</v>
      </c>
      <c r="D60" s="187">
        <f>IF(B60="","",SUMIFS(Input_APM!N:N,Input_APM!L:L,Check!B60,Input_APM!M:M,Check!$F$1))</f>
        <v>0</v>
      </c>
      <c r="E60" s="175">
        <f t="shared" si="5"/>
        <v>0</v>
      </c>
      <c r="F60" s="187">
        <f>IF(B60="","",SUMIFS(Input_APM!N:N,Input_APM!M:M,Check!$F$1,Input_APM!L:L,Check!B60))</f>
        <v>0</v>
      </c>
      <c r="G60" s="187">
        <f>IF(B60="","",SUMIFS(Input_APM!N:N,Input_APM!M:M,Check!$G$1,Input_APM!L:L,Check!B60))</f>
        <v>0</v>
      </c>
      <c r="H60" s="173">
        <f t="shared" si="0"/>
        <v>0</v>
      </c>
      <c r="I60" s="173">
        <f>SUMIFS(Input_APM!N:N,Input_APM!L:L,Check!B60)</f>
        <v>0</v>
      </c>
      <c r="J60" s="175">
        <f t="shared" si="3"/>
        <v>0</v>
      </c>
      <c r="K60" s="21">
        <f>IF(B60="","",SUMIFS('Input_APM (Zenith)'!N:N,'Input_APM (Zenith)'!L:L,Check!B60,'Input_APM (Zenith)'!M:M,Check!$F$1))</f>
        <v>0</v>
      </c>
      <c r="L60" s="21">
        <f>IF(B60="","",SUMIFS('Input_APM (Zenith)'!N:N,'Input_APM (Zenith)'!L:L,Check!B60,'Input_APM (Zenith)'!M:M,Check!$G$1))</f>
        <v>0</v>
      </c>
      <c r="M60" s="173">
        <f t="shared" si="4"/>
        <v>0</v>
      </c>
      <c r="O60" t="s">
        <v>42</v>
      </c>
      <c r="P60" s="173">
        <f>IF(O60="","",IF(OR(LEFT(O60,4)="Cash",LEFT(O60,4)="Prov"),0,SUMIFS(Input_APM!N:N,Input_APM!L:L,Check!O60)))</f>
        <v>52479</v>
      </c>
      <c r="Q60" s="21">
        <f>IF(O60="","",IF(LEN(O60)&gt;9,SUMIFS(Options!$H$3:$H$28,Options!$B$3:$B$28,Check!O60),SUMIFS('Master P&amp;L'!$H$11:$H$88,'Master P&amp;L'!$B$11:$B$88,Check!O60)))</f>
        <v>55970</v>
      </c>
      <c r="R60" s="173">
        <f t="shared" si="1"/>
        <v>-3491</v>
      </c>
      <c r="S60" s="288">
        <f t="shared" si="2"/>
        <v>0.93762730033946762</v>
      </c>
    </row>
    <row r="61" spans="1:19">
      <c r="B61" t="s">
        <v>1080</v>
      </c>
      <c r="C61" s="187">
        <f>IF(B61="","",IF(LEN(B61)&gt;9,SUMIFS(Options!$H$3:$H$28,Options!$B$3:$B$28,Check!B61),SUMIFS('Master P&amp;L'!$H$11:$H$88,'Master P&amp;L'!$B$11:$B$88,Check!B61)))</f>
        <v>0</v>
      </c>
      <c r="D61" s="187">
        <f>IF(B61="","",SUMIFS(Input_APM!N:N,Input_APM!L:L,Check!B61,Input_APM!M:M,Check!$F$1))</f>
        <v>0</v>
      </c>
      <c r="E61" s="173">
        <f t="shared" si="5"/>
        <v>0</v>
      </c>
      <c r="F61" s="187">
        <f>IF(B61="","",SUMIFS(Input_APM!N:N,Input_APM!M:M,Check!$F$1,Input_APM!L:L,Check!B61))</f>
        <v>0</v>
      </c>
      <c r="G61" s="187">
        <f>IF(B61="","",SUMIFS(Input_APM!N:N,Input_APM!M:M,Check!$G$1,Input_APM!L:L,Check!B61))</f>
        <v>0</v>
      </c>
      <c r="H61" s="173">
        <f t="shared" si="0"/>
        <v>0</v>
      </c>
      <c r="I61" s="173">
        <f>SUMIFS(Input_APM!N:N,Input_APM!L:L,Check!B61)</f>
        <v>0</v>
      </c>
      <c r="J61" s="175">
        <f t="shared" si="3"/>
        <v>0</v>
      </c>
      <c r="K61" s="21">
        <f>IF(B61="","",SUMIFS('Input_APM (Zenith)'!N:N,'Input_APM (Zenith)'!L:L,Check!B61,'Input_APM (Zenith)'!M:M,Check!$F$1))</f>
        <v>0</v>
      </c>
      <c r="L61" s="21">
        <f>IF(B61="","",SUMIFS('Input_APM (Zenith)'!N:N,'Input_APM (Zenith)'!L:L,Check!B61,'Input_APM (Zenith)'!M:M,Check!$G$1))</f>
        <v>0</v>
      </c>
      <c r="M61" s="173">
        <f t="shared" si="4"/>
        <v>0</v>
      </c>
      <c r="O61" t="s">
        <v>1060</v>
      </c>
      <c r="P61" s="173">
        <f>IF(O61="","",IF(OR(LEFT(O61,4)="Cash",LEFT(O61,4)="Prov"),0,SUMIFS(Input_APM!N:N,Input_APM!L:L,Check!O61)))</f>
        <v>1035</v>
      </c>
      <c r="Q61" s="21">
        <f>IF(O61="","",IF(LEN(O61)&gt;9,SUMIFS(Options!$H$3:$H$28,Options!$B$3:$B$28,Check!O61),SUMIFS('Master P&amp;L'!$H$11:$H$88,'Master P&amp;L'!$B$11:$B$88,Check!O61)))</f>
        <v>1100</v>
      </c>
      <c r="R61" s="173">
        <f t="shared" si="1"/>
        <v>-65</v>
      </c>
      <c r="S61" s="288">
        <f t="shared" si="2"/>
        <v>0.94090909090909092</v>
      </c>
    </row>
    <row r="62" spans="1:19">
      <c r="B62" t="s">
        <v>1082</v>
      </c>
      <c r="C62" s="187">
        <f>IF(B62="","",IF(LEN(B62)&gt;9,SUMIFS(Options!$H$3:$H$28,Options!$B$3:$B$28,Check!B62),SUMIFS('Master P&amp;L'!$H$11:$H$88,'Master P&amp;L'!$B$11:$B$88,Check!B62)))</f>
        <v>0</v>
      </c>
      <c r="D62" s="187">
        <f>IF(B62="","",SUMIFS(Input_APM!N:N,Input_APM!L:L,Check!B62,Input_APM!M:M,Check!$F$1))</f>
        <v>0</v>
      </c>
      <c r="E62" s="175">
        <f t="shared" si="5"/>
        <v>0</v>
      </c>
      <c r="F62" s="187">
        <f>IF(B62="","",SUMIFS(Input_APM!N:N,Input_APM!M:M,Check!$F$1,Input_APM!L:L,Check!B62))</f>
        <v>0</v>
      </c>
      <c r="G62" s="187">
        <f>IF(B62="","",SUMIFS(Input_APM!N:N,Input_APM!M:M,Check!$G$1,Input_APM!L:L,Check!B62))</f>
        <v>0</v>
      </c>
      <c r="H62" s="173">
        <f t="shared" si="0"/>
        <v>0</v>
      </c>
      <c r="I62" s="173">
        <f>SUMIFS(Input_APM!N:N,Input_APM!L:L,Check!B62)</f>
        <v>0</v>
      </c>
      <c r="J62" s="175">
        <f t="shared" si="3"/>
        <v>0</v>
      </c>
      <c r="K62" s="21">
        <f>IF(B62="","",SUMIFS('Input_APM (Zenith)'!N:N,'Input_APM (Zenith)'!L:L,Check!B62,'Input_APM (Zenith)'!M:M,Check!$F$1))</f>
        <v>0</v>
      </c>
      <c r="L62" s="21">
        <f>IF(B62="","",SUMIFS('Input_APM (Zenith)'!N:N,'Input_APM (Zenith)'!L:L,Check!B62,'Input_APM (Zenith)'!M:M,Check!$G$1))</f>
        <v>0</v>
      </c>
      <c r="M62" s="173">
        <f t="shared" si="4"/>
        <v>0</v>
      </c>
      <c r="O62" t="s">
        <v>1061</v>
      </c>
      <c r="P62" s="173">
        <f>IF(O62="","",IF(OR(LEFT(O62,4)="Cash",LEFT(O62,4)="Prov"),0,SUMIFS(Input_APM!N:N,Input_APM!L:L,Check!O62)))</f>
        <v>-1034</v>
      </c>
      <c r="Q62" s="21">
        <f>IF(O62="","",IF(LEN(O62)&gt;9,SUMIFS(Options!$H$3:$H$28,Options!$B$3:$B$28,Check!O62),SUMIFS('Master P&amp;L'!$H$11:$H$88,'Master P&amp;L'!$B$11:$B$88,Check!O62)))</f>
        <v>-1100</v>
      </c>
      <c r="R62" s="173">
        <f t="shared" si="1"/>
        <v>66</v>
      </c>
      <c r="S62" s="288">
        <f t="shared" si="2"/>
        <v>0.94</v>
      </c>
    </row>
    <row r="63" spans="1:19">
      <c r="B63" t="s">
        <v>820</v>
      </c>
      <c r="C63" s="187">
        <f>IF(B63="","",IF(LEN(B63)&gt;9,SUMIFS(Options!$H$3:$H$28,Options!$B$3:$B$28,Check!B63),SUMIFS('Master P&amp;L'!$H$11:$H$88,'Master P&amp;L'!$B$11:$B$88,Check!B63)))</f>
        <v>1550</v>
      </c>
      <c r="D63" s="187">
        <f>IF(B63="","",SUMIFS(Input_APM!N:N,Input_APM!L:L,Check!B63,Input_APM!M:M,Check!$F$1))</f>
        <v>1453</v>
      </c>
      <c r="E63" s="175">
        <f t="shared" si="5"/>
        <v>0</v>
      </c>
      <c r="F63" s="187">
        <f>IF(B63="","",SUMIFS(Input_APM!N:N,Input_APM!M:M,Check!$F$1,Input_APM!L:L,Check!B63))</f>
        <v>1453</v>
      </c>
      <c r="G63" s="187">
        <f>IF(B63="","",SUMIFS(Input_APM!N:N,Input_APM!M:M,Check!$G$1,Input_APM!L:L,Check!B63))</f>
        <v>0</v>
      </c>
      <c r="H63" s="173">
        <f t="shared" si="0"/>
        <v>1453</v>
      </c>
      <c r="I63" s="173">
        <f>SUMIFS(Input_APM!N:N,Input_APM!L:L,Check!B63)</f>
        <v>1453</v>
      </c>
      <c r="J63" s="175">
        <f t="shared" si="3"/>
        <v>0</v>
      </c>
      <c r="K63" s="21">
        <f>IF(B63="","",SUMIFS('Input_APM (Zenith)'!N:N,'Input_APM (Zenith)'!L:L,Check!B63,'Input_APM (Zenith)'!M:M,Check!$F$1))</f>
        <v>97</v>
      </c>
      <c r="L63" s="21">
        <f>IF(B63="","",SUMIFS('Input_APM (Zenith)'!N:N,'Input_APM (Zenith)'!L:L,Check!B63,'Input_APM (Zenith)'!M:M,Check!$G$1))</f>
        <v>0</v>
      </c>
      <c r="M63" s="173">
        <f t="shared" si="4"/>
        <v>1550</v>
      </c>
      <c r="O63" t="s">
        <v>921</v>
      </c>
      <c r="P63" s="173">
        <f>IF(O63="","",IF(OR(LEFT(O63,4)="Cash",LEFT(O63,4)="Prov"),0,SUMIFS(Input_APM!N:N,Input_APM!L:L,Check!O63)))</f>
        <v>142</v>
      </c>
      <c r="Q63" s="21">
        <f>IF(O63="","",IF(LEN(O63)&gt;9,SUMIFS(Options!$H$3:$H$28,Options!$B$3:$B$28,Check!O63),SUMIFS('Master P&amp;L'!$H$11:$H$88,'Master P&amp;L'!$B$11:$B$88,Check!O63)))</f>
        <v>150</v>
      </c>
      <c r="R63" s="173">
        <f t="shared" si="1"/>
        <v>-8</v>
      </c>
      <c r="S63" s="288">
        <f t="shared" si="2"/>
        <v>0.94666666666666666</v>
      </c>
    </row>
    <row r="64" spans="1:19">
      <c r="B64" t="s">
        <v>821</v>
      </c>
      <c r="C64" s="187">
        <f>IF(B64="","",IF(LEN(B64)&gt;9,SUMIFS(Options!$H$3:$H$28,Options!$B$3:$B$28,Check!B64),SUMIFS('Master P&amp;L'!$H$11:$H$88,'Master P&amp;L'!$B$11:$B$88,Check!B64)))</f>
        <v>-1275</v>
      </c>
      <c r="D64" s="187">
        <f>IF(B64="","",SUMIFS(Input_APM!N:N,Input_APM!L:L,Check!B64,Input_APM!M:M,Check!$F$1))</f>
        <v>-1195</v>
      </c>
      <c r="E64" s="175">
        <f t="shared" si="5"/>
        <v>0</v>
      </c>
      <c r="F64" s="187">
        <f>IF(B64="","",SUMIFS(Input_APM!N:N,Input_APM!M:M,Check!$F$1,Input_APM!L:L,Check!B64))</f>
        <v>-1195</v>
      </c>
      <c r="G64" s="187">
        <f>IF(B64="","",SUMIFS(Input_APM!N:N,Input_APM!M:M,Check!$G$1,Input_APM!L:L,Check!B64))</f>
        <v>0</v>
      </c>
      <c r="H64" s="173">
        <f t="shared" si="0"/>
        <v>-1195</v>
      </c>
      <c r="I64" s="173">
        <f>SUMIFS(Input_APM!N:N,Input_APM!L:L,Check!B64)</f>
        <v>-1195</v>
      </c>
      <c r="J64" s="175">
        <f t="shared" si="3"/>
        <v>0</v>
      </c>
      <c r="K64" s="21">
        <f>IF(B64="","",SUMIFS('Input_APM (Zenith)'!N:N,'Input_APM (Zenith)'!L:L,Check!B64,'Input_APM (Zenith)'!M:M,Check!$F$1))</f>
        <v>-80</v>
      </c>
      <c r="L64" s="21">
        <f>IF(B64="","",SUMIFS('Input_APM (Zenith)'!N:N,'Input_APM (Zenith)'!L:L,Check!B64,'Input_APM (Zenith)'!M:M,Check!$G$1))</f>
        <v>0</v>
      </c>
      <c r="M64" s="173">
        <f t="shared" si="4"/>
        <v>-1275</v>
      </c>
      <c r="O64" t="s">
        <v>82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IF(O64="","",IF(LEN(O64)&gt;9,SUMIFS(Options!$H$3:$H$28,Options!$B$3:$B$28,Check!O64),SUMIFS('Master P&amp;L'!$H$11:$H$88,'Master P&amp;L'!$B$11:$B$88,Check!O64)))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IF(B65="","",IF(LEN(B65)&gt;9,SUMIFS(Options!$H$3:$H$28,Options!$B$3:$B$28,Check!B65),SUMIFS('Master P&amp;L'!$H$11:$H$88,'Master P&amp;L'!$B$11:$B$88,Check!B65)))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1059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IF(O65="","",IF(LEN(O65)&gt;9,SUMIFS(Options!$H$3:$H$28,Options!$B$3:$B$28,Check!O65),SUMIFS('Master P&amp;L'!$H$11:$H$88,'Master P&amp;L'!$B$11:$B$88,Check!O65)))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IF(B66="","",IF(LEN(B66)&gt;9,SUMIFS(Options!$H$3:$H$28,Options!$B$3:$B$28,Check!B66),SUMIFS('Master P&amp;L'!$H$11:$H$88,'Master P&amp;L'!$B$11:$B$88,Check!B66)))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1081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IF(O66="","",IF(LEN(O66)&gt;9,SUMIFS(Options!$H$3:$H$28,Options!$B$3:$B$28,Check!O66),SUMIFS('Master P&amp;L'!$H$11:$H$88,'Master P&amp;L'!$B$11:$B$88,Check!O66)))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IF(B67="","",IF(LEN(B67)&gt;9,SUMIFS(Options!$H$3:$H$28,Options!$B$3:$B$28,Check!B67),SUMIFS('Master P&amp;L'!$H$11:$H$88,'Master P&amp;L'!$B$11:$B$88,Check!B67)))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1082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IF(O67="","",IF(LEN(O67)&gt;9,SUMIFS(Options!$H$3:$H$28,Options!$B$3:$B$28,Check!O67),SUMIFS('Master P&amp;L'!$H$11:$H$88,'Master P&amp;L'!$B$11:$B$88,Check!O67)))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IF(B68="","",IF(LEN(B68)&gt;9,SUMIFS(Options!$H$3:$H$28,Options!$B$3:$B$28,Check!B68),SUMIFS('Master P&amp;L'!$H$11:$H$88,'Master P&amp;L'!$B$11:$B$88,Check!B68)))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1080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IF(O68="","",IF(LEN(O68)&gt;9,SUMIFS(Options!$H$3:$H$28,Options!$B$3:$B$28,Check!O68),SUMIFS('Master P&amp;L'!$H$11:$H$88,'Master P&amp;L'!$B$11:$B$88,Check!O68)))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IF(B69="","",IF(LEN(B69)&gt;9,SUMIFS(Options!$H$3:$H$28,Options!$B$3:$B$28,Check!B69),SUMIFS('Master P&amp;L'!$H$11:$H$88,'Master P&amp;L'!$B$11:$B$88,Check!B69)))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790</v>
      </c>
      <c r="P69" s="173">
        <f>IF(O69="","",IF(OR(LEFT(O69,4)="Cash",LEFT(O69,4)="Prov"),0,SUMIFS(Input_APM!N:N,Input_APM!L:L,Check!O69)))</f>
        <v>28071</v>
      </c>
      <c r="Q69" s="21">
        <f>IF(O69="","",IF(LEN(O69)&gt;9,SUMIFS(Options!$H$3:$H$28,Options!$B$3:$B$28,Check!O69),SUMIFS('Master P&amp;L'!$H$11:$H$88,'Master P&amp;L'!$B$11:$B$88,Check!O69)))</f>
        <v>30000</v>
      </c>
      <c r="R69" s="173">
        <f t="shared" si="1"/>
        <v>-1929</v>
      </c>
      <c r="S69" s="288">
        <f t="shared" si="2"/>
        <v>0.93569999999999998</v>
      </c>
    </row>
    <row r="70" spans="2:19">
      <c r="B70"/>
      <c r="C70" s="187" t="str">
        <f>IF(B70="","",IF(LEN(B70)&gt;9,SUMIFS(Options!$H$3:$H$28,Options!$B$3:$B$28,Check!B70),SUMIFS('Master P&amp;L'!$H$11:$H$88,'Master P&amp;L'!$B$11:$B$88,Check!B70)))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432</v>
      </c>
      <c r="P70" s="173">
        <f>IF(O70="","",IF(OR(LEFT(O70,4)="Cash",LEFT(O70,4)="Prov"),0,SUMIFS(Input_APM!N:N,Input_APM!L:L,Check!O70)))</f>
        <v>655</v>
      </c>
      <c r="Q70" s="21">
        <f>IF(O70="","",IF(LEN(O70)&gt;9,SUMIFS(Options!$H$3:$H$28,Options!$B$3:$B$28,Check!O70),SUMIFS('Master P&amp;L'!$H$11:$H$88,'Master P&amp;L'!$B$11:$B$88,Check!O70)))</f>
        <v>1563</v>
      </c>
      <c r="R70" s="173">
        <f t="shared" ref="R70:R99" si="10">IF(O70="","",P70-Q70)</f>
        <v>-908</v>
      </c>
      <c r="S70" s="288">
        <f t="shared" ref="S70:S133" si="11">IF(O70="","",IF((P70+Q70)=0,"Ok",IF(OR(P70=0,Q70=0),"Erro",P70/Q70)))</f>
        <v>0.41906589891234802</v>
      </c>
    </row>
    <row r="71" spans="2:19">
      <c r="B71"/>
      <c r="C71" s="187" t="str">
        <f>IF(B71="","",IF(LEN(B71)&gt;9,SUMIFS(Options!$H$3:$H$28,Options!$B$3:$B$28,Check!B71),SUMIFS('Master P&amp;L'!$H$11:$H$88,'Master P&amp;L'!$B$11:$B$88,Check!B71)))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1023</v>
      </c>
      <c r="P71" s="173">
        <f>IF(O71="","",IF(OR(LEFT(O71,4)="Cash",LEFT(O71,4)="Prov"),0,SUMIFS(Input_APM!N:N,Input_APM!L:L,Check!O71)))</f>
        <v>160</v>
      </c>
      <c r="Q71" s="21">
        <f>IF(O71="","",IF(LEN(O71)&gt;9,SUMIFS(Options!$H$3:$H$28,Options!$B$3:$B$28,Check!O71),SUMIFS('Master P&amp;L'!$H$11:$H$88,'Master P&amp;L'!$B$11:$B$88,Check!O71)))</f>
        <v>0</v>
      </c>
      <c r="R71" s="173">
        <f t="shared" si="10"/>
        <v>160</v>
      </c>
      <c r="S71" s="288" t="str">
        <f t="shared" si="11"/>
        <v>Erro</v>
      </c>
    </row>
    <row r="72" spans="2:19">
      <c r="B72"/>
      <c r="C72" s="187" t="str">
        <f>IF(B72="","",IF(LEN(B72)&gt;9,SUMIFS(Options!$H$3:$H$28,Options!$B$3:$B$28,Check!B72),SUMIFS('Master P&amp;L'!$H$11:$H$88,'Master P&amp;L'!$B$11:$B$88,Check!B72)))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875</v>
      </c>
      <c r="P72" s="173">
        <f>IF(O72="","",IF(OR(LEFT(O72,4)="Cash",LEFT(O72,4)="Prov"),0,SUMIFS(Input_APM!N:N,Input_APM!L:L,Check!O72)))</f>
        <v>643</v>
      </c>
      <c r="Q72" s="21">
        <f>IF(O72="","",IF(LEN(O72)&gt;9,SUMIFS(Options!$H$3:$H$28,Options!$B$3:$B$28,Check!O72),SUMIFS('Master P&amp;L'!$H$11:$H$88,'Master P&amp;L'!$B$11:$B$88,Check!O72)))</f>
        <v>0</v>
      </c>
      <c r="R72" s="173">
        <f t="shared" si="10"/>
        <v>643</v>
      </c>
      <c r="S72" s="288" t="str">
        <f t="shared" si="11"/>
        <v>Erro</v>
      </c>
    </row>
    <row r="73" spans="2:19">
      <c r="B73"/>
      <c r="C73" s="187" t="str">
        <f>IF(B73="","",IF(LEN(B73)&gt;9,SUMIFS(Options!$H$3:$H$28,Options!$B$3:$B$28,Check!B73),SUMIFS('Master P&amp;L'!$H$11:$H$88,'Master P&amp;L'!$B$11:$B$88,Check!B73)))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1024</v>
      </c>
      <c r="P73" s="173">
        <f>IF(O73="","",IF(OR(LEFT(O73,4)="Cash",LEFT(O73,4)="Prov"),0,SUMIFS(Input_APM!N:N,Input_APM!L:L,Check!O73)))</f>
        <v>2901</v>
      </c>
      <c r="Q73" s="21">
        <f>IF(O73="","",IF(LEN(O73)&gt;9,SUMIFS(Options!$H$3:$H$28,Options!$B$3:$B$28,Check!O73),SUMIFS('Master P&amp;L'!$H$11:$H$88,'Master P&amp;L'!$B$11:$B$88,Check!O73)))</f>
        <v>0</v>
      </c>
      <c r="R73" s="173">
        <f t="shared" si="10"/>
        <v>2901</v>
      </c>
      <c r="S73" s="288" t="str">
        <f t="shared" si="11"/>
        <v>Erro</v>
      </c>
    </row>
    <row r="74" spans="2:19">
      <c r="B74"/>
      <c r="C74" s="187" t="str">
        <f>IF(B74="","",IF(LEN(B74)&gt;9,SUMIFS(Options!$H$3:$H$28,Options!$B$3:$B$28,Check!B74),SUMIFS('Master P&amp;L'!$H$11:$H$88,'Master P&amp;L'!$B$11:$B$88,Check!B74)))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1025</v>
      </c>
      <c r="P74" s="173">
        <f>IF(O74="","",IF(OR(LEFT(O74,4)="Cash",LEFT(O74,4)="Prov"),0,SUMIFS(Input_APM!N:N,Input_APM!L:L,Check!O74)))</f>
        <v>2901</v>
      </c>
      <c r="Q74" s="21">
        <f>IF(O74="","",IF(LEN(O74)&gt;9,SUMIFS(Options!$H$3:$H$28,Options!$B$3:$B$28,Check!O74),SUMIFS('Master P&amp;L'!$H$11:$H$88,'Master P&amp;L'!$B$11:$B$88,Check!O74)))</f>
        <v>0</v>
      </c>
      <c r="R74" s="173">
        <f t="shared" si="10"/>
        <v>2901</v>
      </c>
      <c r="S74" s="288" t="str">
        <f t="shared" si="11"/>
        <v>Erro</v>
      </c>
    </row>
    <row r="75" spans="2:19">
      <c r="B75"/>
      <c r="C75" s="187" t="str">
        <f>IF(B75="","",IF(LEN(B75)&gt;9,SUMIFS(Options!$H$3:$H$28,Options!$B$3:$B$28,Check!B75),SUMIFS('Master P&amp;L'!$H$11:$H$88,'Master P&amp;L'!$B$11:$B$88,Check!B75)))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1026</v>
      </c>
      <c r="P75" s="173">
        <f>IF(O75="","",IF(OR(LEFT(O75,4)="Cash",LEFT(O75,4)="Prov"),0,SUMIFS(Input_APM!N:N,Input_APM!L:L,Check!O75)))</f>
        <v>845</v>
      </c>
      <c r="Q75" s="21">
        <f>IF(O75="","",IF(LEN(O75)&gt;9,SUMIFS(Options!$H$3:$H$28,Options!$B$3:$B$28,Check!O75),SUMIFS('Master P&amp;L'!$H$11:$H$88,'Master P&amp;L'!$B$11:$B$88,Check!O75)))</f>
        <v>0</v>
      </c>
      <c r="R75" s="173">
        <f t="shared" si="10"/>
        <v>845</v>
      </c>
      <c r="S75" s="288" t="str">
        <f t="shared" si="11"/>
        <v>Erro</v>
      </c>
    </row>
    <row r="76" spans="2:19">
      <c r="B76"/>
      <c r="C76" s="187" t="str">
        <f>IF(B76="","",IF(LEN(B76)&gt;9,SUMIFS(Options!$H$3:$H$28,Options!$B$3:$B$28,Check!B76),SUMIFS('Master P&amp;L'!$H$11:$H$88,'Master P&amp;L'!$B$11:$B$88,Check!B76)))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1098</v>
      </c>
      <c r="P76" s="173">
        <f>IF(O76="","",IF(OR(LEFT(O76,4)="Cash",LEFT(O76,4)="Prov"),0,SUMIFS(Input_APM!N:N,Input_APM!L:L,Check!O76)))</f>
        <v>4132</v>
      </c>
      <c r="Q76" s="21">
        <f>IF(O76="","",IF(LEN(O76)&gt;9,SUMIFS(Options!$H$3:$H$28,Options!$B$3:$B$28,Check!O76),SUMIFS('Master P&amp;L'!$H$11:$H$88,'Master P&amp;L'!$B$11:$B$88,Check!O76)))</f>
        <v>0</v>
      </c>
      <c r="R76" s="173">
        <f t="shared" si="10"/>
        <v>4132</v>
      </c>
      <c r="S76" s="288" t="str">
        <f t="shared" si="11"/>
        <v>Erro</v>
      </c>
    </row>
    <row r="77" spans="2:19">
      <c r="B77"/>
      <c r="C77" s="187" t="str">
        <f>IF(B77="","",IF(LEN(B77)&gt;9,SUMIFS(Options!$H$3:$H$28,Options!$B$3:$B$28,Check!B77),SUMIFS('Master P&amp;L'!$H$11:$H$88,'Master P&amp;L'!$B$11:$B$88,Check!B77)))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1048</v>
      </c>
      <c r="P77" s="173">
        <f>IF(O77="","",IF(OR(LEFT(O77,4)="Cash",LEFT(O77,4)="Prov"),0,SUMIFS(Input_APM!N:N,Input_APM!L:L,Check!O77)))</f>
        <v>16860</v>
      </c>
      <c r="Q77" s="21">
        <f>IF(O77="","",IF(LEN(O77)&gt;9,SUMIFS(Options!$H$3:$H$28,Options!$B$3:$B$28,Check!O77),SUMIFS('Master P&amp;L'!$H$11:$H$88,'Master P&amp;L'!$B$11:$B$88,Check!O77)))</f>
        <v>0</v>
      </c>
      <c r="R77" s="173">
        <f t="shared" si="10"/>
        <v>16860</v>
      </c>
      <c r="S77" s="288" t="str">
        <f t="shared" si="11"/>
        <v>Erro</v>
      </c>
    </row>
    <row r="78" spans="2:19">
      <c r="B78"/>
      <c r="C78" s="187" t="str">
        <f>IF(B78="","",IF(LEN(B78)&gt;9,SUMIFS(Options!$H$3:$H$28,Options!$B$3:$B$28,Check!B78),SUMIFS('Master P&amp;L'!$H$11:$H$88,'Master P&amp;L'!$B$11:$B$88,Check!B78)))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1027</v>
      </c>
      <c r="P78" s="173">
        <f>IF(O78="","",IF(OR(LEFT(O78,4)="Cash",LEFT(O78,4)="Prov"),0,SUMIFS(Input_APM!N:N,Input_APM!L:L,Check!O78)))</f>
        <v>268</v>
      </c>
      <c r="Q78" s="21">
        <f>IF(O78="","",IF(LEN(O78)&gt;9,SUMIFS(Options!$H$3:$H$28,Options!$B$3:$B$28,Check!O78),SUMIFS('Master P&amp;L'!$H$11:$H$88,'Master P&amp;L'!$B$11:$B$88,Check!O78)))</f>
        <v>0</v>
      </c>
      <c r="R78" s="173">
        <f t="shared" si="10"/>
        <v>268</v>
      </c>
      <c r="S78" s="288" t="str">
        <f t="shared" si="11"/>
        <v>Erro</v>
      </c>
    </row>
    <row r="79" spans="2:19">
      <c r="B79"/>
      <c r="C79" s="187" t="str">
        <f>IF(B79="","",IF(LEN(B79)&gt;9,SUMIFS(Options!$H$3:$H$28,Options!$B$3:$B$28,Check!B79),SUMIFS('Master P&amp;L'!$H$11:$H$88,'Master P&amp;L'!$B$11:$B$88,Check!B79)))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1028</v>
      </c>
      <c r="P79" s="173">
        <f>IF(O79="","",IF(OR(LEFT(O79,4)="Cash",LEFT(O79,4)="Prov"),0,SUMIFS(Input_APM!N:N,Input_APM!L:L,Check!O79)))</f>
        <v>587</v>
      </c>
      <c r="Q79" s="21">
        <f>IF(O79="","",IF(LEN(O79)&gt;9,SUMIFS(Options!$H$3:$H$28,Options!$B$3:$B$28,Check!O79),SUMIFS('Master P&amp;L'!$H$11:$H$88,'Master P&amp;L'!$B$11:$B$88,Check!O79)))</f>
        <v>0</v>
      </c>
      <c r="R79" s="173">
        <f t="shared" si="10"/>
        <v>587</v>
      </c>
      <c r="S79" s="288" t="str">
        <f t="shared" si="11"/>
        <v>Erro</v>
      </c>
    </row>
    <row r="80" spans="2:19">
      <c r="B80"/>
      <c r="C80" s="187" t="str">
        <f>IF(B80="","",IF(LEN(B80)&gt;9,SUMIFS(Options!$H$3:$H$28,Options!$B$3:$B$28,Check!B80),SUMIFS('Master P&amp;L'!$H$11:$H$88,'Master P&amp;L'!$B$11:$B$88,Check!B80)))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1029</v>
      </c>
      <c r="P80" s="173">
        <f>IF(O80="","",IF(OR(LEFT(O80,4)="Cash",LEFT(O80,4)="Prov"),0,SUMIFS(Input_APM!N:N,Input_APM!L:L,Check!O80)))</f>
        <v>254</v>
      </c>
      <c r="Q80" s="21">
        <f>IF(O80="","",IF(LEN(O80)&gt;9,SUMIFS(Options!$H$3:$H$28,Options!$B$3:$B$28,Check!O80),SUMIFS('Master P&amp;L'!$H$11:$H$88,'Master P&amp;L'!$B$11:$B$88,Check!O80)))</f>
        <v>0</v>
      </c>
      <c r="R80" s="173">
        <f t="shared" si="10"/>
        <v>254</v>
      </c>
      <c r="S80" s="288" t="str">
        <f t="shared" si="11"/>
        <v>Erro</v>
      </c>
    </row>
    <row r="81" spans="2:19">
      <c r="B81"/>
      <c r="C81" s="187" t="str">
        <f>IF(B81="","",IF(LEN(B81)&gt;9,SUMIFS(Options!$H$3:$H$28,Options!$B$3:$B$28,Check!B81),SUMIFS('Master P&amp;L'!$H$11:$H$88,'Master P&amp;L'!$B$11:$B$88,Check!B81)))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1049</v>
      </c>
      <c r="P81" s="173">
        <f>IF(O81="","",IF(OR(LEFT(O81,4)="Cash",LEFT(O81,4)="Prov"),0,SUMIFS(Input_APM!N:N,Input_APM!L:L,Check!O81)))</f>
        <v>271</v>
      </c>
      <c r="Q81" s="21">
        <f>IF(O81="","",IF(LEN(O81)&gt;9,SUMIFS(Options!$H$3:$H$28,Options!$B$3:$B$28,Check!O81),SUMIFS('Master P&amp;L'!$H$11:$H$88,'Master P&amp;L'!$B$11:$B$88,Check!O81)))</f>
        <v>0</v>
      </c>
      <c r="R81" s="173">
        <f t="shared" si="10"/>
        <v>271</v>
      </c>
      <c r="S81" s="288" t="str">
        <f t="shared" si="11"/>
        <v>Erro</v>
      </c>
    </row>
    <row r="82" spans="2:19">
      <c r="B82"/>
      <c r="C82" s="187" t="str">
        <f>IF(B82="","",IF(LEN(B82)&gt;9,SUMIFS(Options!$H$3:$H$28,Options!$B$3:$B$28,Check!B82),SUMIFS('Master P&amp;L'!$H$11:$H$88,'Master P&amp;L'!$B$11:$B$88,Check!B82)))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936</v>
      </c>
      <c r="P82" s="173">
        <f>IF(O82="","",IF(OR(LEFT(O82,4)="Cash",LEFT(O82,4)="Prov"),0,SUMIFS(Input_APM!N:N,Input_APM!L:L,Check!O82)))</f>
        <v>22373928</v>
      </c>
      <c r="Q82" s="21">
        <f>IF(O82="","",IF(LEN(O82)&gt;9,SUMIFS(Options!$H$3:$H$28,Options!$B$3:$B$28,Check!O82),SUMIFS('Master P&amp;L'!$H$11:$H$88,'Master P&amp;L'!$B$11:$B$88,Check!O82)))</f>
        <v>0</v>
      </c>
      <c r="R82" s="173">
        <f t="shared" si="10"/>
        <v>22373928</v>
      </c>
      <c r="S82" s="288" t="str">
        <f t="shared" si="11"/>
        <v>Erro</v>
      </c>
    </row>
    <row r="83" spans="2:19">
      <c r="B83"/>
      <c r="C83" s="187" t="str">
        <f>IF(B83="","",IF(LEN(B83)&gt;9,SUMIFS(Options!$H$3:$H$28,Options!$B$3:$B$28,Check!B83),SUMIFS('Master P&amp;L'!$H$11:$H$88,'Master P&amp;L'!$B$11:$B$88,Check!B83)))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44</v>
      </c>
      <c r="P83" s="173">
        <f>IF(O83="","",IF(OR(LEFT(O83,4)="Cash",LEFT(O83,4)="Prov"),0,SUMIFS(Input_APM!N:N,Input_APM!L:L,Check!O83)))</f>
        <v>0</v>
      </c>
      <c r="Q83" s="21">
        <f>IF(O83="","",IF(LEN(O83)&gt;9,SUMIFS(Options!$H$3:$H$28,Options!$B$3:$B$28,Check!O83),SUMIFS('Master P&amp;L'!$H$11:$H$88,'Master P&amp;L'!$B$11:$B$88,Check!O83)))</f>
        <v>0</v>
      </c>
      <c r="R83" s="173">
        <f t="shared" si="10"/>
        <v>0</v>
      </c>
      <c r="S83" s="288" t="str">
        <f t="shared" si="11"/>
        <v>Ok</v>
      </c>
    </row>
    <row r="84" spans="2:19">
      <c r="B84"/>
      <c r="C84" s="187" t="str">
        <f>IF(B84="","",IF(LEN(B84)&gt;9,SUMIFS(Options!$H$3:$H$28,Options!$B$3:$B$28,Check!B84),SUMIFS('Master P&amp;L'!$H$11:$H$88,'Master P&amp;L'!$B$11:$B$88,Check!B84)))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820</v>
      </c>
      <c r="P84" s="173">
        <f>IF(O84="","",IF(OR(LEFT(O84,4)="Cash",LEFT(O84,4)="Prov"),0,SUMIFS(Input_APM!N:N,Input_APM!L:L,Check!O84)))</f>
        <v>1453</v>
      </c>
      <c r="Q84" s="21">
        <f>IF(O84="","",IF(LEN(O84)&gt;9,SUMIFS(Options!$H$3:$H$28,Options!$B$3:$B$28,Check!O84),SUMIFS('Master P&amp;L'!$H$11:$H$88,'Master P&amp;L'!$B$11:$B$88,Check!O84)))</f>
        <v>1550</v>
      </c>
      <c r="R84" s="173">
        <f t="shared" si="10"/>
        <v>-97</v>
      </c>
      <c r="S84" s="288">
        <f t="shared" si="11"/>
        <v>0.93741935483870964</v>
      </c>
    </row>
    <row r="85" spans="2:19">
      <c r="B85"/>
      <c r="C85" s="187" t="str">
        <f>IF(B85="","",IF(LEN(B85)&gt;9,SUMIFS(Options!$H$3:$H$28,Options!$B$3:$B$28,Check!B85),SUMIFS('Master P&amp;L'!$H$11:$H$88,'Master P&amp;L'!$B$11:$B$88,Check!B85)))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821</v>
      </c>
      <c r="P85" s="173">
        <f>IF(O85="","",IF(OR(LEFT(O85,4)="Cash",LEFT(O85,4)="Prov"),0,SUMIFS(Input_APM!N:N,Input_APM!L:L,Check!O85)))</f>
        <v>-1195</v>
      </c>
      <c r="Q85" s="21">
        <f>IF(O85="","",IF(LEN(O85)&gt;9,SUMIFS(Options!$H$3:$H$28,Options!$B$3:$B$28,Check!O85),SUMIFS('Master P&amp;L'!$H$11:$H$88,'Master P&amp;L'!$B$11:$B$88,Check!O85)))</f>
        <v>-1275</v>
      </c>
      <c r="R85" s="173">
        <f t="shared" si="10"/>
        <v>80</v>
      </c>
      <c r="S85" s="288">
        <f t="shared" si="11"/>
        <v>0.93725490196078431</v>
      </c>
    </row>
    <row r="86" spans="2:19">
      <c r="B86"/>
      <c r="C86" s="187" t="str">
        <f>IF(B86="","",IF(LEN(B86)&gt;9,SUMIFS(Options!$H$3:$H$28,Options!$B$3:$B$28,Check!B86),SUMIFS('Master P&amp;L'!$H$11:$H$88,'Master P&amp;L'!$B$11:$B$88,Check!B86)))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970</v>
      </c>
      <c r="P86" s="173">
        <f>IF(O86="","",IF(OR(LEFT(O86,4)="Cash",LEFT(O86,4)="Prov"),0,SUMIFS(Input_APM!N:N,Input_APM!L:L,Check!O86)))</f>
        <v>50069</v>
      </c>
      <c r="Q86" s="21">
        <f>IF(O86="","",IF(LEN(O86)&gt;9,SUMIFS(Options!$H$3:$H$28,Options!$B$3:$B$28,Check!O86),SUMIFS('Master P&amp;L'!$H$11:$H$88,'Master P&amp;L'!$B$11:$B$88,Check!O86)))</f>
        <v>53300</v>
      </c>
      <c r="R86" s="173">
        <f t="shared" si="10"/>
        <v>-3231</v>
      </c>
      <c r="S86" s="288">
        <f t="shared" si="11"/>
        <v>0.93938086303939961</v>
      </c>
    </row>
    <row r="87" spans="2:19">
      <c r="B87"/>
      <c r="C87" s="187" t="str">
        <f>IF(B87="","",IF(LEN(B87)&gt;9,SUMIFS(Options!$H$3:$H$28,Options!$B$3:$B$28,Check!B87),SUMIFS('Master P&amp;L'!$H$11:$H$88,'Master P&amp;L'!$B$11:$B$88,Check!B87)))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237</v>
      </c>
      <c r="P87" s="173" t="str">
        <f>IF(O87="","",IF(OR(LEFT(O87,4)="Cash",LEFT(O87,4)="Prov"),0,SUMIFS(Input_APM!N:N,Input_APM!L:L,Check!O87)))</f>
        <v/>
      </c>
      <c r="Q87" s="21" t="str">
        <f>IF(O87="","",IF(LEN(O87)&gt;9,SUMIFS(Options!$H$3:$H$28,Options!$B$3:$B$28,Check!O87),SUMIFS('Master P&amp;L'!$H$11:$H$88,'Master P&amp;L'!$B$11:$B$88,Check!O87)))</f>
        <v/>
      </c>
      <c r="R87" s="173" t="str">
        <f t="shared" si="10"/>
        <v/>
      </c>
      <c r="S87" s="288" t="str">
        <f t="shared" si="11"/>
        <v/>
      </c>
    </row>
    <row r="88" spans="2:19">
      <c r="B88"/>
      <c r="C88" s="187" t="str">
        <f>IF(B88="","",IF(LEN(B88)&gt;9,SUMIFS(Options!$H$3:$H$28,Options!$B$3:$B$28,Check!B88),SUMIFS('Master P&amp;L'!$H$11:$H$88,'Master P&amp;L'!$B$11:$B$88,Check!B88)))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/>
      <c r="P88" s="173" t="str">
        <f>IF(O88="","",IF(OR(LEFT(O88,4)="Cash",LEFT(O88,4)="Prov"),0,SUMIFS(Input_APM!N:N,Input_APM!L:L,Check!O88)))</f>
        <v/>
      </c>
      <c r="Q88" s="21" t="str">
        <f>IF(O88="","",IF(LEN(O88)&gt;9,SUMIFS(Options!$H$3:$H$28,Options!$B$3:$B$28,Check!O88),SUMIFS('Master P&amp;L'!$H$11:$H$88,'Master P&amp;L'!$B$11:$B$88,Check!O88)))</f>
        <v/>
      </c>
      <c r="R88" s="173" t="str">
        <f t="shared" si="10"/>
        <v/>
      </c>
      <c r="S88" s="288" t="str">
        <f t="shared" si="11"/>
        <v/>
      </c>
    </row>
    <row r="89" spans="2:19">
      <c r="B89"/>
      <c r="C89" s="187" t="str">
        <f>IF(B89="","",IF(LEN(B89)&gt;9,SUMIFS(Options!$H$3:$H$28,Options!$B$3:$B$28,Check!B89),SUMIFS('Master P&amp;L'!$H$11:$H$88,'Master P&amp;L'!$B$11:$B$88,Check!B89)))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/>
      <c r="P89" s="173" t="str">
        <f>IF(O89="","",IF(OR(LEFT(O89,4)="Cash",LEFT(O89,4)="Prov"),0,SUMIFS(Input_APM!N:N,Input_APM!L:L,Check!O89)))</f>
        <v/>
      </c>
      <c r="Q89" s="21" t="str">
        <f>IF(O89="","",IF(LEN(O89)&gt;9,SUMIFS(Options!$H$3:$H$28,Options!$B$3:$B$28,Check!O89),SUMIFS('Master P&amp;L'!$H$11:$H$88,'Master P&amp;L'!$B$11:$B$88,Check!O89)))</f>
        <v/>
      </c>
      <c r="R89" s="173" t="str">
        <f t="shared" si="10"/>
        <v/>
      </c>
      <c r="S89" s="288" t="str">
        <f t="shared" si="11"/>
        <v/>
      </c>
    </row>
    <row r="90" spans="2:19">
      <c r="B90"/>
      <c r="C90" s="187" t="str">
        <f>IF(B90="","",IF(LEN(B90)&gt;9,SUMIFS(Options!$H$3:$H$28,Options!$B$3:$B$28,Check!B90),SUMIFS('Master P&amp;L'!$H$11:$H$88,'Master P&amp;L'!$B$11:$B$88,Check!B90)))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/>
      <c r="P90" s="173" t="str">
        <f>IF(O90="","",IF(OR(LEFT(O90,4)="Cash",LEFT(O90,4)="Prov"),0,SUMIFS(Input_APM!N:N,Input_APM!L:L,Check!O90)))</f>
        <v/>
      </c>
      <c r="Q90" s="21" t="str">
        <f>IF(O90="","",IF(LEN(O90)&gt;9,SUMIFS(Options!$H$3:$H$28,Options!$B$3:$B$28,Check!O90),SUMIFS('Master P&amp;L'!$H$11:$H$88,'Master P&amp;L'!$B$11:$B$88,Check!O90)))</f>
        <v/>
      </c>
      <c r="R90" s="173" t="str">
        <f t="shared" si="10"/>
        <v/>
      </c>
      <c r="S90" s="288" t="str">
        <f t="shared" si="11"/>
        <v/>
      </c>
    </row>
    <row r="91" spans="2:19">
      <c r="B91"/>
      <c r="C91" s="187" t="str">
        <f>IF(B91="","",IF(LEN(B91)&gt;9,SUMIFS(Options!$H$3:$H$28,Options!$B$3:$B$28,Check!B91),SUMIFS('Master P&amp;L'!$H$11:$H$88,'Master P&amp;L'!$B$11:$B$88,Check!B91)))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/>
      <c r="P91" s="173" t="str">
        <f>IF(O91="","",IF(OR(LEFT(O91,4)="Cash",LEFT(O91,4)="Prov"),0,SUMIFS(Input_APM!N:N,Input_APM!L:L,Check!O91)))</f>
        <v/>
      </c>
      <c r="Q91" s="21" t="str">
        <f>IF(O91="","",IF(LEN(O91)&gt;9,SUMIFS(Options!$H$3:$H$28,Options!$B$3:$B$28,Check!O91),SUMIFS('Master P&amp;L'!$H$11:$H$88,'Master P&amp;L'!$B$11:$B$88,Check!O91)))</f>
        <v/>
      </c>
      <c r="R91" s="173" t="str">
        <f t="shared" si="10"/>
        <v/>
      </c>
      <c r="S91" s="288" t="str">
        <f t="shared" si="11"/>
        <v/>
      </c>
    </row>
    <row r="92" spans="2:19">
      <c r="B92"/>
      <c r="C92" s="187" t="str">
        <f>IF(B92="","",IF(LEN(B92)&gt;9,SUMIFS(Options!$H$3:$H$28,Options!$B$3:$B$28,Check!B92),SUMIFS('Master P&amp;L'!$H$11:$H$88,'Master P&amp;L'!$B$11:$B$88,Check!B92)))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/>
      <c r="P92" s="173" t="str">
        <f>IF(O92="","",IF(OR(LEFT(O92,4)="Cash",LEFT(O92,4)="Prov"),0,SUMIFS(Input_APM!N:N,Input_APM!L:L,Check!O92)))</f>
        <v/>
      </c>
      <c r="Q92" s="21" t="str">
        <f>IF(O92="","",IF(LEN(O92)&gt;9,SUMIFS(Options!$H$3:$H$28,Options!$B$3:$B$28,Check!O92),SUMIFS('Master P&amp;L'!$H$11:$H$88,'Master P&amp;L'!$B$11:$B$88,Check!O92)))</f>
        <v/>
      </c>
      <c r="R92" s="173" t="str">
        <f t="shared" si="10"/>
        <v/>
      </c>
      <c r="S92" s="288" t="str">
        <f t="shared" si="11"/>
        <v/>
      </c>
    </row>
    <row r="93" spans="2:19">
      <c r="B93"/>
      <c r="C93" s="187" t="str">
        <f>IF(B93="","",IF(LEN(B93)&gt;9,SUMIFS(Options!$H$3:$H$28,Options!$B$3:$B$28,Check!B93),SUMIFS('Master P&amp;L'!$H$11:$H$88,'Master P&amp;L'!$B$11:$B$88,Check!B93)))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/>
      <c r="P93" s="173" t="str">
        <f>IF(O93="","",IF(OR(LEFT(O93,4)="Cash",LEFT(O93,4)="Prov"),0,SUMIFS(Input_APM!N:N,Input_APM!L:L,Check!O93)))</f>
        <v/>
      </c>
      <c r="Q93" s="21" t="str">
        <f>IF(O93="","",IF(LEN(O93)&gt;9,SUMIFS(Options!$H$3:$H$28,Options!$B$3:$B$28,Check!O93),SUMIFS('Master P&amp;L'!$H$11:$H$88,'Master P&amp;L'!$B$11:$B$88,Check!O93)))</f>
        <v/>
      </c>
      <c r="R93" s="173" t="str">
        <f t="shared" si="10"/>
        <v/>
      </c>
      <c r="S93" s="288" t="str">
        <f t="shared" si="11"/>
        <v/>
      </c>
    </row>
    <row r="94" spans="2:19">
      <c r="B94"/>
      <c r="C94" s="187" t="str">
        <f>IF(B94="","",IF(LEN(B94)&gt;9,SUMIFS(Options!$H$3:$H$28,Options!$B$3:$B$28,Check!B94),SUMIFS('Master P&amp;L'!$H$11:$H$88,'Master P&amp;L'!$B$11:$B$88,Check!B94)))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/>
      <c r="P94" s="173" t="str">
        <f>IF(O94="","",IF(OR(LEFT(O94,4)="Cash",LEFT(O94,4)="Prov"),0,SUMIFS(Input_APM!N:N,Input_APM!L:L,Check!O94)))</f>
        <v/>
      </c>
      <c r="Q94" s="21" t="str">
        <f>IF(O94="","",IF(LEN(O94)&gt;9,SUMIFS(Options!$H$3:$H$28,Options!$B$3:$B$28,Check!O94),SUMIFS('Master P&amp;L'!$H$11:$H$88,'Master P&amp;L'!$B$11:$B$88,Check!O94)))</f>
        <v/>
      </c>
      <c r="R94" s="173" t="str">
        <f t="shared" si="10"/>
        <v/>
      </c>
      <c r="S94" s="288" t="str">
        <f t="shared" si="11"/>
        <v/>
      </c>
    </row>
    <row r="95" spans="2:19">
      <c r="C95" s="187" t="str">
        <f>IF(B95="","",IF(LEN(B95)&gt;9,SUMIFS(Options!$H$3:$H$28,Options!$B$3:$B$28,Check!B95),SUMIFS('Master P&amp;L'!$H$11:$H$88,'Master P&amp;L'!$B$11:$B$88,Check!B95)))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/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IF(O95="","",IF(LEN(O95)&gt;9,SUMIFS(Options!$H$3:$H$28,Options!$B$3:$B$28,Check!O95),SUMIFS('Master P&amp;L'!$H$11:$H$88,'Master P&amp;L'!$B$11:$B$88,Check!O95)))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IF(B96="","",IF(LEN(B96)&gt;9,SUMIFS(Options!$H$3:$H$28,Options!$B$3:$B$28,Check!B96),SUMIFS('Master P&amp;L'!$H$11:$H$88,'Master P&amp;L'!$B$11:$B$88,Check!B96)))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IF(O96="","",IF(LEN(O96)&gt;9,SUMIFS(Options!$H$3:$H$28,Options!$B$3:$B$28,Check!O96),SUMIFS('Master P&amp;L'!$H$11:$H$88,'Master P&amp;L'!$B$11:$B$88,Check!O96)))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IF(B97="","",IF(LEN(B97)&gt;9,SUMIFS(Options!$H$3:$H$28,Options!$B$3:$B$28,Check!B97),SUMIFS('Master P&amp;L'!$H$11:$H$88,'Master P&amp;L'!$B$11:$B$88,Check!B97)))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IF(O97="","",IF(LEN(O97)&gt;9,SUMIFS(Options!$H$3:$H$28,Options!$B$3:$B$28,Check!O97),SUMIFS('Master P&amp;L'!$H$11:$H$88,'Master P&amp;L'!$B$11:$B$88,Check!O97)))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IF(B98="","",IF(LEN(B98)&gt;9,SUMIFS(Options!$H$3:$H$28,Options!$B$3:$B$28,Check!B98),SUMIFS('Master P&amp;L'!$H$11:$H$88,'Master P&amp;L'!$B$11:$B$88,Check!B98)))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IF(O98="","",IF(LEN(O98)&gt;9,SUMIFS(Options!$H$3:$H$28,Options!$B$3:$B$28,Check!O98),SUMIFS('Master P&amp;L'!$H$11:$H$88,'Master P&amp;L'!$B$11:$B$88,Check!O98)))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IF(B99="","",IF(LEN(B99)&gt;9,SUMIFS(Options!$H$3:$H$28,Options!$B$3:$B$28,Check!B99),SUMIFS('Master P&amp;L'!$H$11:$H$88,'Master P&amp;L'!$B$11:$B$88,Check!B99)))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IF(O99="","",IF(LEN(O99)&gt;9,SUMIFS(Options!$H$3:$H$28,Options!$B$3:$B$28,Check!O99),SUMIFS('Master P&amp;L'!$H$11:$H$88,'Master P&amp;L'!$B$11:$B$88,Check!O99)))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IF(B100="","",IF(LEN(B100)&gt;9,SUMIFS(Options!$H$3:$H$28,Options!$B$3:$B$28,Check!B100),SUMIFS('Master P&amp;L'!$H$11:$H$88,'Master P&amp;L'!$B$11:$B$88,Check!B100)))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IF(O100="","",IF(LEN(O100)&gt;9,SUMIFS(Options!$H$3:$H$28,Options!$B$3:$B$28,Check!O100),SUMIFS('Master P&amp;L'!$H$11:$H$88,'Master P&amp;L'!$B$11:$B$88,Check!O100)))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IF(B101="","",IF(LEN(B101)&gt;9,SUMIFS(Options!$H$3:$H$28,Options!$B$3:$B$28,Check!B101),SUMIFS('Master P&amp;L'!$H$11:$H$88,'Master P&amp;L'!$B$11:$B$88,Check!B101)))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IF(O101="","",IF(LEN(O101)&gt;9,SUMIFS(Options!$H$3:$H$28,Options!$B$3:$B$28,Check!O101),SUMIFS('Master P&amp;L'!$H$11:$H$88,'Master P&amp;L'!$B$11:$B$88,Check!O101)))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IF(B102="","",IF(LEN(B102)&gt;9,SUMIFS(Options!$H$3:$H$28,Options!$B$3:$B$28,Check!B102),SUMIFS('Master P&amp;L'!$H$11:$H$88,'Master P&amp;L'!$B$11:$B$88,Check!B102)))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IF(O102="","",IF(LEN(O102)&gt;9,SUMIFS(Options!$H$3:$H$28,Options!$B$3:$B$28,Check!O102),SUMIFS('Master P&amp;L'!$H$11:$H$88,'Master P&amp;L'!$B$11:$B$88,Check!O102)))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IF(B103="","",IF(LEN(B103)&gt;9,SUMIFS(Options!$H$3:$H$28,Options!$B$3:$B$28,Check!B103),SUMIFS('Master P&amp;L'!$H$11:$H$88,'Master P&amp;L'!$B$11:$B$88,Check!B103)))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IF(O103="","",IF(LEN(O103)&gt;9,SUMIFS(Options!$H$3:$H$28,Options!$B$3:$B$28,Check!O103),SUMIFS('Master P&amp;L'!$H$11:$H$88,'Master P&amp;L'!$B$11:$B$88,Check!O103)))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IF(B104="","",IF(LEN(B104)&gt;9,SUMIFS(Options!$H$3:$H$28,Options!$B$3:$B$28,Check!B104),SUMIFS('Master P&amp;L'!$H$11:$H$88,'Master P&amp;L'!$B$11:$B$88,Check!B104)))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IF(O104="","",IF(LEN(O104)&gt;9,SUMIFS(Options!$H$3:$H$28,Options!$B$3:$B$28,Check!O104),SUMIFS('Master P&amp;L'!$H$11:$H$88,'Master P&amp;L'!$B$11:$B$88,Check!O104)))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IF(B105="","",IF(LEN(B105)&gt;9,SUMIFS(Options!$H$3:$H$28,Options!$B$3:$B$28,Check!B105),SUMIFS('Master P&amp;L'!$H$11:$H$88,'Master P&amp;L'!$B$11:$B$88,Check!B105)))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IF(O105="","",IF(LEN(O105)&gt;9,SUMIFS(Options!$H$3:$H$28,Options!$B$3:$B$28,Check!O105),SUMIFS('Master P&amp;L'!$H$11:$H$88,'Master P&amp;L'!$B$11:$B$88,Check!O105)))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IF(B106="","",IF(LEN(B106)&gt;9,SUMIFS(Options!$H$3:$H$28,Options!$B$3:$B$28,Check!B106),SUMIFS('Master P&amp;L'!$H$11:$H$88,'Master P&amp;L'!$B$11:$B$88,Check!B106)))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IF(O106="","",IF(LEN(O106)&gt;9,SUMIFS(Options!$H$3:$H$28,Options!$B$3:$B$28,Check!O106),SUMIFS('Master P&amp;L'!$H$11:$H$88,'Master P&amp;L'!$B$11:$B$88,Check!O106)))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IF(B107="","",IF(LEN(B107)&gt;9,SUMIFS(Options!$H$3:$H$28,Options!$B$3:$B$28,Check!B107),SUMIFS('Master P&amp;L'!$H$11:$H$88,'Master P&amp;L'!$B$11:$B$88,Check!B107)))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IF(O107="","",IF(LEN(O107)&gt;9,SUMIFS(Options!$H$3:$H$28,Options!$B$3:$B$28,Check!O107),SUMIFS('Master P&amp;L'!$H$11:$H$88,'Master P&amp;L'!$B$11:$B$88,Check!O107)))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IF(B108="","",IF(LEN(B108)&gt;9,SUMIFS(Options!$H$3:$H$28,Options!$B$3:$B$28,Check!B108),SUMIFS('Master P&amp;L'!$H$11:$H$88,'Master P&amp;L'!$B$11:$B$88,Check!B108)))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IF(O108="","",IF(LEN(O108)&gt;9,SUMIFS(Options!$H$3:$H$28,Options!$B$3:$B$28,Check!O108),SUMIFS('Master P&amp;L'!$H$11:$H$88,'Master P&amp;L'!$B$11:$B$88,Check!O108)))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IF(B109="","",IF(LEN(B109)&gt;9,SUMIFS(Options!$H$3:$H$28,Options!$B$3:$B$28,Check!B109),SUMIFS('Master P&amp;L'!$H$11:$H$88,'Master P&amp;L'!$B$11:$B$88,Check!B109)))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IF(O109="","",IF(LEN(O109)&gt;9,SUMIFS(Options!$H$3:$H$28,Options!$B$3:$B$28,Check!O109),SUMIFS('Master P&amp;L'!$H$11:$H$88,'Master P&amp;L'!$B$11:$B$88,Check!O109)))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IF(B110="","",IF(LEN(B110)&gt;9,SUMIFS(Options!$H$3:$H$28,Options!$B$3:$B$28,Check!B110),SUMIFS('Master P&amp;L'!$H$11:$H$88,'Master P&amp;L'!$B$11:$B$88,Check!B110)))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IF(O110="","",IF(LEN(O110)&gt;9,SUMIFS(Options!$H$3:$H$28,Options!$B$3:$B$28,Check!O110),SUMIFS('Master P&amp;L'!$H$11:$H$88,'Master P&amp;L'!$B$11:$B$88,Check!O110)))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IF(B111="","",IF(LEN(B111)&gt;9,SUMIFS(Options!$H$3:$H$28,Options!$B$3:$B$28,Check!B111),SUMIFS('Master P&amp;L'!$H$11:$H$88,'Master P&amp;L'!$B$11:$B$88,Check!B111)))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IF(O111="","",IF(LEN(O111)&gt;9,SUMIFS(Options!$H$3:$H$28,Options!$B$3:$B$28,Check!O111),SUMIFS('Master P&amp;L'!$H$11:$H$88,'Master P&amp;L'!$B$11:$B$88,Check!O111)))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IF(B112="","",IF(LEN(B112)&gt;9,SUMIFS(Options!$H$3:$H$28,Options!$B$3:$B$28,Check!B112),SUMIFS('Master P&amp;L'!$H$11:$H$88,'Master P&amp;L'!$B$11:$B$88,Check!B112)))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IF(O112="","",IF(LEN(O112)&gt;9,SUMIFS(Options!$H$3:$H$28,Options!$B$3:$B$28,Check!O112),SUMIFS('Master P&amp;L'!$H$11:$H$88,'Master P&amp;L'!$B$11:$B$88,Check!O112)))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IF(B113="","",IF(LEN(B113)&gt;9,SUMIFS(Options!$H$3:$H$28,Options!$B$3:$B$28,Check!B113),SUMIFS('Master P&amp;L'!$H$11:$H$88,'Master P&amp;L'!$B$11:$B$88,Check!B113)))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IF(O113="","",IF(LEN(O113)&gt;9,SUMIFS(Options!$H$3:$H$28,Options!$B$3:$B$28,Check!O113),SUMIFS('Master P&amp;L'!$H$11:$H$88,'Master P&amp;L'!$B$11:$B$88,Check!O113)))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IF(B114="","",IF(LEN(B114)&gt;9,SUMIFS(Options!$H$3:$H$28,Options!$B$3:$B$28,Check!B114),SUMIFS('Master P&amp;L'!$H$11:$H$88,'Master P&amp;L'!$B$11:$B$88,Check!B114)))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IF(O114="","",IF(LEN(O114)&gt;9,SUMIFS(Options!$H$3:$H$28,Options!$B$3:$B$28,Check!O114),SUMIFS('Master P&amp;L'!$H$11:$H$88,'Master P&amp;L'!$B$11:$B$88,Check!O114)))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IF(B115="","",IF(LEN(B115)&gt;9,SUMIFS(Options!$H$3:$H$28,Options!$B$3:$B$28,Check!B115),SUMIFS('Master P&amp;L'!$H$11:$H$88,'Master P&amp;L'!$B$11:$B$88,Check!B115)))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IF(O115="","",IF(LEN(O115)&gt;9,SUMIFS(Options!$H$3:$H$28,Options!$B$3:$B$28,Check!O115),SUMIFS('Master P&amp;L'!$H$11:$H$88,'Master P&amp;L'!$B$11:$B$88,Check!O115)))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IF(B116="","",IF(LEN(B116)&gt;9,SUMIFS(Options!$H$3:$H$28,Options!$B$3:$B$28,Check!B116),SUMIFS('Master P&amp;L'!$H$11:$H$88,'Master P&amp;L'!$B$11:$B$88,Check!B116)))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IF(O116="","",IF(LEN(O116)&gt;9,SUMIFS(Options!$H$3:$H$28,Options!$B$3:$B$28,Check!O116),SUMIFS('Master P&amp;L'!$H$11:$H$88,'Master P&amp;L'!$B$11:$B$88,Check!O116)))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IF(B117="","",IF(LEN(B117)&gt;9,SUMIFS(Options!$H$3:$H$28,Options!$B$3:$B$28,Check!B117),SUMIFS('Master P&amp;L'!$H$11:$H$88,'Master P&amp;L'!$B$11:$B$88,Check!B117)))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IF(O117="","",IF(LEN(O117)&gt;9,SUMIFS(Options!$H$3:$H$28,Options!$B$3:$B$28,Check!O117),SUMIFS('Master P&amp;L'!$H$11:$H$88,'Master P&amp;L'!$B$11:$B$88,Check!O117)))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IF(B118="","",IF(LEN(B118)&gt;9,SUMIFS(Options!$H$3:$H$28,Options!$B$3:$B$28,Check!B118),SUMIFS('Master P&amp;L'!$H$11:$H$88,'Master P&amp;L'!$B$11:$B$88,Check!B118)))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IF(O118="","",IF(LEN(O118)&gt;9,SUMIFS(Options!$H$3:$H$28,Options!$B$3:$B$28,Check!O118),SUMIFS('Master P&amp;L'!$H$11:$H$88,'Master P&amp;L'!$B$11:$B$88,Check!O118)))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IF(B119="","",IF(LEN(B119)&gt;9,SUMIFS(Options!$H$3:$H$28,Options!$B$3:$B$28,Check!B119),SUMIFS('Master P&amp;L'!$H$11:$H$88,'Master P&amp;L'!$B$11:$B$88,Check!B119)))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IF(O119="","",IF(LEN(O119)&gt;9,SUMIFS(Options!$H$3:$H$28,Options!$B$3:$B$28,Check!O119),SUMIFS('Master P&amp;L'!$H$11:$H$88,'Master P&amp;L'!$B$11:$B$88,Check!O119)))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IF(B120="","",IF(LEN(B120)&gt;9,SUMIFS(Options!$H$3:$H$28,Options!$B$3:$B$28,Check!B120),SUMIFS('Master P&amp;L'!$H$11:$H$88,'Master P&amp;L'!$B$11:$B$88,Check!B120)))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IF(O120="","",IF(LEN(O120)&gt;9,SUMIFS(Options!$H$3:$H$28,Options!$B$3:$B$28,Check!O120),SUMIFS('Master P&amp;L'!$H$11:$H$88,'Master P&amp;L'!$B$11:$B$88,Check!O120)))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IF(B121="","",IF(LEN(B121)&gt;9,SUMIFS(Options!$H$3:$H$28,Options!$B$3:$B$28,Check!B121),SUMIFS('Master P&amp;L'!$H$11:$H$88,'Master P&amp;L'!$B$11:$B$88,Check!B121)))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IF(O121="","",IF(LEN(O121)&gt;9,SUMIFS(Options!$H$3:$H$28,Options!$B$3:$B$28,Check!O121),SUMIFS('Master P&amp;L'!$H$11:$H$88,'Master P&amp;L'!$B$11:$B$88,Check!O121)))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IF(B122="","",IF(LEN(B122)&gt;9,SUMIFS(Options!$H$3:$H$28,Options!$B$3:$B$28,Check!B122),SUMIFS('Master P&amp;L'!$H$11:$H$88,'Master P&amp;L'!$B$11:$B$88,Check!B122)))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IF(O122="","",IF(LEN(O122)&gt;9,SUMIFS(Options!$H$3:$H$28,Options!$B$3:$B$28,Check!O122),SUMIFS('Master P&amp;L'!$H$11:$H$88,'Master P&amp;L'!$B$11:$B$88,Check!O122)))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IF(B123="","",IF(LEN(B123)&gt;9,SUMIFS(Options!$H$3:$H$28,Options!$B$3:$B$28,Check!B123),SUMIFS('Master P&amp;L'!$H$11:$H$88,'Master P&amp;L'!$B$11:$B$88,Check!B123)))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IF(O123="","",IF(LEN(O123)&gt;9,SUMIFS(Options!$H$3:$H$28,Options!$B$3:$B$28,Check!O123),SUMIFS('Master P&amp;L'!$H$11:$H$88,'Master P&amp;L'!$B$11:$B$88,Check!O123)))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IF(B124="","",IF(LEN(B124)&gt;9,SUMIFS(Options!$H$3:$H$28,Options!$B$3:$B$28,Check!B124),SUMIFS('Master P&amp;L'!$H$11:$H$88,'Master P&amp;L'!$B$11:$B$88,Check!B124)))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IF(O124="","",IF(LEN(O124)&gt;9,SUMIFS(Options!$H$3:$H$28,Options!$B$3:$B$28,Check!O124),SUMIFS('Master P&amp;L'!$H$11:$H$88,'Master P&amp;L'!$B$11:$B$88,Check!O124)))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IF(B125="","",IF(LEN(B125)&gt;9,SUMIFS(Options!$H$3:$H$28,Options!$B$3:$B$28,Check!B125),SUMIFS('Master P&amp;L'!$H$11:$H$88,'Master P&amp;L'!$B$11:$B$88,Check!B125)))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IF(O125="","",IF(LEN(O125)&gt;9,SUMIFS(Options!$H$3:$H$28,Options!$B$3:$B$28,Check!O125),SUMIFS('Master P&amp;L'!$H$11:$H$88,'Master P&amp;L'!$B$11:$B$88,Check!O125)))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IF(B126="","",IF(LEN(B126)&gt;9,SUMIFS(Options!$H$3:$H$28,Options!$B$3:$B$28,Check!B126),SUMIFS('Master P&amp;L'!$H$11:$H$88,'Master P&amp;L'!$B$11:$B$88,Check!B126)))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IF(O126="","",IF(LEN(O126)&gt;9,SUMIFS(Options!$H$3:$H$28,Options!$B$3:$B$28,Check!O126),SUMIFS('Master P&amp;L'!$H$11:$H$88,'Master P&amp;L'!$B$11:$B$88,Check!O126)))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IF(B127="","",IF(LEN(B127)&gt;9,SUMIFS(Options!$H$3:$H$28,Options!$B$3:$B$28,Check!B127),SUMIFS('Master P&amp;L'!$H$11:$H$88,'Master P&amp;L'!$B$11:$B$88,Check!B127)))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IF(O127="","",IF(LEN(O127)&gt;9,SUMIFS(Options!$H$3:$H$28,Options!$B$3:$B$28,Check!O127),SUMIFS('Master P&amp;L'!$H$11:$H$88,'Master P&amp;L'!$B$11:$B$88,Check!O127)))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IF(B128="","",IF(LEN(B128)&gt;9,SUMIFS(Options!$H$3:$H$28,Options!$B$3:$B$28,Check!B128),SUMIFS('Master P&amp;L'!$H$11:$H$88,'Master P&amp;L'!$B$11:$B$88,Check!B128)))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IF(O128="","",IF(LEN(O128)&gt;9,SUMIFS(Options!$H$3:$H$28,Options!$B$3:$B$28,Check!O128),SUMIFS('Master P&amp;L'!$H$11:$H$88,'Master P&amp;L'!$B$11:$B$88,Check!O128)))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IF(B129="","",IF(LEN(B129)&gt;9,SUMIFS(Options!$H$3:$H$28,Options!$B$3:$B$28,Check!B129),SUMIFS('Master P&amp;L'!$H$11:$H$88,'Master P&amp;L'!$B$11:$B$88,Check!B129)))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IF(O129="","",IF(LEN(O129)&gt;9,SUMIFS(Options!$H$3:$H$28,Options!$B$3:$B$28,Check!O129),SUMIFS('Master P&amp;L'!$H$11:$H$88,'Master P&amp;L'!$B$11:$B$88,Check!O129)))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IF(B130="","",IF(LEN(B130)&gt;9,SUMIFS(Options!$H$3:$H$28,Options!$B$3:$B$28,Check!B130),SUMIFS('Master P&amp;L'!$H$11:$H$88,'Master P&amp;L'!$B$11:$B$88,Check!B130)))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IF(O130="","",IF(LEN(O130)&gt;9,SUMIFS(Options!$H$3:$H$28,Options!$B$3:$B$28,Check!O130),SUMIFS('Master P&amp;L'!$H$11:$H$88,'Master P&amp;L'!$B$11:$B$88,Check!O130)))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IF(B131="","",IF(LEN(B131)&gt;9,SUMIFS(Options!$H$3:$H$28,Options!$B$3:$B$28,Check!B131),SUMIFS('Master P&amp;L'!$H$11:$H$88,'Master P&amp;L'!$B$11:$B$88,Check!B131)))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IF(O131="","",IF(LEN(O131)&gt;9,SUMIFS(Options!$H$3:$H$28,Options!$B$3:$B$28,Check!O131),SUMIFS('Master P&amp;L'!$H$11:$H$88,'Master P&amp;L'!$B$11:$B$88,Check!O131)))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IF(B132="","",IF(LEN(B132)&gt;9,SUMIFS(Options!$H$3:$H$28,Options!$B$3:$B$28,Check!B132),SUMIFS('Master P&amp;L'!$H$11:$H$88,'Master P&amp;L'!$B$11:$B$88,Check!B132)))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IF(O132="","",IF(LEN(O132)&gt;9,SUMIFS(Options!$H$3:$H$28,Options!$B$3:$B$28,Check!O132),SUMIFS('Master P&amp;L'!$H$11:$H$88,'Master P&amp;L'!$B$11:$B$88,Check!O132)))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IF(B133="","",IF(LEN(B133)&gt;9,SUMIFS(Options!$H$3:$H$28,Options!$B$3:$B$28,Check!B133),SUMIFS('Master P&amp;L'!$H$11:$H$88,'Master P&amp;L'!$B$11:$B$88,Check!B133)))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IF(O133="","",IF(LEN(O133)&gt;9,SUMIFS(Options!$H$3:$H$28,Options!$B$3:$B$28,Check!O133),SUMIFS('Master P&amp;L'!$H$11:$H$88,'Master P&amp;L'!$B$11:$B$88,Check!O133)))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IF(B134="","",IF(LEN(B134)&gt;9,SUMIFS(Options!$H$3:$H$28,Options!$B$3:$B$28,Check!B134),SUMIFS('Master P&amp;L'!$H$11:$H$88,'Master P&amp;L'!$B$11:$B$88,Check!B134)))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IF(O134="","",IF(LEN(O134)&gt;9,SUMIFS(Options!$H$3:$H$28,Options!$B$3:$B$28,Check!O134),SUMIFS('Master P&amp;L'!$H$11:$H$88,'Master P&amp;L'!$B$11:$B$88,Check!O134)))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IF(B135="","",IF(LEN(B135)&gt;9,SUMIFS(Options!$H$3:$H$28,Options!$B$3:$B$28,Check!B135),SUMIFS('Master P&amp;L'!$H$11:$H$88,'Master P&amp;L'!$B$11:$B$88,Check!B135)))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IF(O135="","",IF(LEN(O135)&gt;9,SUMIFS(Options!$H$3:$H$28,Options!$B$3:$B$28,Check!O135),SUMIFS('Master P&amp;L'!$H$11:$H$88,'Master P&amp;L'!$B$11:$B$88,Check!O135)))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IF(B136="","",IF(LEN(B136)&gt;9,SUMIFS(Options!$H$3:$H$28,Options!$B$3:$B$28,Check!B136),SUMIFS('Master P&amp;L'!$H$11:$H$88,'Master P&amp;L'!$B$11:$B$88,Check!B136)))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IF(O136="","",IF(LEN(O136)&gt;9,SUMIFS(Options!$H$3:$H$28,Options!$B$3:$B$28,Check!O136),SUMIFS('Master P&amp;L'!$H$11:$H$88,'Master P&amp;L'!$B$11:$B$88,Check!O136)))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IF(B137="","",IF(LEN(B137)&gt;9,SUMIFS(Options!$H$3:$H$28,Options!$B$3:$B$28,Check!B137),SUMIFS('Master P&amp;L'!$H$11:$H$88,'Master P&amp;L'!$B$11:$B$88,Check!B137)))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IF(O137="","",IF(LEN(O137)&gt;9,SUMIFS(Options!$H$3:$H$28,Options!$B$3:$B$28,Check!O137),SUMIFS('Master P&amp;L'!$H$11:$H$88,'Master P&amp;L'!$B$11:$B$88,Check!O137)))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IF(B138="","",IF(LEN(B138)&gt;9,SUMIFS(Options!$H$3:$H$28,Options!$B$3:$B$28,Check!B138),SUMIFS('Master P&amp;L'!$H$11:$H$88,'Master P&amp;L'!$B$11:$B$88,Check!B138)))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IF(O138="","",IF(LEN(O138)&gt;9,SUMIFS(Options!$H$3:$H$28,Options!$B$3:$B$28,Check!O138),SUMIFS('Master P&amp;L'!$H$11:$H$88,'Master P&amp;L'!$B$11:$B$88,Check!O138)))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IF(B139="","",IF(LEN(B139)&gt;9,SUMIFS(Options!$H$3:$H$28,Options!$B$3:$B$28,Check!B139),SUMIFS('Master P&amp;L'!$H$11:$H$88,'Master P&amp;L'!$B$11:$B$88,Check!B139)))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IF(O139="","",IF(LEN(O139)&gt;9,SUMIFS(Options!$H$3:$H$28,Options!$B$3:$B$28,Check!O139),SUMIFS('Master P&amp;L'!$H$11:$H$88,'Master P&amp;L'!$B$11:$B$88,Check!O139)))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IF(B140="","",IF(LEN(B140)&gt;9,SUMIFS(Options!$H$3:$H$28,Options!$B$3:$B$28,Check!B140),SUMIFS('Master P&amp;L'!$H$11:$H$88,'Master P&amp;L'!$B$11:$B$88,Check!B140)))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IF(O140="","",IF(LEN(O140)&gt;9,SUMIFS(Options!$H$3:$H$28,Options!$B$3:$B$28,Check!O140),SUMIFS('Master P&amp;L'!$H$11:$H$88,'Master P&amp;L'!$B$11:$B$88,Check!O140)))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IF(B141="","",IF(LEN(B141)&gt;9,SUMIFS(Options!$H$3:$H$28,Options!$B$3:$B$28,Check!B141),SUMIFS('Master P&amp;L'!$H$11:$H$88,'Master P&amp;L'!$B$11:$B$88,Check!B141)))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IF(O141="","",IF(LEN(O141)&gt;9,SUMIFS(Options!$H$3:$H$28,Options!$B$3:$B$28,Check!O141),SUMIFS('Master P&amp;L'!$H$11:$H$88,'Master P&amp;L'!$B$11:$B$88,Check!O141)))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IF(B142="","",IF(LEN(B142)&gt;9,SUMIFS(Options!$H$3:$H$28,Options!$B$3:$B$28,Check!B142),SUMIFS('Master P&amp;L'!$H$11:$H$88,'Master P&amp;L'!$B$11:$B$88,Check!B142)))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IF(O142="","",IF(LEN(O142)&gt;9,SUMIFS(Options!$H$3:$H$28,Options!$B$3:$B$28,Check!O142),SUMIFS('Master P&amp;L'!$H$11:$H$88,'Master P&amp;L'!$B$11:$B$88,Check!O142)))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IF(B143="","",IF(LEN(B143)&gt;9,SUMIFS(Options!$H$3:$H$28,Options!$B$3:$B$28,Check!B143),SUMIFS('Master P&amp;L'!$H$11:$H$88,'Master P&amp;L'!$B$11:$B$88,Check!B143)))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IF(O143="","",IF(LEN(O143)&gt;9,SUMIFS(Options!$H$3:$H$28,Options!$B$3:$B$28,Check!O143),SUMIFS('Master P&amp;L'!$H$11:$H$88,'Master P&amp;L'!$B$11:$B$88,Check!O143)))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IF(B144="","",IF(LEN(B144)&gt;9,SUMIFS(Options!$H$3:$H$28,Options!$B$3:$B$28,Check!B144),SUMIFS('Master P&amp;L'!$H$11:$H$88,'Master P&amp;L'!$B$11:$B$88,Check!B144)))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IF(O144="","",IF(LEN(O144)&gt;9,SUMIFS(Options!$H$3:$H$28,Options!$B$3:$B$28,Check!O144),SUMIFS('Master P&amp;L'!$H$11:$H$88,'Master P&amp;L'!$B$11:$B$88,Check!O144)))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IF(B145="","",IF(LEN(B145)&gt;9,SUMIFS(Options!$H$3:$H$28,Options!$B$3:$B$28,Check!B145),SUMIFS('Master P&amp;L'!$H$11:$H$88,'Master P&amp;L'!$B$11:$B$88,Check!B145)))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IF(O145="","",IF(LEN(O145)&gt;9,SUMIFS(Options!$H$3:$H$28,Options!$B$3:$B$28,Check!O145),SUMIFS('Master P&amp;L'!$H$11:$H$88,'Master P&amp;L'!$B$11:$B$88,Check!O145)))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IF(B146="","",IF(LEN(B146)&gt;9,SUMIFS(Options!$H$3:$H$28,Options!$B$3:$B$28,Check!B146),SUMIFS('Master P&amp;L'!$H$11:$H$88,'Master P&amp;L'!$B$11:$B$88,Check!B146)))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IF(O146="","",IF(LEN(O146)&gt;9,SUMIFS(Options!$H$3:$H$28,Options!$B$3:$B$28,Check!O146),SUMIFS('Master P&amp;L'!$H$11:$H$88,'Master P&amp;L'!$B$11:$B$88,Check!O146)))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IF(B147="","",IF(LEN(B147)&gt;9,SUMIFS(Options!$H$3:$H$28,Options!$B$3:$B$28,Check!B147),SUMIFS('Master P&amp;L'!$H$11:$H$88,'Master P&amp;L'!$B$11:$B$88,Check!B147)))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IF(O147="","",IF(LEN(O147)&gt;9,SUMIFS(Options!$H$3:$H$28,Options!$B$3:$B$28,Check!O147),SUMIFS('Master P&amp;L'!$H$11:$H$88,'Master P&amp;L'!$B$11:$B$88,Check!O147)))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IF(B148="","",IF(LEN(B148)&gt;9,SUMIFS(Options!$H$3:$H$28,Options!$B$3:$B$28,Check!B148),SUMIFS('Master P&amp;L'!$H$11:$H$88,'Master P&amp;L'!$B$11:$B$88,Check!B148)))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IF(O148="","",IF(LEN(O148)&gt;9,SUMIFS(Options!$H$3:$H$28,Options!$B$3:$B$28,Check!O148),SUMIFS('Master P&amp;L'!$H$11:$H$88,'Master P&amp;L'!$B$11:$B$88,Check!O148)))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IF(B149="","",IF(LEN(B149)&gt;9,SUMIFS(Options!$H$3:$H$28,Options!$B$3:$B$28,Check!B149),SUMIFS('Master P&amp;L'!$H$11:$H$88,'Master P&amp;L'!$B$11:$B$88,Check!B149)))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IF(O149="","",IF(LEN(O149)&gt;9,SUMIFS(Options!$H$3:$H$28,Options!$B$3:$B$28,Check!O149),SUMIFS('Master P&amp;L'!$H$11:$H$88,'Master P&amp;L'!$B$11:$B$88,Check!O149)))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IF(B150="","",IF(LEN(B150)&gt;9,SUMIFS(Options!$H$3:$H$28,Options!$B$3:$B$28,Check!B150),SUMIFS('Master P&amp;L'!$H$11:$H$88,'Master P&amp;L'!$B$11:$B$88,Check!B150)))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IF(O150="","",IF(LEN(O150)&gt;9,SUMIFS(Options!$H$3:$H$28,Options!$B$3:$B$28,Check!O150),SUMIFS('Master P&amp;L'!$H$11:$H$88,'Master P&amp;L'!$B$11:$B$88,Check!O150)))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IF(B151="","",IF(LEN(B151)&gt;9,SUMIFS(Options!$H$3:$H$28,Options!$B$3:$B$28,Check!B151),SUMIFS('Master P&amp;L'!$H$11:$H$88,'Master P&amp;L'!$B$11:$B$88,Check!B151)))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IF(O151="","",IF(LEN(O151)&gt;9,SUMIFS(Options!$H$3:$H$28,Options!$B$3:$B$28,Check!O151),SUMIFS('Master P&amp;L'!$H$11:$H$88,'Master P&amp;L'!$B$11:$B$88,Check!O151)))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IF(B152="","",IF(LEN(B152)&gt;9,SUMIFS(Options!$H$3:$H$28,Options!$B$3:$B$28,Check!B152),SUMIFS('Master P&amp;L'!$H$11:$H$88,'Master P&amp;L'!$B$11:$B$88,Check!B152)))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IF(O152="","",IF(LEN(O152)&gt;9,SUMIFS(Options!$H$3:$H$28,Options!$B$3:$B$28,Check!O152),SUMIFS('Master P&amp;L'!$H$11:$H$88,'Master P&amp;L'!$B$11:$B$88,Check!O152)))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IF(B153="","",IF(LEN(B153)&gt;9,SUMIFS(Options!$H$3:$H$28,Options!$B$3:$B$28,Check!B153),SUMIFS('Master P&amp;L'!$H$11:$H$88,'Master P&amp;L'!$B$11:$B$88,Check!B153)))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IF(O153="","",IF(LEN(O153)&gt;9,SUMIFS(Options!$H$3:$H$28,Options!$B$3:$B$28,Check!O153),SUMIFS('Master P&amp;L'!$H$11:$H$88,'Master P&amp;L'!$B$11:$B$88,Check!O153)))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IF(B154="","",IF(LEN(B154)&gt;9,SUMIFS(Options!$H$3:$H$28,Options!$B$3:$B$28,Check!B154),SUMIFS('Master P&amp;L'!$H$11:$H$88,'Master P&amp;L'!$B$11:$B$88,Check!B154)))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IF(O154="","",IF(LEN(O154)&gt;9,SUMIFS(Options!$H$3:$H$28,Options!$B$3:$B$28,Check!O154),SUMIFS('Master P&amp;L'!$H$11:$H$88,'Master P&amp;L'!$B$11:$B$88,Check!O154)))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IF(B155="","",IF(LEN(B155)&gt;9,SUMIFS(Options!$H$3:$H$28,Options!$B$3:$B$28,Check!B155),SUMIFS('Master P&amp;L'!$H$11:$H$88,'Master P&amp;L'!$B$11:$B$88,Check!B155)))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IF(O155="","",IF(LEN(O155)&gt;9,SUMIFS(Options!$H$3:$H$28,Options!$B$3:$B$28,Check!O155),SUMIFS('Master P&amp;L'!$H$11:$H$88,'Master P&amp;L'!$B$11:$B$88,Check!O155)))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IF(B156="","",IF(LEN(B156)&gt;9,SUMIFS(Options!$H$3:$H$28,Options!$B$3:$B$28,Check!B156),SUMIFS('Master P&amp;L'!$H$11:$H$88,'Master P&amp;L'!$B$11:$B$88,Check!B156)))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IF(O156="","",IF(LEN(O156)&gt;9,SUMIFS(Options!$H$3:$H$28,Options!$B$3:$B$28,Check!O156),SUMIFS('Master P&amp;L'!$H$11:$H$88,'Master P&amp;L'!$B$11:$B$88,Check!O156)))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IF(B157="","",IF(LEN(B157)&gt;9,SUMIFS(Options!$H$3:$H$28,Options!$B$3:$B$28,Check!B157),SUMIFS('Master P&amp;L'!$H$11:$H$88,'Master P&amp;L'!$B$11:$B$88,Check!B157)))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IF(O157="","",IF(LEN(O157)&gt;9,SUMIFS(Options!$H$3:$H$28,Options!$B$3:$B$28,Check!O157),SUMIFS('Master P&amp;L'!$H$11:$H$88,'Master P&amp;L'!$B$11:$B$88,Check!O157)))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IF(B158="","",IF(LEN(B158)&gt;9,SUMIFS(Options!$H$3:$H$28,Options!$B$3:$B$28,Check!B158),SUMIFS('Master P&amp;L'!$H$11:$H$88,'Master P&amp;L'!$B$11:$B$88,Check!B158)))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IF(O158="","",IF(LEN(O158)&gt;9,SUMIFS(Options!$H$3:$H$28,Options!$B$3:$B$28,Check!O158),SUMIFS('Master P&amp;L'!$H$11:$H$88,'Master P&amp;L'!$B$11:$B$88,Check!O158)))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IF(B159="","",IF(LEN(B159)&gt;9,SUMIFS(Options!$H$3:$H$28,Options!$B$3:$B$28,Check!B159),SUMIFS('Master P&amp;L'!$H$11:$H$88,'Master P&amp;L'!$B$11:$B$88,Check!B159)))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IF(O159="","",IF(LEN(O159)&gt;9,SUMIFS(Options!$H$3:$H$28,Options!$B$3:$B$28,Check!O159),SUMIFS('Master P&amp;L'!$H$11:$H$88,'Master P&amp;L'!$B$11:$B$88,Check!O159)))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IF(B160="","",IF(LEN(B160)&gt;9,SUMIFS(Options!$H$3:$H$28,Options!$B$3:$B$28,Check!B160),SUMIFS('Master P&amp;L'!$H$11:$H$88,'Master P&amp;L'!$B$11:$B$88,Check!B160)))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IF(O160="","",IF(LEN(O160)&gt;9,SUMIFS(Options!$H$3:$H$28,Options!$B$3:$B$28,Check!O160),SUMIFS('Master P&amp;L'!$H$11:$H$88,'Master P&amp;L'!$B$11:$B$88,Check!O160)))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IF(B161="","",IF(LEN(B161)&gt;9,SUMIFS(Options!$H$3:$H$28,Options!$B$3:$B$28,Check!B161),SUMIFS('Master P&amp;L'!$H$11:$H$88,'Master P&amp;L'!$B$11:$B$88,Check!B161)))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IF(O161="","",IF(LEN(O161)&gt;9,SUMIFS(Options!$H$3:$H$28,Options!$B$3:$B$28,Check!O161),SUMIFS('Master P&amp;L'!$H$11:$H$88,'Master P&amp;L'!$B$11:$B$88,Check!O161)))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IF(B162="","",IF(LEN(B162)&gt;9,SUMIFS(Options!$H$3:$H$28,Options!$B$3:$B$28,Check!B162),SUMIFS('Master P&amp;L'!$H$11:$H$88,'Master P&amp;L'!$B$11:$B$88,Check!B162)))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IF(O162="","",IF(LEN(O162)&gt;9,SUMIFS(Options!$H$3:$H$28,Options!$B$3:$B$28,Check!O162),SUMIFS('Master P&amp;L'!$H$11:$H$88,'Master P&amp;L'!$B$11:$B$88,Check!O162)))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IF(B163="","",IF(LEN(B163)&gt;9,SUMIFS(Options!$H$3:$H$28,Options!$B$3:$B$28,Check!B163),SUMIFS('Master P&amp;L'!$H$11:$H$88,'Master P&amp;L'!$B$11:$B$88,Check!B163)))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IF(O163="","",IF(LEN(O163)&gt;9,SUMIFS(Options!$H$3:$H$28,Options!$B$3:$B$28,Check!O163),SUMIFS('Master P&amp;L'!$H$11:$H$88,'Master P&amp;L'!$B$11:$B$88,Check!O163)))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IF(B164="","",IF(LEN(B164)&gt;9,SUMIFS(Options!$H$3:$H$28,Options!$B$3:$B$28,Check!B164),SUMIFS('Master P&amp;L'!$H$11:$H$88,'Master P&amp;L'!$B$11:$B$88,Check!B164)))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IF(O164="","",IF(LEN(O164)&gt;9,SUMIFS(Options!$H$3:$H$28,Options!$B$3:$B$28,Check!O164),SUMIFS('Master P&amp;L'!$H$11:$H$88,'Master P&amp;L'!$B$11:$B$88,Check!O164)))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IF(B165="","",IF(LEN(B165)&gt;9,SUMIFS(Options!$H$3:$H$28,Options!$B$3:$B$28,Check!B165),SUMIFS('Master P&amp;L'!$H$11:$H$88,'Master P&amp;L'!$B$11:$B$88,Check!B165)))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IF(O165="","",IF(LEN(O165)&gt;9,SUMIFS(Options!$H$3:$H$28,Options!$B$3:$B$28,Check!O165),SUMIFS('Master P&amp;L'!$H$11:$H$88,'Master P&amp;L'!$B$11:$B$88,Check!O165)))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IF(B166="","",IF(LEN(B166)&gt;9,SUMIFS(Options!$H$3:$H$28,Options!$B$3:$B$28,Check!B166),SUMIFS('Master P&amp;L'!$H$11:$H$88,'Master P&amp;L'!$B$11:$B$88,Check!B166)))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IF(O166="","",IF(LEN(O166)&gt;9,SUMIFS(Options!$H$3:$H$28,Options!$B$3:$B$28,Check!O166),SUMIFS('Master P&amp;L'!$H$11:$H$88,'Master P&amp;L'!$B$11:$B$88,Check!O166)))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IF(B167="","",IF(LEN(B167)&gt;9,SUMIFS(Options!$H$3:$H$28,Options!$B$3:$B$28,Check!B167),SUMIFS('Master P&amp;L'!$H$11:$H$88,'Master P&amp;L'!$B$11:$B$88,Check!B167)))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IF(O167="","",IF(LEN(O167)&gt;9,SUMIFS(Options!$H$3:$H$28,Options!$B$3:$B$28,Check!O167),SUMIFS('Master P&amp;L'!$H$11:$H$88,'Master P&amp;L'!$B$11:$B$88,Check!O167)))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IF(B168="","",IF(LEN(B168)&gt;9,SUMIFS(Options!$H$3:$H$28,Options!$B$3:$B$28,Check!B168),SUMIFS('Master P&amp;L'!$H$11:$H$88,'Master P&amp;L'!$B$11:$B$88,Check!B168)))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IF(O168="","",IF(LEN(O168)&gt;9,SUMIFS(Options!$H$3:$H$28,Options!$B$3:$B$28,Check!O168),SUMIFS('Master P&amp;L'!$H$11:$H$88,'Master P&amp;L'!$B$11:$B$88,Check!O168)))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IF(B169="","",IF(LEN(B169)&gt;9,SUMIFS(Options!$H$3:$H$28,Options!$B$3:$B$28,Check!B169),SUMIFS('Master P&amp;L'!$H$11:$H$88,'Master P&amp;L'!$B$11:$B$88,Check!B169)))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IF(O169="","",IF(LEN(O169)&gt;9,SUMIFS(Options!$H$3:$H$28,Options!$B$3:$B$28,Check!O169),SUMIFS('Master P&amp;L'!$H$11:$H$88,'Master P&amp;L'!$B$11:$B$88,Check!O169)))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IF(B170="","",IF(LEN(B170)&gt;9,SUMIFS(Options!$H$3:$H$28,Options!$B$3:$B$28,Check!B170),SUMIFS('Master P&amp;L'!$H$11:$H$88,'Master P&amp;L'!$B$11:$B$88,Check!B170)))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IF(O170="","",IF(LEN(O170)&gt;9,SUMIFS(Options!$H$3:$H$28,Options!$B$3:$B$28,Check!O170),SUMIFS('Master P&amp;L'!$H$11:$H$88,'Master P&amp;L'!$B$11:$B$88,Check!O170)))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IF(B171="","",IF(LEN(B171)&gt;9,SUMIFS(Options!$H$3:$H$28,Options!$B$3:$B$28,Check!B171),SUMIFS('Master P&amp;L'!$H$11:$H$88,'Master P&amp;L'!$B$11:$B$88,Check!B171)))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IF(O171="","",IF(LEN(O171)&gt;9,SUMIFS(Options!$H$3:$H$28,Options!$B$3:$B$28,Check!O171),SUMIFS('Master P&amp;L'!$H$11:$H$88,'Master P&amp;L'!$B$11:$B$88,Check!O171)))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IF(B172="","",IF(LEN(B172)&gt;9,SUMIFS(Options!$H$3:$H$28,Options!$B$3:$B$28,Check!B172),SUMIFS('Master P&amp;L'!$H$11:$H$88,'Master P&amp;L'!$B$11:$B$88,Check!B172)))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IF(O172="","",IF(LEN(O172)&gt;9,SUMIFS(Options!$H$3:$H$28,Options!$B$3:$B$28,Check!O172),SUMIFS('Master P&amp;L'!$H$11:$H$88,'Master P&amp;L'!$B$11:$B$88,Check!O172)))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IF(B173="","",IF(LEN(B173)&gt;9,SUMIFS(Options!$H$3:$H$28,Options!$B$3:$B$28,Check!B173),SUMIFS('Master P&amp;L'!$H$11:$H$88,'Master P&amp;L'!$B$11:$B$88,Check!B173)))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IF(O173="","",IF(LEN(O173)&gt;9,SUMIFS(Options!$H$3:$H$28,Options!$B$3:$B$28,Check!O173),SUMIFS('Master P&amp;L'!$H$11:$H$88,'Master P&amp;L'!$B$11:$B$88,Check!O173)))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IF(B174="","",IF(LEN(B174)&gt;9,SUMIFS(Options!$H$3:$H$28,Options!$B$3:$B$28,Check!B174),SUMIFS('Master P&amp;L'!$H$11:$H$88,'Master P&amp;L'!$B$11:$B$88,Check!B174)))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IF(O174="","",IF(LEN(O174)&gt;9,SUMIFS(Options!$H$3:$H$28,Options!$B$3:$B$28,Check!O174),SUMIFS('Master P&amp;L'!$H$11:$H$88,'Master P&amp;L'!$B$11:$B$88,Check!O174)))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IF(B175="","",IF(LEN(B175)&gt;9,SUMIFS(Options!$H$3:$H$28,Options!$B$3:$B$28,Check!B175),SUMIFS('Master P&amp;L'!$H$11:$H$88,'Master P&amp;L'!$B$11:$B$88,Check!B175)))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IF(O175="","",IF(LEN(O175)&gt;9,SUMIFS(Options!$H$3:$H$28,Options!$B$3:$B$28,Check!O175),SUMIFS('Master P&amp;L'!$H$11:$H$88,'Master P&amp;L'!$B$11:$B$88,Check!O175)))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IF(B176="","",IF(LEN(B176)&gt;9,SUMIFS(Options!$H$3:$H$28,Options!$B$3:$B$28,Check!B176),SUMIFS('Master P&amp;L'!$H$11:$H$88,'Master P&amp;L'!$B$11:$B$88,Check!B176)))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IF(O176="","",IF(LEN(O176)&gt;9,SUMIFS(Options!$H$3:$H$28,Options!$B$3:$B$28,Check!O176),SUMIFS('Master P&amp;L'!$H$11:$H$88,'Master P&amp;L'!$B$11:$B$88,Check!O176)))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IF(B177="","",IF(LEN(B177)&gt;9,SUMIFS(Options!$H$3:$H$28,Options!$B$3:$B$28,Check!B177),SUMIFS('Master P&amp;L'!$H$11:$H$88,'Master P&amp;L'!$B$11:$B$88,Check!B177)))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IF(O177="","",IF(LEN(O177)&gt;9,SUMIFS(Options!$H$3:$H$28,Options!$B$3:$B$28,Check!O177),SUMIFS('Master P&amp;L'!$H$11:$H$88,'Master P&amp;L'!$B$11:$B$88,Check!O177)))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IF(B178="","",IF(LEN(B178)&gt;9,SUMIFS(Options!$H$3:$H$28,Options!$B$3:$B$28,Check!B178),SUMIFS('Master P&amp;L'!$H$11:$H$88,'Master P&amp;L'!$B$11:$B$88,Check!B178)))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IF(O178="","",IF(LEN(O178)&gt;9,SUMIFS(Options!$H$3:$H$28,Options!$B$3:$B$28,Check!O178),SUMIFS('Master P&amp;L'!$H$11:$H$88,'Master P&amp;L'!$B$11:$B$88,Check!O178)))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IF(B179="","",IF(LEN(B179)&gt;9,SUMIFS(Options!$H$3:$H$28,Options!$B$3:$B$28,Check!B179),SUMIFS('Master P&amp;L'!$H$11:$H$88,'Master P&amp;L'!$B$11:$B$88,Check!B179)))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IF(O179="","",IF(LEN(O179)&gt;9,SUMIFS(Options!$H$3:$H$28,Options!$B$3:$B$28,Check!O179),SUMIFS('Master P&amp;L'!$H$11:$H$88,'Master P&amp;L'!$B$11:$B$88,Check!O179)))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IF(B180="","",IF(LEN(B180)&gt;9,SUMIFS(Options!$H$3:$H$28,Options!$B$3:$B$28,Check!B180),SUMIFS('Master P&amp;L'!$H$11:$H$88,'Master P&amp;L'!$B$11:$B$88,Check!B180)))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IF(O180="","",IF(LEN(O180)&gt;9,SUMIFS(Options!$H$3:$H$28,Options!$B$3:$B$28,Check!O180),SUMIFS('Master P&amp;L'!$H$11:$H$88,'Master P&amp;L'!$B$11:$B$88,Check!O180)))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IF(B181="","",IF(LEN(B181)&gt;9,SUMIFS(Options!$H$3:$H$28,Options!$B$3:$B$28,Check!B181),SUMIFS('Master P&amp;L'!$H$11:$H$88,'Master P&amp;L'!$B$11:$B$88,Check!B181)))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IF(O181="","",IF(LEN(O181)&gt;9,SUMIFS(Options!$H$3:$H$28,Options!$B$3:$B$28,Check!O181),SUMIFS('Master P&amp;L'!$H$11:$H$88,'Master P&amp;L'!$B$11:$B$88,Check!O181)))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IF(B182="","",IF(LEN(B182)&gt;9,SUMIFS(Options!$H$3:$H$28,Options!$B$3:$B$28,Check!B182),SUMIFS('Master P&amp;L'!$H$11:$H$88,'Master P&amp;L'!$B$11:$B$88,Check!B182)))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IF(O182="","",IF(LEN(O182)&gt;9,SUMIFS(Options!$H$3:$H$28,Options!$B$3:$B$28,Check!O182),SUMIFS('Master P&amp;L'!$H$11:$H$88,'Master P&amp;L'!$B$11:$B$88,Check!O182)))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IF(B183="","",IF(LEN(B183)&gt;9,SUMIFS(Options!$H$3:$H$28,Options!$B$3:$B$28,Check!B183),SUMIFS('Master P&amp;L'!$H$11:$H$88,'Master P&amp;L'!$B$11:$B$88,Check!B183)))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IF(O183="","",IF(LEN(O183)&gt;9,SUMIFS(Options!$H$3:$H$28,Options!$B$3:$B$28,Check!O183),SUMIFS('Master P&amp;L'!$H$11:$H$88,'Master P&amp;L'!$B$11:$B$88,Check!O183)))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IF(B184="","",IF(LEN(B184)&gt;9,SUMIFS(Options!$H$3:$H$28,Options!$B$3:$B$28,Check!B184),SUMIFS('Master P&amp;L'!$H$11:$H$88,'Master P&amp;L'!$B$11:$B$88,Check!B184)))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IF(O184="","",IF(LEN(O184)&gt;9,SUMIFS(Options!$H$3:$H$28,Options!$B$3:$B$28,Check!O184),SUMIFS('Master P&amp;L'!$H$11:$H$88,'Master P&amp;L'!$B$11:$B$88,Check!O184)))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IF(B185="","",IF(LEN(B185)&gt;9,SUMIFS(Options!$H$3:$H$28,Options!$B$3:$B$28,Check!B185),SUMIFS('Master P&amp;L'!$H$11:$H$88,'Master P&amp;L'!$B$11:$B$88,Check!B185)))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IF(O185="","",IF(LEN(O185)&gt;9,SUMIFS(Options!$H$3:$H$28,Options!$B$3:$B$28,Check!O185),SUMIFS('Master P&amp;L'!$H$11:$H$88,'Master P&amp;L'!$B$11:$B$88,Check!O185)))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IF(B186="","",IF(LEN(B186)&gt;9,SUMIFS(Options!$H$3:$H$28,Options!$B$3:$B$28,Check!B186),SUMIFS('Master P&amp;L'!$H$11:$H$88,'Master P&amp;L'!$B$11:$B$88,Check!B186)))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IF(O186="","",IF(LEN(O186)&gt;9,SUMIFS(Options!$H$3:$H$28,Options!$B$3:$B$28,Check!O186),SUMIFS('Master P&amp;L'!$H$11:$H$88,'Master P&amp;L'!$B$11:$B$88,Check!O186)))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IF(B187="","",IF(LEN(B187)&gt;9,SUMIFS(Options!$H$3:$H$28,Options!$B$3:$B$28,Check!B187),SUMIFS('Master P&amp;L'!$H$11:$H$88,'Master P&amp;L'!$B$11:$B$88,Check!B187)))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IF(O187="","",IF(LEN(O187)&gt;9,SUMIFS(Options!$H$3:$H$28,Options!$B$3:$B$28,Check!O187),SUMIFS('Master P&amp;L'!$H$11:$H$88,'Master P&amp;L'!$B$11:$B$88,Check!O187)))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IF(B188="","",IF(LEN(B188)&gt;9,SUMIFS(Options!$H$3:$H$28,Options!$B$3:$B$28,Check!B188),SUMIFS('Master P&amp;L'!$H$11:$H$88,'Master P&amp;L'!$B$11:$B$88,Check!B188)))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IF(O188="","",IF(LEN(O188)&gt;9,SUMIFS(Options!$H$3:$H$28,Options!$B$3:$B$28,Check!O188),SUMIFS('Master P&amp;L'!$H$11:$H$88,'Master P&amp;L'!$B$11:$B$88,Check!O188)))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IF(B189="","",IF(LEN(B189)&gt;9,SUMIFS(Options!$H$3:$H$28,Options!$B$3:$B$28,Check!B189),SUMIFS('Master P&amp;L'!$H$11:$H$88,'Master P&amp;L'!$B$11:$B$88,Check!B189)))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IF(O189="","",IF(LEN(O189)&gt;9,SUMIFS(Options!$H$3:$H$28,Options!$B$3:$B$28,Check!O189),SUMIFS('Master P&amp;L'!$H$11:$H$88,'Master P&amp;L'!$B$11:$B$88,Check!O189)))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IF(B190="","",IF(LEN(B190)&gt;9,SUMIFS(Options!$H$3:$H$28,Options!$B$3:$B$28,Check!B190),SUMIFS('Master P&amp;L'!$H$11:$H$88,'Master P&amp;L'!$B$11:$B$88,Check!B190)))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IF(O190="","",IF(LEN(O190)&gt;9,SUMIFS(Options!$H$3:$H$28,Options!$B$3:$B$28,Check!O190),SUMIFS('Master P&amp;L'!$H$11:$H$88,'Master P&amp;L'!$B$11:$B$88,Check!O190)))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IF(B191="","",IF(LEN(B191)&gt;9,SUMIFS(Options!$H$3:$H$28,Options!$B$3:$B$28,Check!B191),SUMIFS('Master P&amp;L'!$H$11:$H$88,'Master P&amp;L'!$B$11:$B$88,Check!B191)))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IF(O191="","",IF(LEN(O191)&gt;9,SUMIFS(Options!$H$3:$H$28,Options!$B$3:$B$28,Check!O191),SUMIFS('Master P&amp;L'!$H$11:$H$88,'Master P&amp;L'!$B$11:$B$88,Check!O191)))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IF(O192="","",IF(LEN(O192)&gt;9,SUMIFS(Options!$H$3:$H$28,Options!$B$3:$B$28,Check!O192),SUMIFS('Master P&amp;L'!$H$11:$H$88,'Master P&amp;L'!$B$11:$B$88,Check!O192)))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IF(O193="","",IF(LEN(O193)&gt;9,SUMIFS(Options!$H$3:$H$28,Options!$B$3:$B$28,Check!O193),SUMIFS('Master P&amp;L'!$H$11:$H$88,'Master P&amp;L'!$B$11:$B$88,Check!O193)))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IF(O194="","",IF(LEN(O194)&gt;9,SUMIFS(Options!$H$3:$H$28,Options!$B$3:$B$28,Check!O194),SUMIFS('Master P&amp;L'!$H$11:$H$88,'Master P&amp;L'!$B$11:$B$88,Check!O194)))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IF(O195="","",IF(LEN(O195)&gt;9,SUMIFS(Options!$H$3:$H$28,Options!$B$3:$B$28,Check!O195),SUMIFS('Master P&amp;L'!$H$11:$H$88,'Master P&amp;L'!$B$11:$B$88,Check!O195)))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IF(O196="","",IF(LEN(O196)&gt;9,SUMIFS(Options!$H$3:$H$28,Options!$B$3:$B$28,Check!O196),SUMIFS('Master P&amp;L'!$H$11:$H$88,'Master P&amp;L'!$B$11:$B$88,Check!O196)))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IF(O197="","",IF(LEN(O197)&gt;9,SUMIFS(Options!$H$3:$H$28,Options!$B$3:$B$28,Check!O197),SUMIFS('Master P&amp;L'!$H$11:$H$88,'Master P&amp;L'!$B$11:$B$88,Check!O197)))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IF(O198="","",IF(LEN(O198)&gt;9,SUMIFS(Options!$H$3:$H$28,Options!$B$3:$B$28,Check!O198),SUMIFS('Master P&amp;L'!$H$11:$H$88,'Master P&amp;L'!$B$11:$B$88,Check!O198)))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IF(O199="","",IF(LEN(O199)&gt;9,SUMIFS(Options!$H$3:$H$28,Options!$B$3:$B$28,Check!O199),SUMIFS('Master P&amp;L'!$H$11:$H$88,'Master P&amp;L'!$B$11:$B$88,Check!O199)))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IF(O200="","",IF(LEN(O200)&gt;9,SUMIFS(Options!$H$3:$H$28,Options!$B$3:$B$28,Check!O200),SUMIFS('Master P&amp;L'!$H$11:$H$88,'Master P&amp;L'!$B$11:$B$88,Check!O200)))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IF(O201="","",IF(LEN(O201)&gt;9,SUMIFS(Options!$H$3:$H$28,Options!$B$3:$B$28,Check!O201),SUMIFS('Master P&amp;L'!$H$11:$H$88,'Master P&amp;L'!$B$11:$B$88,Check!O201)))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IF(O202="","",IF(LEN(O202)&gt;9,SUMIFS(Options!$H$3:$H$28,Options!$B$3:$B$28,Check!O202),SUMIFS('Master P&amp;L'!$H$11:$H$88,'Master P&amp;L'!$B$11:$B$88,Check!O202)))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IF(O203="","",IF(LEN(O203)&gt;9,SUMIFS(Options!$H$3:$H$28,Options!$B$3:$B$28,Check!O203),SUMIFS('Master P&amp;L'!$H$11:$H$88,'Master P&amp;L'!$B$11:$B$88,Check!O203)))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IF(O204="","",IF(LEN(O204)&gt;9,SUMIFS(Options!$H$3:$H$28,Options!$B$3:$B$28,Check!O204),SUMIFS('Master P&amp;L'!$H$11:$H$88,'Master P&amp;L'!$B$11:$B$88,Check!O204)))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IF(O205="","",IF(LEN(O205)&gt;9,SUMIFS(Options!$H$3:$H$28,Options!$B$3:$B$28,Check!O205),SUMIFS('Master P&amp;L'!$H$11:$H$88,'Master P&amp;L'!$B$11:$B$88,Check!O205)))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IF(O206="","",IF(LEN(O206)&gt;9,SUMIFS(Options!$H$3:$H$28,Options!$B$3:$B$28,Check!O206),SUMIFS('Master P&amp;L'!$H$11:$H$88,'Master P&amp;L'!$B$11:$B$88,Check!O206)))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6" priority="4">
      <formula>J5&lt;&gt;0</formula>
    </cfRule>
  </conditionalFormatting>
  <conditionalFormatting sqref="E5:E191">
    <cfRule type="expression" dxfId="5" priority="3">
      <formula>E5&lt;&gt;0</formula>
    </cfRule>
  </conditionalFormatting>
  <conditionalFormatting sqref="S5:S206">
    <cfRule type="cellIs" dxfId="4" priority="2" operator="lessThan">
      <formula>0.9</formula>
    </cfRule>
  </conditionalFormatting>
  <conditionalFormatting sqref="S5:S198">
    <cfRule type="expression" dxfId="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7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1030</v>
      </c>
      <c r="G2" s="169" t="s">
        <v>208</v>
      </c>
      <c r="H2" s="169">
        <v>3962</v>
      </c>
      <c r="I2" s="169">
        <v>3113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3962</v>
      </c>
      <c r="O2" s="171">
        <f>IF(E2="","",I2)</f>
        <v>3113</v>
      </c>
    </row>
    <row r="3" spans="5:15">
      <c r="E3" s="169" t="s">
        <v>242</v>
      </c>
      <c r="F3" s="169" t="s">
        <v>1066</v>
      </c>
      <c r="G3" s="169" t="s">
        <v>208</v>
      </c>
      <c r="H3" s="169">
        <v>21662</v>
      </c>
      <c r="I3" s="169">
        <v>19314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21662</v>
      </c>
      <c r="O3" s="171">
        <f t="shared" ref="O3:O66" si="3">IF(E3="","",I3)</f>
        <v>19314</v>
      </c>
    </row>
    <row r="4" spans="5:15">
      <c r="E4" s="169" t="s">
        <v>335</v>
      </c>
      <c r="F4" s="169" t="s">
        <v>1022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1063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1062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10050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10050</v>
      </c>
      <c r="O7" s="171">
        <f t="shared" si="3"/>
        <v>9393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1043</v>
      </c>
      <c r="G9" s="169" t="s">
        <v>208</v>
      </c>
      <c r="H9" s="169">
        <v>939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939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11970</v>
      </c>
      <c r="I10" s="169">
        <v>11970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11970</v>
      </c>
      <c r="O10" s="171">
        <f t="shared" si="3"/>
        <v>11970</v>
      </c>
    </row>
    <row r="11" spans="5:15">
      <c r="E11" s="169" t="s">
        <v>244</v>
      </c>
      <c r="F11" s="169" t="s">
        <v>1095</v>
      </c>
      <c r="G11" s="169" t="s">
        <v>208</v>
      </c>
      <c r="H11" s="169">
        <v>-113</v>
      </c>
      <c r="I11" s="169">
        <v>0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02/27/26 C350</v>
      </c>
      <c r="M11" s="170" t="str">
        <f t="shared" si="1"/>
        <v>EQTY.IntlUS.off</v>
      </c>
      <c r="N11" s="171">
        <f t="shared" si="2"/>
        <v>-113</v>
      </c>
      <c r="O11" s="171">
        <f t="shared" si="3"/>
        <v>0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114</v>
      </c>
      <c r="I12" s="169">
        <v>114</v>
      </c>
      <c r="K12" s="170" t="str">
        <f t="shared" si="0"/>
        <v>US Equity Options</v>
      </c>
      <c r="L12" s="170" t="str">
        <f>IF(E12="","",IF(COUNTIFS(Table2[[#All],[De (Lote)]],Input_APM!F12)&gt;0,INDEX(Table2[[#All],[Para (Ticker Daniel)]],MATCH(Input_APM!F12,Table2[[#All],[De (Lote)]],0)),Input_APM!F12))</f>
        <v>AVGO US 06/18/26 C350</v>
      </c>
      <c r="M12" s="170" t="str">
        <f t="shared" si="1"/>
        <v>EQTY.IntlUS.off</v>
      </c>
      <c r="N12" s="171">
        <f t="shared" si="2"/>
        <v>114</v>
      </c>
      <c r="O12" s="171">
        <f t="shared" si="3"/>
        <v>114</v>
      </c>
    </row>
    <row r="13" spans="5:15">
      <c r="E13" s="169" t="s">
        <v>8</v>
      </c>
      <c r="F13" s="169" t="s">
        <v>334</v>
      </c>
      <c r="G13" s="169" t="s">
        <v>208</v>
      </c>
      <c r="H13" s="169">
        <v>3727</v>
      </c>
      <c r="I13" s="169">
        <v>3445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BABA</v>
      </c>
      <c r="M13" s="170" t="str">
        <f t="shared" si="1"/>
        <v>EQTY.IntlUS.off</v>
      </c>
      <c r="N13" s="171">
        <f t="shared" si="2"/>
        <v>3727</v>
      </c>
      <c r="O13" s="171">
        <f t="shared" si="3"/>
        <v>3445</v>
      </c>
    </row>
    <row r="14" spans="5:15">
      <c r="E14" s="169" t="s">
        <v>8</v>
      </c>
      <c r="F14" s="169" t="s">
        <v>800</v>
      </c>
      <c r="G14" s="169" t="s">
        <v>208</v>
      </c>
      <c r="H14" s="169">
        <v>4497</v>
      </c>
      <c r="I14" s="169">
        <v>4215</v>
      </c>
      <c r="K14" s="170" t="str">
        <f t="shared" si="0"/>
        <v>ADR</v>
      </c>
      <c r="L14" s="170" t="str">
        <f>IF(E14="","",IF(COUNTIFS(Table2[[#All],[De (Lote)]],Input_APM!F14)&gt;0,INDEX(Table2[[#All],[Para (Ticker Daniel)]],MATCH(Input_APM!F14,Table2[[#All],[De (Lote)]],0)),Input_APM!F14))</f>
        <v>BIDU</v>
      </c>
      <c r="M14" s="170" t="str">
        <f t="shared" si="1"/>
        <v>EQTY.IntlUS.off</v>
      </c>
      <c r="N14" s="171">
        <f t="shared" si="2"/>
        <v>4497</v>
      </c>
      <c r="O14" s="171">
        <f t="shared" si="3"/>
        <v>4215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-0.28999999999999998</v>
      </c>
      <c r="I15" s="169">
        <v>-0.28999999999999998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CAD</v>
      </c>
      <c r="M15" s="170" t="str">
        <f t="shared" si="1"/>
        <v>EQTY.IntlUS.off</v>
      </c>
      <c r="N15" s="171">
        <f t="shared" si="2"/>
        <v>-0.28999999999999998</v>
      </c>
      <c r="O15" s="171">
        <f t="shared" si="3"/>
        <v>-0.28999999999999998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0.39</v>
      </c>
      <c r="I16" s="169">
        <v>0.39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EQTY.InternacionalUS2.off</v>
      </c>
      <c r="N16" s="171">
        <f t="shared" si="2"/>
        <v>0.39</v>
      </c>
      <c r="O16" s="171">
        <f t="shared" si="3"/>
        <v>0.39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-34454.449999999997</v>
      </c>
      <c r="I17" s="169">
        <v>-34454.449999999997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CHF</v>
      </c>
      <c r="M17" s="170" t="str">
        <f t="shared" si="1"/>
        <v>EQTY.IntlUS.off</v>
      </c>
      <c r="N17" s="171">
        <f t="shared" si="2"/>
        <v>-34454.449999999997</v>
      </c>
      <c r="O17" s="171">
        <f t="shared" si="3"/>
        <v>-34454.449999999997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-0.36</v>
      </c>
      <c r="I18" s="169">
        <v>-0.36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CNH</v>
      </c>
      <c r="M18" s="170" t="str">
        <f t="shared" si="1"/>
        <v>EQTY.IntlUS.off</v>
      </c>
      <c r="N18" s="171">
        <f t="shared" si="2"/>
        <v>-0.36</v>
      </c>
      <c r="O18" s="171">
        <f t="shared" si="3"/>
        <v>-0.36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-0.19</v>
      </c>
      <c r="I19" s="169">
        <v>-0.19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EQTY.InternacionalUS2.off</v>
      </c>
      <c r="N19" s="171">
        <f t="shared" si="2"/>
        <v>-0.19</v>
      </c>
      <c r="O19" s="171">
        <f t="shared" si="3"/>
        <v>-0.19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-143145.81</v>
      </c>
      <c r="I20" s="169">
        <v>-143145.81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CNY</v>
      </c>
      <c r="M20" s="170" t="str">
        <f t="shared" si="1"/>
        <v>EQTY.IntlUS.off</v>
      </c>
      <c r="N20" s="171">
        <f t="shared" si="2"/>
        <v>-143145.81</v>
      </c>
      <c r="O20" s="171">
        <f t="shared" si="3"/>
        <v>-143145.81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-0.15</v>
      </c>
      <c r="I21" s="169">
        <v>-0.15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EQTY.InternacionalUS2.off</v>
      </c>
      <c r="N21" s="171">
        <f t="shared" si="2"/>
        <v>-0.15</v>
      </c>
      <c r="O21" s="171">
        <f t="shared" si="3"/>
        <v>-0.15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-253448.37</v>
      </c>
      <c r="I22" s="169">
        <v>-253448.37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EUR</v>
      </c>
      <c r="M22" s="170" t="str">
        <f t="shared" si="1"/>
        <v>EQTY.IntlUS.off</v>
      </c>
      <c r="N22" s="171">
        <f t="shared" si="2"/>
        <v>-253448.37</v>
      </c>
      <c r="O22" s="171">
        <f t="shared" si="3"/>
        <v>-253448.37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-0.47</v>
      </c>
      <c r="I23" s="169">
        <v>-0.47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GBP</v>
      </c>
      <c r="M23" s="170" t="str">
        <f t="shared" si="1"/>
        <v>EQTY.IntlUS.off</v>
      </c>
      <c r="N23" s="171">
        <f t="shared" si="2"/>
        <v>-0.47</v>
      </c>
      <c r="O23" s="171">
        <f t="shared" si="3"/>
        <v>-0.47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0.2</v>
      </c>
      <c r="I24" s="169">
        <v>0.2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EQTY.InternacionalUS2.off</v>
      </c>
      <c r="N24" s="171">
        <f t="shared" si="2"/>
        <v>0.2</v>
      </c>
      <c r="O24" s="171">
        <f t="shared" si="3"/>
        <v>0.2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-341409.97</v>
      </c>
      <c r="I25" s="169">
        <v>-341409.97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HKD</v>
      </c>
      <c r="M25" s="170" t="str">
        <f t="shared" si="1"/>
        <v>EQTY.IntlUS.off</v>
      </c>
      <c r="N25" s="171">
        <f t="shared" si="2"/>
        <v>-341409.97</v>
      </c>
      <c r="O25" s="171">
        <f t="shared" si="3"/>
        <v>-341409.97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1.000005E-2</v>
      </c>
      <c r="I26" s="169">
        <v>1.000005E-2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KRW</v>
      </c>
      <c r="M26" s="170" t="str">
        <f t="shared" si="1"/>
        <v>EQTY.IntlUS.off</v>
      </c>
      <c r="N26" s="171">
        <f t="shared" si="2"/>
        <v>1.000005E-2</v>
      </c>
      <c r="O26" s="171">
        <f t="shared" si="3"/>
        <v>1.000005E-2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-880034.87564684998</v>
      </c>
      <c r="I27" s="169">
        <v>-764496.67564685002</v>
      </c>
      <c r="K27" s="170" t="str">
        <f t="shared" si="0"/>
        <v>Cash</v>
      </c>
      <c r="L27" s="170" t="str">
        <f>IF(E27="","",IF(COUNTIFS(Table2[[#All],[De (Lote)]],Input_APM!F27)&gt;0,INDEX(Table2[[#All],[Para (Ticker Daniel)]],MATCH(Input_APM!F27,Table2[[#All],[De (Lote)]],0)),Input_APM!F27))</f>
        <v>Cash USD</v>
      </c>
      <c r="M27" s="170" t="str">
        <f t="shared" si="1"/>
        <v>EQTY.IntlUS.off</v>
      </c>
      <c r="N27" s="171">
        <f t="shared" si="2"/>
        <v>-880034.87564684998</v>
      </c>
      <c r="O27" s="171">
        <f t="shared" si="3"/>
        <v>-764496.67564685002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4625000</v>
      </c>
      <c r="I28" s="169">
        <v>4625000</v>
      </c>
      <c r="K28" s="170" t="str">
        <f t="shared" si="0"/>
        <v>CDS</v>
      </c>
      <c r="L28" s="170" t="str">
        <f>IF(E28="","",IF(COUNTIFS(Table2[[#All],[De (Lote)]],Input_APM!F28)&gt;0,INDEX(Table2[[#All],[Para (Ticker Daniel)]],MATCH(Input_APM!F28,Table2[[#All],[De (Lote)]],0)),Input_APM!F28))</f>
        <v>CHINAGOV 12/20/30</v>
      </c>
      <c r="M28" s="170" t="str">
        <f t="shared" si="1"/>
        <v>EQTY.IntlUS.off</v>
      </c>
      <c r="N28" s="171">
        <f t="shared" si="2"/>
        <v>4625000</v>
      </c>
      <c r="O28" s="171">
        <f t="shared" si="3"/>
        <v>4625000</v>
      </c>
    </row>
    <row r="29" spans="5:15">
      <c r="E29" s="169" t="s">
        <v>243</v>
      </c>
      <c r="F29" s="169" t="s">
        <v>1097</v>
      </c>
      <c r="G29" s="169" t="s">
        <v>208</v>
      </c>
      <c r="H29" s="169">
        <v>0</v>
      </c>
      <c r="I29" s="169">
        <v>-115538.2</v>
      </c>
      <c r="K29" s="170" t="str">
        <f t="shared" si="0"/>
        <v>Provisions and Costs</v>
      </c>
      <c r="L29" s="170" t="str">
        <f>IF(E29="","",IF(COUNTIFS(Table2[[#All],[De (Lote)]],Input_APM!F29)&gt;0,INDEX(Table2[[#All],[Para (Ticker Daniel)]],MATCH(Input_APM!F29,Table2[[#All],[De (Lote)]],0)),Input_APM!F29))</f>
        <v>CME Exchange Adjustment_</v>
      </c>
      <c r="M29" s="170" t="str">
        <f t="shared" si="1"/>
        <v>EQTY.IntlUS.off</v>
      </c>
      <c r="N29" s="171">
        <f t="shared" si="2"/>
        <v>0</v>
      </c>
      <c r="O29" s="171">
        <f t="shared" si="3"/>
        <v>-115538.2</v>
      </c>
    </row>
    <row r="30" spans="5:15">
      <c r="E30" s="169" t="s">
        <v>242</v>
      </c>
      <c r="F30" s="169" t="s">
        <v>1046</v>
      </c>
      <c r="G30" s="169" t="s">
        <v>208</v>
      </c>
      <c r="H30" s="169">
        <v>0</v>
      </c>
      <c r="I30" s="169">
        <v>2705</v>
      </c>
      <c r="K30" s="170" t="str">
        <f t="shared" si="0"/>
        <v>US Equity</v>
      </c>
      <c r="L30" s="170" t="str">
        <f>IF(E30="","",IF(COUNTIFS(Table2[[#All],[De (Lote)]],Input_APM!F30)&gt;0,INDEX(Table2[[#All],[Para (Ticker Daniel)]],MATCH(Input_APM!F30,Table2[[#All],[De (Lote)]],0)),Input_APM!F30))</f>
        <v>COHR</v>
      </c>
      <c r="M30" s="170" t="str">
        <f t="shared" si="1"/>
        <v>EQTY.IntlUS.off</v>
      </c>
      <c r="N30" s="171">
        <f t="shared" si="2"/>
        <v>0</v>
      </c>
      <c r="O30" s="171">
        <f t="shared" si="3"/>
        <v>2705</v>
      </c>
    </row>
    <row r="31" spans="5:15">
      <c r="E31" s="169" t="s">
        <v>242</v>
      </c>
      <c r="F31" s="169" t="s">
        <v>890</v>
      </c>
      <c r="G31" s="169" t="s">
        <v>208</v>
      </c>
      <c r="H31" s="169">
        <v>39047</v>
      </c>
      <c r="I31" s="169">
        <v>32942</v>
      </c>
      <c r="K31" s="170" t="str">
        <f t="shared" si="0"/>
        <v>US Equity</v>
      </c>
      <c r="L31" s="170" t="str">
        <f>IF(E31="","",IF(COUNTIFS(Table2[[#All],[De (Lote)]],Input_APM!F31)&gt;0,INDEX(Table2[[#All],[Para (Ticker Daniel)]],MATCH(Input_APM!F31,Table2[[#All],[De (Lote)]],0)),Input_APM!F31))</f>
        <v>CSCO</v>
      </c>
      <c r="M31" s="170" t="str">
        <f t="shared" si="1"/>
        <v>EQTY.IntlUS.off</v>
      </c>
      <c r="N31" s="171">
        <f t="shared" si="2"/>
        <v>39047</v>
      </c>
      <c r="O31" s="171">
        <f t="shared" si="3"/>
        <v>32942</v>
      </c>
    </row>
    <row r="32" spans="5:15">
      <c r="E32" s="169" t="s">
        <v>244</v>
      </c>
      <c r="F32" s="169" t="s">
        <v>1044</v>
      </c>
      <c r="G32" s="169" t="s">
        <v>208</v>
      </c>
      <c r="H32" s="169">
        <v>-940</v>
      </c>
      <c r="I32" s="169">
        <v>-940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04/17/26 C100</v>
      </c>
      <c r="M32" s="170" t="str">
        <f t="shared" si="1"/>
        <v>EQTY.IntlUS.off</v>
      </c>
      <c r="N32" s="171">
        <f t="shared" si="2"/>
        <v>-940</v>
      </c>
      <c r="O32" s="171">
        <f t="shared" si="3"/>
        <v>-940</v>
      </c>
    </row>
    <row r="33" spans="5:15">
      <c r="E33" s="169" t="s">
        <v>244</v>
      </c>
      <c r="F33" s="169" t="s">
        <v>1045</v>
      </c>
      <c r="G33" s="169" t="s">
        <v>208</v>
      </c>
      <c r="H33" s="169">
        <v>940</v>
      </c>
      <c r="I33" s="169">
        <v>940</v>
      </c>
      <c r="K33" s="170" t="str">
        <f t="shared" si="0"/>
        <v>US Equity Options</v>
      </c>
      <c r="L33" s="170" t="str">
        <f>IF(E33="","",IF(COUNTIFS(Table2[[#All],[De (Lote)]],Input_APM!F33)&gt;0,INDEX(Table2[[#All],[Para (Ticker Daniel)]],MATCH(Input_APM!F33,Table2[[#All],[De (Lote)]],0)),Input_APM!F33))</f>
        <v>CSCO US 04/17/26 C95</v>
      </c>
      <c r="M33" s="170" t="str">
        <f t="shared" si="1"/>
        <v>EQTY.IntlUS.off</v>
      </c>
      <c r="N33" s="171">
        <f t="shared" si="2"/>
        <v>940</v>
      </c>
      <c r="O33" s="171">
        <f t="shared" si="3"/>
        <v>940</v>
      </c>
    </row>
    <row r="34" spans="5:15">
      <c r="E34" s="169" t="s">
        <v>244</v>
      </c>
      <c r="F34" s="169" t="s">
        <v>1065</v>
      </c>
      <c r="G34" s="169" t="s">
        <v>208</v>
      </c>
      <c r="H34" s="169">
        <v>-470</v>
      </c>
      <c r="I34" s="169">
        <v>-470</v>
      </c>
      <c r="K34" s="170" t="str">
        <f t="shared" si="0"/>
        <v>US Equity Options</v>
      </c>
      <c r="L34" s="170" t="str">
        <f>IF(E34="","",IF(COUNTIFS(Table2[[#All],[De (Lote)]],Input_APM!F34)&gt;0,INDEX(Table2[[#All],[Para (Ticker Daniel)]],MATCH(Input_APM!F34,Table2[[#All],[De (Lote)]],0)),Input_APM!F34))</f>
        <v>CSCO US 07/17/26 C100</v>
      </c>
      <c r="M34" s="170" t="str">
        <f t="shared" si="1"/>
        <v>EQTY.IntlUS.off</v>
      </c>
      <c r="N34" s="171">
        <f t="shared" si="2"/>
        <v>-470</v>
      </c>
      <c r="O34" s="171">
        <f t="shared" si="3"/>
        <v>-470</v>
      </c>
    </row>
    <row r="35" spans="5:15">
      <c r="E35" s="169" t="s">
        <v>1047</v>
      </c>
      <c r="F35" s="169" t="s">
        <v>1041</v>
      </c>
      <c r="G35" s="169" t="s">
        <v>208</v>
      </c>
      <c r="H35" s="169">
        <v>1878</v>
      </c>
      <c r="I35" s="169">
        <v>1878</v>
      </c>
      <c r="K35" s="170" t="str">
        <f t="shared" si="0"/>
        <v>EUR Equity</v>
      </c>
      <c r="L35" s="170" t="str">
        <f>IF(E35="","",IF(COUNTIFS(Table2[[#All],[De (Lote)]],Input_APM!F35)&gt;0,INDEX(Table2[[#All],[Para (Ticker Daniel)]],MATCH(Input_APM!F35,Table2[[#All],[De (Lote)]],0)),Input_APM!F35))</f>
        <v>ENR GY</v>
      </c>
      <c r="M35" s="170" t="str">
        <f t="shared" si="1"/>
        <v>EQTY.IntlUS.off</v>
      </c>
      <c r="N35" s="171">
        <f t="shared" si="2"/>
        <v>1878</v>
      </c>
      <c r="O35" s="171">
        <f t="shared" si="3"/>
        <v>1878</v>
      </c>
    </row>
    <row r="36" spans="5:15">
      <c r="E36" s="169" t="s">
        <v>245</v>
      </c>
      <c r="F36" s="169" t="s">
        <v>425</v>
      </c>
      <c r="G36" s="169" t="s">
        <v>208</v>
      </c>
      <c r="H36" s="169">
        <v>54615</v>
      </c>
      <c r="I36" s="169">
        <v>36016</v>
      </c>
      <c r="K36" s="170" t="str">
        <f t="shared" si="0"/>
        <v>ETF</v>
      </c>
      <c r="L36" s="170" t="str">
        <f>IF(E36="","",IF(COUNTIFS(Table2[[#All],[De (Lote)]],Input_APM!F36)&gt;0,INDEX(Table2[[#All],[Para (Ticker Daniel)]],MATCH(Input_APM!F36,Table2[[#All],[De (Lote)]],0)),Input_APM!F36))</f>
        <v>EWY</v>
      </c>
      <c r="M36" s="170" t="str">
        <f t="shared" si="1"/>
        <v>EQTY.IntlUS.off</v>
      </c>
      <c r="N36" s="171">
        <f t="shared" si="2"/>
        <v>54615</v>
      </c>
      <c r="O36" s="171">
        <f t="shared" si="3"/>
        <v>36016</v>
      </c>
    </row>
    <row r="37" spans="5:15">
      <c r="E37" s="169" t="s">
        <v>245</v>
      </c>
      <c r="F37" s="169" t="s">
        <v>78</v>
      </c>
      <c r="G37" s="169" t="s">
        <v>208</v>
      </c>
      <c r="H37" s="169">
        <v>14000</v>
      </c>
      <c r="I37" s="169">
        <v>14000</v>
      </c>
      <c r="K37" s="170" t="str">
        <f t="shared" si="0"/>
        <v>ETF</v>
      </c>
      <c r="L37" s="170" t="str">
        <f>IF(E37="","",IF(COUNTIFS(Table2[[#All],[De (Lote)]],Input_APM!F37)&gt;0,INDEX(Table2[[#All],[Para (Ticker Daniel)]],MATCH(Input_APM!F37,Table2[[#All],[De (Lote)]],0)),Input_APM!F37))</f>
        <v>GDX</v>
      </c>
      <c r="M37" s="170" t="str">
        <f t="shared" si="1"/>
        <v>EQTY.IntlUS.off</v>
      </c>
      <c r="N37" s="171">
        <f t="shared" si="2"/>
        <v>14000</v>
      </c>
      <c r="O37" s="171">
        <f t="shared" si="3"/>
        <v>14000</v>
      </c>
    </row>
    <row r="38" spans="5:15">
      <c r="E38" s="169" t="s">
        <v>248</v>
      </c>
      <c r="F38" s="169" t="s">
        <v>836</v>
      </c>
      <c r="G38" s="169" t="s">
        <v>208</v>
      </c>
      <c r="H38" s="169">
        <v>797</v>
      </c>
      <c r="I38" s="169">
        <v>797</v>
      </c>
      <c r="K38" s="170" t="str">
        <f t="shared" si="0"/>
        <v>ETF Options</v>
      </c>
      <c r="L38" s="170" t="str">
        <f>IF(E38="","",IF(COUNTIFS(Table2[[#All],[De (Lote)]],Input_APM!F38)&gt;0,INDEX(Table2[[#All],[Para (Ticker Daniel)]],MATCH(Input_APM!F38,Table2[[#All],[De (Lote)]],0)),Input_APM!F38))</f>
        <v>GDX US 09/18/26 C105</v>
      </c>
      <c r="M38" s="170" t="str">
        <f t="shared" si="1"/>
        <v>EQTY.IntlUS.off</v>
      </c>
      <c r="N38" s="171">
        <f t="shared" si="2"/>
        <v>797</v>
      </c>
      <c r="O38" s="171">
        <f t="shared" si="3"/>
        <v>797</v>
      </c>
    </row>
    <row r="39" spans="5:15">
      <c r="E39" s="169" t="s">
        <v>248</v>
      </c>
      <c r="F39" s="169" t="s">
        <v>837</v>
      </c>
      <c r="G39" s="169" t="s">
        <v>208</v>
      </c>
      <c r="H39" s="169">
        <v>-797</v>
      </c>
      <c r="I39" s="169">
        <v>-797</v>
      </c>
      <c r="K39" s="170" t="str">
        <f t="shared" si="0"/>
        <v>ETF Options</v>
      </c>
      <c r="L39" s="170" t="str">
        <f>IF(E39="","",IF(COUNTIFS(Table2[[#All],[De (Lote)]],Input_APM!F39)&gt;0,INDEX(Table2[[#All],[Para (Ticker Daniel)]],MATCH(Input_APM!F39,Table2[[#All],[De (Lote)]],0)),Input_APM!F39))</f>
        <v>GDX US 09/18/26 C115</v>
      </c>
      <c r="M39" s="170" t="str">
        <f t="shared" si="1"/>
        <v>EQTY.IntlUS.off</v>
      </c>
      <c r="N39" s="171">
        <f t="shared" si="2"/>
        <v>-797</v>
      </c>
      <c r="O39" s="171">
        <f t="shared" si="3"/>
        <v>-797</v>
      </c>
    </row>
    <row r="40" spans="5:15">
      <c r="E40" s="169" t="s">
        <v>242</v>
      </c>
      <c r="F40" s="169" t="s">
        <v>1031</v>
      </c>
      <c r="G40" s="169" t="s">
        <v>208</v>
      </c>
      <c r="H40" s="169">
        <v>906</v>
      </c>
      <c r="I40" s="169">
        <v>906</v>
      </c>
      <c r="K40" s="170" t="str">
        <f t="shared" si="0"/>
        <v>US Equity</v>
      </c>
      <c r="L40" s="170" t="str">
        <f>IF(E40="","",IF(COUNTIFS(Table2[[#All],[De (Lote)]],Input_APM!F40)&gt;0,INDEX(Table2[[#All],[Para (Ticker Daniel)]],MATCH(Input_APM!F40,Table2[[#All],[De (Lote)]],0)),Input_APM!F40))</f>
        <v>GEV</v>
      </c>
      <c r="M40" s="170" t="str">
        <f t="shared" si="1"/>
        <v>EQTY.IntlUS.off</v>
      </c>
      <c r="N40" s="171">
        <f t="shared" si="2"/>
        <v>906</v>
      </c>
      <c r="O40" s="171">
        <f t="shared" si="3"/>
        <v>906</v>
      </c>
    </row>
    <row r="41" spans="5:15">
      <c r="E41" s="169" t="s">
        <v>242</v>
      </c>
      <c r="F41" s="169" t="s">
        <v>807</v>
      </c>
      <c r="G41" s="169" t="s">
        <v>208</v>
      </c>
      <c r="H41" s="169">
        <v>11666</v>
      </c>
      <c r="I41" s="169">
        <v>1852</v>
      </c>
      <c r="K41" s="170" t="str">
        <f t="shared" si="0"/>
        <v>US Equity</v>
      </c>
      <c r="L41" s="170" t="str">
        <f>IF(E41="","",IF(COUNTIFS(Table2[[#All],[De (Lote)]],Input_APM!F41)&gt;0,INDEX(Table2[[#All],[Para (Ticker Daniel)]],MATCH(Input_APM!F41,Table2[[#All],[De (Lote)]],0)),Input_APM!F41))</f>
        <v>GOOG</v>
      </c>
      <c r="M41" s="170" t="str">
        <f t="shared" si="1"/>
        <v>EQTY.IntlUS.off</v>
      </c>
      <c r="N41" s="171">
        <f t="shared" si="2"/>
        <v>11666</v>
      </c>
      <c r="O41" s="171">
        <f t="shared" si="3"/>
        <v>1852</v>
      </c>
    </row>
    <row r="42" spans="5:15">
      <c r="E42" s="169" t="s">
        <v>249</v>
      </c>
      <c r="F42" s="169" t="s">
        <v>561</v>
      </c>
      <c r="G42" s="169" t="s">
        <v>208</v>
      </c>
      <c r="H42" s="169">
        <v>276451</v>
      </c>
      <c r="I42" s="169">
        <v>276451</v>
      </c>
      <c r="K42" s="170" t="str">
        <f t="shared" si="0"/>
        <v>Basket Index Options</v>
      </c>
      <c r="L42" s="170" t="str">
        <f>IF(E42="","",IF(COUNTIFS(Table2[[#All],[De (Lote)]],Input_APM!F42)&gt;0,INDEX(Table2[[#All],[Para (Ticker Daniel)]],MATCH(Input_APM!F42,Table2[[#All],[De (Lote)]],0)),Input_APM!F42))</f>
        <v>GSC1000P 03/20/26 C104</v>
      </c>
      <c r="M42" s="170" t="str">
        <f t="shared" si="1"/>
        <v>EQTY.IntlUS.off</v>
      </c>
      <c r="N42" s="171">
        <f t="shared" si="2"/>
        <v>276451</v>
      </c>
      <c r="O42" s="171">
        <f t="shared" si="3"/>
        <v>276451</v>
      </c>
    </row>
    <row r="43" spans="5:15">
      <c r="E43" s="169" t="s">
        <v>249</v>
      </c>
      <c r="F43" s="169" t="s">
        <v>562</v>
      </c>
      <c r="G43" s="169" t="s">
        <v>208</v>
      </c>
      <c r="H43" s="169">
        <v>-276451</v>
      </c>
      <c r="I43" s="169">
        <v>-276451</v>
      </c>
      <c r="K43" s="170" t="str">
        <f t="shared" si="0"/>
        <v>Basket Index Options</v>
      </c>
      <c r="L43" s="170" t="str">
        <f>IF(E43="","",IF(COUNTIFS(Table2[[#All],[De (Lote)]],Input_APM!F43)&gt;0,INDEX(Table2[[#All],[Para (Ticker Daniel)]],MATCH(Input_APM!F43,Table2[[#All],[De (Lote)]],0)),Input_APM!F43))</f>
        <v>GSC1000P 03/20/26 C119</v>
      </c>
      <c r="M43" s="170" t="str">
        <f t="shared" si="1"/>
        <v>EQTY.IntlUS.off</v>
      </c>
      <c r="N43" s="171">
        <f t="shared" si="2"/>
        <v>-276451</v>
      </c>
      <c r="O43" s="171">
        <f t="shared" si="3"/>
        <v>-276451</v>
      </c>
    </row>
    <row r="44" spans="5:15">
      <c r="E44" s="169" t="s">
        <v>242</v>
      </c>
      <c r="F44" s="169" t="s">
        <v>342</v>
      </c>
      <c r="G44" s="169" t="s">
        <v>208</v>
      </c>
      <c r="H44" s="169">
        <v>0</v>
      </c>
      <c r="I44" s="169">
        <v>-939</v>
      </c>
      <c r="K44" s="170" t="str">
        <f t="shared" si="0"/>
        <v>US Equity</v>
      </c>
      <c r="L44" s="170" t="str">
        <f>IF(E44="","",IF(COUNTIFS(Table2[[#All],[De (Lote)]],Input_APM!F44)&gt;0,INDEX(Table2[[#All],[Para (Ticker Daniel)]],MATCH(Input_APM!F44,Table2[[#All],[De (Lote)]],0)),Input_APM!F44))</f>
        <v>INTC</v>
      </c>
      <c r="M44" s="170" t="str">
        <f t="shared" si="1"/>
        <v>EQTY.IntlUS.off</v>
      </c>
      <c r="N44" s="171">
        <f t="shared" si="2"/>
        <v>0</v>
      </c>
      <c r="O44" s="171">
        <f t="shared" si="3"/>
        <v>-939</v>
      </c>
    </row>
    <row r="45" spans="5:15">
      <c r="E45" s="169" t="s">
        <v>244</v>
      </c>
      <c r="F45" s="169" t="s">
        <v>877</v>
      </c>
      <c r="G45" s="169" t="s">
        <v>208</v>
      </c>
      <c r="H45" s="169">
        <v>284</v>
      </c>
      <c r="I45" s="169">
        <v>284</v>
      </c>
      <c r="K45" s="170" t="str">
        <f t="shared" si="0"/>
        <v>US Equity Options</v>
      </c>
      <c r="L45" s="170" t="str">
        <f>IF(E45="","",IF(COUNTIFS(Table2[[#All],[De (Lote)]],Input_APM!F45)&gt;0,INDEX(Table2[[#All],[Para (Ticker Daniel)]],MATCH(Input_APM!F45,Table2[[#All],[De (Lote)]],0)),Input_APM!F45))</f>
        <v>INTC US 07/17/26 C50</v>
      </c>
      <c r="M45" s="170" t="str">
        <f t="shared" si="1"/>
        <v>EQTY.IntlUS.off</v>
      </c>
      <c r="N45" s="171">
        <f t="shared" si="2"/>
        <v>284</v>
      </c>
      <c r="O45" s="171">
        <f t="shared" si="3"/>
        <v>284</v>
      </c>
    </row>
    <row r="46" spans="5:15">
      <c r="E46" s="169" t="s">
        <v>243</v>
      </c>
      <c r="F46" s="169" t="s">
        <v>1099</v>
      </c>
      <c r="G46" s="169" t="s">
        <v>208</v>
      </c>
      <c r="H46" s="169">
        <v>0.01</v>
      </c>
      <c r="I46" s="169">
        <v>0.01</v>
      </c>
      <c r="K46" s="170" t="str">
        <f t="shared" si="0"/>
        <v>Provisions and Costs</v>
      </c>
      <c r="L46" s="170" t="str">
        <f>IF(E46="","",IF(COUNTIFS(Table2[[#All],[De (Lote)]],Input_APM!F46)&gt;0,INDEX(Table2[[#All],[Para (Ticker Daniel)]],MATCH(Input_APM!F46,Table2[[#All],[De (Lote)]],0)),Input_APM!F46))</f>
        <v>KKR DIVIDEND_</v>
      </c>
      <c r="M46" s="170" t="str">
        <f t="shared" si="1"/>
        <v>EQTY.IntlUS.off</v>
      </c>
      <c r="N46" s="171">
        <f t="shared" si="2"/>
        <v>0.01</v>
      </c>
      <c r="O46" s="171">
        <f t="shared" si="3"/>
        <v>0.01</v>
      </c>
    </row>
    <row r="47" spans="5:15">
      <c r="E47" s="169" t="s">
        <v>874</v>
      </c>
      <c r="F47" s="169" t="s">
        <v>860</v>
      </c>
      <c r="G47" s="169" t="s">
        <v>208</v>
      </c>
      <c r="H47" s="169">
        <v>10349446</v>
      </c>
      <c r="I47" s="169">
        <v>10349446</v>
      </c>
      <c r="K47" s="170" t="str">
        <f t="shared" si="0"/>
        <v>KOSPI 200 Index Options - KRX</v>
      </c>
      <c r="L47" s="170" t="str">
        <f>IF(E47="","",IF(COUNTIFS(Table2[[#All],[De (Lote)]],Input_APM!F47)&gt;0,INDEX(Table2[[#All],[Para (Ticker Daniel)]],MATCH(Input_APM!F47,Table2[[#All],[De (Lote)]],0)),Input_APM!F47))</f>
        <v>KOSPI2 12/10/26 C1000</v>
      </c>
      <c r="M47" s="170" t="str">
        <f t="shared" si="1"/>
        <v>EQTY.IntlUS.off</v>
      </c>
      <c r="N47" s="171">
        <f t="shared" si="2"/>
        <v>10349446</v>
      </c>
      <c r="O47" s="171">
        <f t="shared" si="3"/>
        <v>10349446</v>
      </c>
    </row>
    <row r="48" spans="5:15">
      <c r="E48" s="169" t="s">
        <v>242</v>
      </c>
      <c r="F48" s="169" t="s">
        <v>728</v>
      </c>
      <c r="G48" s="169" t="s">
        <v>208</v>
      </c>
      <c r="H48" s="169">
        <v>3779</v>
      </c>
      <c r="I48" s="169">
        <v>4174</v>
      </c>
      <c r="K48" s="170" t="str">
        <f t="shared" si="0"/>
        <v>US Equity</v>
      </c>
      <c r="L48" s="170" t="str">
        <f>IF(E48="","",IF(COUNTIFS(Table2[[#All],[De (Lote)]],Input_APM!F48)&gt;0,INDEX(Table2[[#All],[Para (Ticker Daniel)]],MATCH(Input_APM!F48,Table2[[#All],[De (Lote)]],0)),Input_APM!F48))</f>
        <v>LITE</v>
      </c>
      <c r="M48" s="170" t="str">
        <f t="shared" si="1"/>
        <v>EQTY.IntlUS.off</v>
      </c>
      <c r="N48" s="171">
        <f t="shared" si="2"/>
        <v>3779</v>
      </c>
      <c r="O48" s="171">
        <f t="shared" si="3"/>
        <v>4174</v>
      </c>
    </row>
    <row r="49" spans="5:15">
      <c r="E49" s="169" t="s">
        <v>244</v>
      </c>
      <c r="F49" s="169" t="s">
        <v>1039</v>
      </c>
      <c r="G49" s="169" t="s">
        <v>208</v>
      </c>
      <c r="H49" s="169">
        <v>142</v>
      </c>
      <c r="I49" s="169">
        <v>142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C600</v>
      </c>
      <c r="M49" s="170" t="str">
        <f t="shared" si="1"/>
        <v>EQTY.IntlUS.off</v>
      </c>
      <c r="N49" s="171">
        <f t="shared" si="2"/>
        <v>142</v>
      </c>
      <c r="O49" s="171">
        <f t="shared" si="3"/>
        <v>142</v>
      </c>
    </row>
    <row r="50" spans="5:15">
      <c r="E50" s="169" t="s">
        <v>244</v>
      </c>
      <c r="F50" s="169" t="s">
        <v>1040</v>
      </c>
      <c r="G50" s="169" t="s">
        <v>208</v>
      </c>
      <c r="H50" s="169">
        <v>-143</v>
      </c>
      <c r="I50" s="169">
        <v>-143</v>
      </c>
      <c r="K50" s="170" t="str">
        <f t="shared" si="0"/>
        <v>US Equity Options</v>
      </c>
      <c r="L50" s="170" t="str">
        <f>IF(E50="","",IF(COUNTIFS(Table2[[#All],[De (Lote)]],Input_APM!F50)&gt;0,INDEX(Table2[[#All],[Para (Ticker Daniel)]],MATCH(Input_APM!F50,Table2[[#All],[De (Lote)]],0)),Input_APM!F50))</f>
        <v>LITE US 06/18/26 C720</v>
      </c>
      <c r="M50" s="170" t="str">
        <f t="shared" si="1"/>
        <v>EQTY.IntlUS.off</v>
      </c>
      <c r="N50" s="171">
        <f t="shared" si="2"/>
        <v>-143</v>
      </c>
      <c r="O50" s="171">
        <f t="shared" si="3"/>
        <v>-143</v>
      </c>
    </row>
    <row r="51" spans="5:15">
      <c r="E51" s="169" t="s">
        <v>335</v>
      </c>
      <c r="F51" s="169" t="s">
        <v>934</v>
      </c>
      <c r="G51" s="169" t="s">
        <v>208</v>
      </c>
      <c r="H51" s="169">
        <v>-9372000</v>
      </c>
      <c r="I51" s="169">
        <v>-9372000</v>
      </c>
      <c r="K51" s="170" t="str">
        <f t="shared" si="0"/>
        <v>Global Bonds</v>
      </c>
      <c r="L51" s="170" t="str">
        <f>IF(E51="","",IF(COUNTIFS(Table2[[#All],[De (Lote)]],Input_APM!F51)&gt;0,INDEX(Table2[[#All],[Para (Ticker Daniel)]],MATCH(Input_APM!F51,Table2[[#All],[De (Lote)]],0)),Input_APM!F51))</f>
        <v>META 4.875% 11/15/35</v>
      </c>
      <c r="M51" s="170" t="str">
        <f t="shared" si="1"/>
        <v>EQTY.IntlUS.off</v>
      </c>
      <c r="N51" s="171">
        <f t="shared" si="2"/>
        <v>-9372000</v>
      </c>
      <c r="O51" s="171">
        <f t="shared" si="3"/>
        <v>-9372000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8549</v>
      </c>
      <c r="I52" s="169">
        <v>7610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META</v>
      </c>
      <c r="M52" s="170" t="str">
        <f t="shared" si="1"/>
        <v>EQTY.IntlUS.off</v>
      </c>
      <c r="N52" s="171">
        <f t="shared" si="2"/>
        <v>8549</v>
      </c>
      <c r="O52" s="171">
        <f t="shared" si="3"/>
        <v>7610</v>
      </c>
    </row>
    <row r="53" spans="5:15">
      <c r="E53" s="169" t="s">
        <v>244</v>
      </c>
      <c r="F53" s="169" t="s">
        <v>953</v>
      </c>
      <c r="G53" s="169" t="s">
        <v>208</v>
      </c>
      <c r="H53" s="169">
        <v>161</v>
      </c>
      <c r="I53" s="169">
        <v>161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META US 07/17/26 C750</v>
      </c>
      <c r="M53" s="170" t="str">
        <f t="shared" si="1"/>
        <v>EQTY.IntlUS.off</v>
      </c>
      <c r="N53" s="171">
        <f t="shared" si="2"/>
        <v>161</v>
      </c>
      <c r="O53" s="171">
        <f t="shared" si="3"/>
        <v>161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-8267</v>
      </c>
      <c r="I54" s="169">
        <v>-5262</v>
      </c>
      <c r="K54" s="170" t="str">
        <f t="shared" si="0"/>
        <v>US Equity</v>
      </c>
      <c r="L54" s="170" t="str">
        <f>IF(E54="","",IF(COUNTIFS(Table2[[#All],[De (Lote)]],Input_APM!F54)&gt;0,INDEX(Table2[[#All],[Para (Ticker Daniel)]],MATCH(Input_APM!F54,Table2[[#All],[De (Lote)]],0)),Input_APM!F54))</f>
        <v>MRVL</v>
      </c>
      <c r="M54" s="170" t="str">
        <f t="shared" si="1"/>
        <v>EQTY.IntlUS.off</v>
      </c>
      <c r="N54" s="171">
        <f t="shared" si="2"/>
        <v>-8267</v>
      </c>
      <c r="O54" s="171">
        <f t="shared" si="3"/>
        <v>-5262</v>
      </c>
    </row>
    <row r="55" spans="5:15">
      <c r="E55" s="169" t="s">
        <v>244</v>
      </c>
      <c r="F55" s="169" t="s">
        <v>975</v>
      </c>
      <c r="G55" s="169" t="s">
        <v>208</v>
      </c>
      <c r="H55" s="169">
        <v>-422</v>
      </c>
      <c r="I55" s="169">
        <v>-422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P60</v>
      </c>
      <c r="M55" s="170" t="str">
        <f t="shared" si="1"/>
        <v>EQTY.IntlUS.off</v>
      </c>
      <c r="N55" s="171">
        <f t="shared" si="2"/>
        <v>-422</v>
      </c>
      <c r="O55" s="171">
        <f t="shared" si="3"/>
        <v>-422</v>
      </c>
    </row>
    <row r="56" spans="5:15">
      <c r="E56" s="169" t="s">
        <v>244</v>
      </c>
      <c r="F56" s="169" t="s">
        <v>843</v>
      </c>
      <c r="G56" s="169" t="s">
        <v>208</v>
      </c>
      <c r="H56" s="169">
        <v>422</v>
      </c>
      <c r="I56" s="169">
        <v>422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MRVL US 03/20/26 P70</v>
      </c>
      <c r="M56" s="170" t="str">
        <f t="shared" si="1"/>
        <v>EQTY.IntlUS.off</v>
      </c>
      <c r="N56" s="171">
        <f t="shared" si="2"/>
        <v>422</v>
      </c>
      <c r="O56" s="171">
        <f t="shared" si="3"/>
        <v>422</v>
      </c>
    </row>
    <row r="57" spans="5:15">
      <c r="E57" s="169" t="s">
        <v>335</v>
      </c>
      <c r="F57" s="169" t="s">
        <v>1093</v>
      </c>
      <c r="G57" s="169" t="s">
        <v>208</v>
      </c>
      <c r="H57" s="169">
        <v>-4694500</v>
      </c>
      <c r="I57" s="169">
        <v>-4694500</v>
      </c>
      <c r="K57" s="170" t="str">
        <f t="shared" si="0"/>
        <v>Global Bonds</v>
      </c>
      <c r="L57" s="170" t="str">
        <f>IF(E57="","",IF(COUNTIFS(Table2[[#All],[De (Lote)]],Input_APM!F57)&gt;0,INDEX(Table2[[#All],[Para (Ticker Daniel)]],MATCH(Input_APM!F57,Table2[[#All],[De (Lote)]],0)),Input_APM!F57))</f>
        <v>NFLX 4.90% 08/15/34</v>
      </c>
      <c r="M57" s="170" t="str">
        <f t="shared" si="1"/>
        <v>EQTY.IntlUS.off</v>
      </c>
      <c r="N57" s="171">
        <f t="shared" si="2"/>
        <v>-4694500</v>
      </c>
      <c r="O57" s="171">
        <f t="shared" si="3"/>
        <v>-4694500</v>
      </c>
    </row>
    <row r="58" spans="5:15">
      <c r="E58" s="169" t="s">
        <v>244</v>
      </c>
      <c r="F58" s="169" t="s">
        <v>976</v>
      </c>
      <c r="G58" s="169" t="s">
        <v>208</v>
      </c>
      <c r="H58" s="169">
        <v>-282</v>
      </c>
      <c r="I58" s="169">
        <v>-282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C90</v>
      </c>
      <c r="M58" s="170" t="str">
        <f t="shared" si="1"/>
        <v>EQTY.IntlUS.off</v>
      </c>
      <c r="N58" s="171">
        <f t="shared" si="2"/>
        <v>-282</v>
      </c>
      <c r="O58" s="171">
        <f t="shared" si="3"/>
        <v>-282</v>
      </c>
    </row>
    <row r="59" spans="5:15">
      <c r="E59" s="169" t="s">
        <v>244</v>
      </c>
      <c r="F59" s="169" t="s">
        <v>977</v>
      </c>
      <c r="G59" s="169" t="s">
        <v>208</v>
      </c>
      <c r="H59" s="169">
        <v>-94</v>
      </c>
      <c r="I59" s="169">
        <v>-94</v>
      </c>
      <c r="K59" s="170" t="str">
        <f t="shared" si="0"/>
        <v>US Equity Options</v>
      </c>
      <c r="L59" s="170" t="str">
        <f>IF(E59="","",IF(COUNTIFS(Table2[[#All],[De (Lote)]],Input_APM!F59)&gt;0,INDEX(Table2[[#All],[Para (Ticker Daniel)]],MATCH(Input_APM!F59,Table2[[#All],[De (Lote)]],0)),Input_APM!F59))</f>
        <v>NFLX US 05/15/26 P70</v>
      </c>
      <c r="M59" s="170" t="str">
        <f t="shared" si="1"/>
        <v>EQTY.IntlUS.off</v>
      </c>
      <c r="N59" s="171">
        <f t="shared" si="2"/>
        <v>-94</v>
      </c>
      <c r="O59" s="171">
        <f t="shared" si="3"/>
        <v>-94</v>
      </c>
    </row>
    <row r="60" spans="5:15">
      <c r="E60" s="169" t="s">
        <v>958</v>
      </c>
      <c r="F60" s="169" t="s">
        <v>959</v>
      </c>
      <c r="G60" s="169" t="s">
        <v>208</v>
      </c>
      <c r="H60" s="169">
        <v>-31</v>
      </c>
      <c r="I60" s="169">
        <v>-60</v>
      </c>
      <c r="K60" s="170" t="str">
        <f t="shared" si="0"/>
        <v>NASDAQ-100 E-mini Futures - CME</v>
      </c>
      <c r="L60" s="170" t="str">
        <f>IF(E60="","",IF(COUNTIFS(Table2[[#All],[De (Lote)]],Input_APM!F60)&gt;0,INDEX(Table2[[#All],[Para (Ticker Daniel)]],MATCH(Input_APM!F60,Table2[[#All],[De (Lote)]],0)),Input_APM!F60))</f>
        <v>NQH6</v>
      </c>
      <c r="M60" s="170" t="str">
        <f t="shared" si="1"/>
        <v>EQTY.IntlUS.off</v>
      </c>
      <c r="N60" s="171">
        <f t="shared" si="2"/>
        <v>-31</v>
      </c>
      <c r="O60" s="171">
        <f t="shared" si="3"/>
        <v>-60</v>
      </c>
    </row>
    <row r="61" spans="5:15">
      <c r="E61" s="169" t="s">
        <v>242</v>
      </c>
      <c r="F61" s="169" t="s">
        <v>42</v>
      </c>
      <c r="G61" s="169" t="s">
        <v>208</v>
      </c>
      <c r="H61" s="169">
        <v>52479</v>
      </c>
      <c r="I61" s="169">
        <v>52479</v>
      </c>
      <c r="K61" s="170" t="str">
        <f t="shared" si="0"/>
        <v>US Equity</v>
      </c>
      <c r="L61" s="170" t="str">
        <f>IF(E61="","",IF(COUNTIFS(Table2[[#All],[De (Lote)]],Input_APM!F61)&gt;0,INDEX(Table2[[#All],[Para (Ticker Daniel)]],MATCH(Input_APM!F61,Table2[[#All],[De (Lote)]],0)),Input_APM!F61))</f>
        <v>NVDA</v>
      </c>
      <c r="M61" s="170" t="str">
        <f t="shared" si="1"/>
        <v>EQTY.IntlUS.off</v>
      </c>
      <c r="N61" s="171">
        <f t="shared" si="2"/>
        <v>52479</v>
      </c>
      <c r="O61" s="171">
        <f t="shared" si="3"/>
        <v>52479</v>
      </c>
    </row>
    <row r="62" spans="5:15">
      <c r="E62" s="169" t="s">
        <v>244</v>
      </c>
      <c r="F62" s="169" t="s">
        <v>1060</v>
      </c>
      <c r="G62" s="169" t="s">
        <v>208</v>
      </c>
      <c r="H62" s="169">
        <v>1035</v>
      </c>
      <c r="I62" s="169">
        <v>681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C200</v>
      </c>
      <c r="M62" s="170" t="str">
        <f t="shared" si="1"/>
        <v>EQTY.IntlUS.off</v>
      </c>
      <c r="N62" s="171">
        <f t="shared" si="2"/>
        <v>1035</v>
      </c>
      <c r="O62" s="171">
        <f t="shared" si="3"/>
        <v>681</v>
      </c>
    </row>
    <row r="63" spans="5:15">
      <c r="E63" s="169" t="s">
        <v>244</v>
      </c>
      <c r="F63" s="169" t="s">
        <v>1061</v>
      </c>
      <c r="G63" s="169" t="s">
        <v>208</v>
      </c>
      <c r="H63" s="169">
        <v>-1034</v>
      </c>
      <c r="I63" s="169">
        <v>-680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03/20/26 C220</v>
      </c>
      <c r="M63" s="170" t="str">
        <f t="shared" si="1"/>
        <v>EQTY.IntlUS.off</v>
      </c>
      <c r="N63" s="171">
        <f t="shared" si="2"/>
        <v>-1034</v>
      </c>
      <c r="O63" s="171">
        <f t="shared" si="3"/>
        <v>-680</v>
      </c>
    </row>
    <row r="64" spans="5:15">
      <c r="E64" s="169" t="s">
        <v>244</v>
      </c>
      <c r="F64" s="169" t="s">
        <v>921</v>
      </c>
      <c r="G64" s="169" t="s">
        <v>208</v>
      </c>
      <c r="H64" s="169">
        <v>142</v>
      </c>
      <c r="I64" s="169">
        <v>142</v>
      </c>
      <c r="K64" s="170" t="str">
        <f t="shared" si="0"/>
        <v>US Equity Options</v>
      </c>
      <c r="L64" s="170" t="str">
        <f>IF(E64="","",IF(COUNTIFS(Table2[[#All],[De (Lote)]],Input_APM!F64)&gt;0,INDEX(Table2[[#All],[Para (Ticker Daniel)]],MATCH(Input_APM!F64,Table2[[#All],[De (Lote)]],0)),Input_APM!F64))</f>
        <v>NVDA US 05/15/26 C200</v>
      </c>
      <c r="M64" s="170" t="str">
        <f t="shared" si="1"/>
        <v>EQTY.IntlUS.off</v>
      </c>
      <c r="N64" s="171">
        <f t="shared" si="2"/>
        <v>142</v>
      </c>
      <c r="O64" s="171">
        <f t="shared" si="3"/>
        <v>142</v>
      </c>
    </row>
    <row r="65" spans="5:15">
      <c r="E65" s="169" t="s">
        <v>245</v>
      </c>
      <c r="F65" s="169" t="s">
        <v>82</v>
      </c>
      <c r="G65" s="169" t="s">
        <v>208</v>
      </c>
      <c r="H65" s="169">
        <v>0</v>
      </c>
      <c r="I65" s="169">
        <v>0</v>
      </c>
      <c r="K65" s="170" t="str">
        <f t="shared" si="0"/>
        <v>ETF</v>
      </c>
      <c r="L65" s="170" t="str">
        <f>IF(E65="","",IF(COUNTIFS(Table2[[#All],[De (Lote)]],Input_APM!F65)&gt;0,INDEX(Table2[[#All],[Para (Ticker Daniel)]],MATCH(Input_APM!F65,Table2[[#All],[De (Lote)]],0)),Input_APM!F65))</f>
        <v>QQQ</v>
      </c>
      <c r="M65" s="170" t="str">
        <f t="shared" si="1"/>
        <v>EQTY.IntlUS.off</v>
      </c>
      <c r="N65" s="171">
        <f t="shared" si="2"/>
        <v>0</v>
      </c>
      <c r="O65" s="171">
        <f t="shared" si="3"/>
        <v>0</v>
      </c>
    </row>
    <row r="66" spans="5:15">
      <c r="E66" s="169" t="s">
        <v>248</v>
      </c>
      <c r="F66" s="169" t="s">
        <v>1059</v>
      </c>
      <c r="G66" s="169" t="s">
        <v>208</v>
      </c>
      <c r="H66" s="169">
        <v>0</v>
      </c>
      <c r="I66" s="169">
        <v>-846</v>
      </c>
      <c r="K66" s="170" t="str">
        <f t="shared" si="0"/>
        <v>ETF Options</v>
      </c>
      <c r="L66" s="170" t="str">
        <f>IF(E66="","",IF(COUNTIFS(Table2[[#All],[De (Lote)]],Input_APM!F66)&gt;0,INDEX(Table2[[#All],[Para (Ticker Daniel)]],MATCH(Input_APM!F66,Table2[[#All],[De (Lote)]],0)),Input_APM!F66))</f>
        <v>QQQ US 02/20/26 P590</v>
      </c>
      <c r="M66" s="170" t="str">
        <f t="shared" si="1"/>
        <v>EQTY.IntlUS.off</v>
      </c>
      <c r="N66" s="171">
        <f t="shared" si="2"/>
        <v>0</v>
      </c>
      <c r="O66" s="171">
        <f t="shared" si="3"/>
        <v>-846</v>
      </c>
    </row>
    <row r="67" spans="5:15">
      <c r="E67" s="169" t="s">
        <v>248</v>
      </c>
      <c r="F67" s="169" t="s">
        <v>1081</v>
      </c>
      <c r="G67" s="169" t="s">
        <v>208</v>
      </c>
      <c r="H67" s="169">
        <v>0</v>
      </c>
      <c r="I67" s="169">
        <v>846</v>
      </c>
      <c r="K67" s="170" t="str">
        <f t="shared" ref="K67:K130" si="4">IF(E67="","",E67)</f>
        <v>ETF Options</v>
      </c>
      <c r="L67" s="170" t="str">
        <f>IF(E67="","",IF(COUNTIFS(Table2[[#All],[De (Lote)]],Input_APM!F67)&gt;0,INDEX(Table2[[#All],[Para (Ticker Daniel)]],MATCH(Input_APM!F67,Table2[[#All],[De (Lote)]],0)),Input_APM!F67))</f>
        <v>QQQ US 02/20/26 P600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846</v>
      </c>
    </row>
    <row r="68" spans="5:15">
      <c r="E68" s="169" t="s">
        <v>248</v>
      </c>
      <c r="F68" s="169" t="s">
        <v>1082</v>
      </c>
      <c r="G68" s="169" t="s">
        <v>208</v>
      </c>
      <c r="H68" s="169">
        <v>0</v>
      </c>
      <c r="I68" s="169">
        <v>-188</v>
      </c>
      <c r="K68" s="170" t="str">
        <f t="shared" si="4"/>
        <v>ETF Options</v>
      </c>
      <c r="L68" s="170" t="str">
        <f>IF(E68="","",IF(COUNTIFS(Table2[[#All],[De (Lote)]],Input_APM!F68)&gt;0,INDEX(Table2[[#All],[Para (Ticker Daniel)]],MATCH(Input_APM!F68,Table2[[#All],[De (Lote)]],0)),Input_APM!F68))</f>
        <v>QQQ US 02/27/26 P580</v>
      </c>
      <c r="M68" s="170" t="str">
        <f t="shared" si="5"/>
        <v>EQTY.IntlUS.off</v>
      </c>
      <c r="N68" s="171">
        <f t="shared" si="6"/>
        <v>0</v>
      </c>
      <c r="O68" s="171">
        <f t="shared" si="7"/>
        <v>-188</v>
      </c>
    </row>
    <row r="69" spans="5:15">
      <c r="E69" s="169" t="s">
        <v>248</v>
      </c>
      <c r="F69" s="169" t="s">
        <v>1080</v>
      </c>
      <c r="G69" s="169" t="s">
        <v>208</v>
      </c>
      <c r="H69" s="169">
        <v>0</v>
      </c>
      <c r="I69" s="169">
        <v>188</v>
      </c>
      <c r="K69" s="170" t="str">
        <f t="shared" si="4"/>
        <v>ETF Options</v>
      </c>
      <c r="L69" s="170" t="str">
        <f>IF(E69="","",IF(COUNTIFS(Table2[[#All],[De (Lote)]],Input_APM!F69)&gt;0,INDEX(Table2[[#All],[Para (Ticker Daniel)]],MATCH(Input_APM!F69,Table2[[#All],[De (Lote)]],0)),Input_APM!F69))</f>
        <v>QQQ US 02/27/26 P590</v>
      </c>
      <c r="M69" s="170" t="str">
        <f t="shared" si="5"/>
        <v>EQTY.IntlUS.off</v>
      </c>
      <c r="N69" s="171">
        <f t="shared" si="6"/>
        <v>0</v>
      </c>
      <c r="O69" s="171">
        <f t="shared" si="7"/>
        <v>188</v>
      </c>
    </row>
    <row r="70" spans="5:15">
      <c r="E70" s="169" t="s">
        <v>242</v>
      </c>
      <c r="F70" s="169" t="s">
        <v>790</v>
      </c>
      <c r="G70" s="169" t="s">
        <v>208</v>
      </c>
      <c r="H70" s="169">
        <v>28071</v>
      </c>
      <c r="I70" s="169">
        <v>28071</v>
      </c>
      <c r="K70" s="170" t="str">
        <f t="shared" si="4"/>
        <v>US Equity</v>
      </c>
      <c r="L70" s="170" t="str">
        <f>IF(E70="","",IF(COUNTIFS(Table2[[#All],[De (Lote)]],Input_APM!F70)&gt;0,INDEX(Table2[[#All],[Para (Ticker Daniel)]],MATCH(Input_APM!F70,Table2[[#All],[De (Lote)]],0)),Input_APM!F70))</f>
        <v>RIOT</v>
      </c>
      <c r="M70" s="170" t="str">
        <f t="shared" si="5"/>
        <v>EQTY.IntlUS.off</v>
      </c>
      <c r="N70" s="171">
        <f t="shared" si="6"/>
        <v>28071</v>
      </c>
      <c r="O70" s="171">
        <f t="shared" si="7"/>
        <v>28071</v>
      </c>
    </row>
    <row r="71" spans="5:15">
      <c r="E71" s="169" t="s">
        <v>792</v>
      </c>
      <c r="F71" s="169" t="s">
        <v>793</v>
      </c>
      <c r="G71" s="169" t="s">
        <v>208</v>
      </c>
      <c r="H71" s="169">
        <v>655</v>
      </c>
      <c r="I71" s="169">
        <v>655</v>
      </c>
      <c r="K71" s="170" t="str">
        <f t="shared" si="4"/>
        <v>Equity Total Return Swap</v>
      </c>
      <c r="L71" s="170" t="str">
        <f>IF(E71="","",IF(COUNTIFS(Table2[[#All],[De (Lote)]],Input_APM!F71)&gt;0,INDEX(Table2[[#All],[Para (Ticker Daniel)]],MATCH(Input_APM!F71,Table2[[#All],[De (Lote)]],0)),Input_APM!F71))</f>
        <v>000660 KS</v>
      </c>
      <c r="M71" s="170" t="str">
        <f t="shared" si="5"/>
        <v>EQTY.IntlUS.off</v>
      </c>
      <c r="N71" s="171">
        <f t="shared" si="6"/>
        <v>655</v>
      </c>
      <c r="O71" s="171">
        <f t="shared" si="7"/>
        <v>655</v>
      </c>
    </row>
    <row r="72" spans="5:15">
      <c r="E72" s="169" t="s">
        <v>792</v>
      </c>
      <c r="F72" s="169" t="s">
        <v>1023</v>
      </c>
      <c r="G72" s="169" t="s">
        <v>208</v>
      </c>
      <c r="H72" s="169">
        <v>160</v>
      </c>
      <c r="I72" s="169">
        <v>160</v>
      </c>
      <c r="K72" s="170" t="str">
        <f t="shared" si="4"/>
        <v>Equity Total Return Swap</v>
      </c>
      <c r="L72" s="170" t="str">
        <f>IF(E72="","",IF(COUNTIFS(Table2[[#All],[De (Lote)]],Input_APM!F72)&gt;0,INDEX(Table2[[#All],[Para (Ticker Daniel)]],MATCH(Input_APM!F72,Table2[[#All],[De (Lote)]],0)),Input_APM!F72))</f>
        <v>SWAP 000660 KS 10FEB2026 20APR2026 592.6251</v>
      </c>
      <c r="M72" s="170" t="str">
        <f t="shared" si="5"/>
        <v>EQTY.IntlUS.off</v>
      </c>
      <c r="N72" s="171">
        <f t="shared" si="6"/>
        <v>160</v>
      </c>
      <c r="O72" s="171">
        <f t="shared" si="7"/>
        <v>160</v>
      </c>
    </row>
    <row r="73" spans="5:15">
      <c r="E73" s="169" t="s">
        <v>792</v>
      </c>
      <c r="F73" s="169" t="s">
        <v>875</v>
      </c>
      <c r="G73" s="169" t="s">
        <v>208</v>
      </c>
      <c r="H73" s="169">
        <v>643</v>
      </c>
      <c r="I73" s="169">
        <v>643</v>
      </c>
      <c r="K73" s="170" t="str">
        <f t="shared" si="4"/>
        <v>Equity Total Return Swap</v>
      </c>
      <c r="L73" s="170" t="str">
        <f>IF(E73="","",IF(COUNTIFS(Table2[[#All],[De (Lote)]],Input_APM!F73)&gt;0,INDEX(Table2[[#All],[Para (Ticker Daniel)]],MATCH(Input_APM!F73,Table2[[#All],[De (Lote)]],0)),Input_APM!F73))</f>
        <v>SWAP 000660 KS 26JAN2026 26JAN2027 509.6192</v>
      </c>
      <c r="M73" s="170" t="str">
        <f t="shared" si="5"/>
        <v>EQTY.IntlUS.off</v>
      </c>
      <c r="N73" s="171">
        <f t="shared" si="6"/>
        <v>643</v>
      </c>
      <c r="O73" s="171">
        <f t="shared" si="7"/>
        <v>643</v>
      </c>
    </row>
    <row r="74" spans="5:15">
      <c r="E74" s="169" t="s">
        <v>792</v>
      </c>
      <c r="F74" s="169" t="s">
        <v>1024</v>
      </c>
      <c r="G74" s="169" t="s">
        <v>208</v>
      </c>
      <c r="H74" s="169">
        <v>2901</v>
      </c>
      <c r="I74" s="169">
        <v>2901</v>
      </c>
      <c r="K74" s="170" t="str">
        <f t="shared" si="4"/>
        <v>Equity Total Return Swap</v>
      </c>
      <c r="L74" s="170" t="str">
        <f>IF(E74="","",IF(COUNTIFS(Table2[[#All],[De (Lote)]],Input_APM!F74)&gt;0,INDEX(Table2[[#All],[Para (Ticker Daniel)]],MATCH(Input_APM!F74,Table2[[#All],[De (Lote)]],0)),Input_APM!F74))</f>
        <v>SWAP 005930 KS 03FEB2026 20APR2026 113.36</v>
      </c>
      <c r="M74" s="170" t="str">
        <f t="shared" si="5"/>
        <v>EQTY.IntlUS.off</v>
      </c>
      <c r="N74" s="171">
        <f t="shared" si="6"/>
        <v>2901</v>
      </c>
      <c r="O74" s="171">
        <f t="shared" si="7"/>
        <v>2901</v>
      </c>
    </row>
    <row r="75" spans="5:15">
      <c r="E75" s="169" t="s">
        <v>792</v>
      </c>
      <c r="F75" s="169" t="s">
        <v>1025</v>
      </c>
      <c r="G75" s="169" t="s">
        <v>208</v>
      </c>
      <c r="H75" s="169">
        <v>2901</v>
      </c>
      <c r="I75" s="169">
        <v>2901</v>
      </c>
      <c r="K75" s="170" t="str">
        <f t="shared" si="4"/>
        <v>Equity Total Return Swap</v>
      </c>
      <c r="L75" s="170" t="str">
        <f>IF(E75="","",IF(COUNTIFS(Table2[[#All],[De (Lote)]],Input_APM!F75)&gt;0,INDEX(Table2[[#All],[Para (Ticker Daniel)]],MATCH(Input_APM!F75,Table2[[#All],[De (Lote)]],0)),Input_APM!F75))</f>
        <v>SWAP 005930 KS 04FEB2026 20APR2026 105.82</v>
      </c>
      <c r="M75" s="170" t="str">
        <f t="shared" si="5"/>
        <v>EQTY.IntlUS.off</v>
      </c>
      <c r="N75" s="171">
        <f t="shared" si="6"/>
        <v>2901</v>
      </c>
      <c r="O75" s="171">
        <f t="shared" si="7"/>
        <v>2901</v>
      </c>
    </row>
    <row r="76" spans="5:15">
      <c r="E76" s="169" t="s">
        <v>792</v>
      </c>
      <c r="F76" s="169" t="s">
        <v>1026</v>
      </c>
      <c r="G76" s="169" t="s">
        <v>208</v>
      </c>
      <c r="H76" s="169">
        <v>845</v>
      </c>
      <c r="I76" s="169">
        <v>845</v>
      </c>
      <c r="K76" s="170" t="str">
        <f t="shared" si="4"/>
        <v>Equity Total Return Swap</v>
      </c>
      <c r="L76" s="170" t="str">
        <f>IF(E76="","",IF(COUNTIFS(Table2[[#All],[De (Lote)]],Input_APM!F76)&gt;0,INDEX(Table2[[#All],[Para (Ticker Daniel)]],MATCH(Input_APM!F76,Table2[[#All],[De (Lote)]],0)),Input_APM!F76))</f>
        <v>SWAP 005930 KS 10FEB2026 20APR2026 110.873</v>
      </c>
      <c r="M76" s="170" t="str">
        <f t="shared" si="5"/>
        <v>EQTY.IntlUS.off</v>
      </c>
      <c r="N76" s="171">
        <f t="shared" si="6"/>
        <v>845</v>
      </c>
      <c r="O76" s="171">
        <f t="shared" si="7"/>
        <v>845</v>
      </c>
    </row>
    <row r="77" spans="5:15">
      <c r="E77" s="169" t="s">
        <v>792</v>
      </c>
      <c r="F77" s="169" t="s">
        <v>1098</v>
      </c>
      <c r="G77" s="169" t="s">
        <v>208</v>
      </c>
      <c r="H77" s="169">
        <v>4132</v>
      </c>
      <c r="I77" s="169">
        <v>0</v>
      </c>
      <c r="K77" s="170" t="str">
        <f t="shared" si="4"/>
        <v>Equity Total Return Swap</v>
      </c>
      <c r="L77" s="170" t="str">
        <f>IF(E77="","",IF(COUNTIFS(Table2[[#All],[De (Lote)]],Input_APM!F77)&gt;0,INDEX(Table2[[#All],[Para (Ticker Daniel)]],MATCH(Input_APM!F77,Table2[[#All],[De (Lote)]],0)),Input_APM!F77))</f>
        <v>SWAP 005935 KS 20FEB2026 20APR2026 79.191</v>
      </c>
      <c r="M77" s="170" t="str">
        <f t="shared" si="5"/>
        <v>EQTY.IntlUS.off</v>
      </c>
      <c r="N77" s="171">
        <f t="shared" si="6"/>
        <v>4132</v>
      </c>
      <c r="O77" s="171">
        <f t="shared" si="7"/>
        <v>0</v>
      </c>
    </row>
    <row r="78" spans="5:15">
      <c r="E78" s="169" t="s">
        <v>792</v>
      </c>
      <c r="F78" s="169" t="s">
        <v>1048</v>
      </c>
      <c r="G78" s="169" t="s">
        <v>208</v>
      </c>
      <c r="H78" s="169">
        <v>16860</v>
      </c>
      <c r="I78" s="169">
        <v>16860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SWAP 2330 TT 11FEB2026 20APR2026 55.7697</v>
      </c>
      <c r="M78" s="170" t="str">
        <f t="shared" si="5"/>
        <v>EQTY.IntlUS.off</v>
      </c>
      <c r="N78" s="171">
        <f t="shared" si="6"/>
        <v>16860</v>
      </c>
      <c r="O78" s="171">
        <f t="shared" si="7"/>
        <v>16860</v>
      </c>
    </row>
    <row r="79" spans="5:15">
      <c r="E79" s="169" t="s">
        <v>792</v>
      </c>
      <c r="F79" s="169" t="s">
        <v>1027</v>
      </c>
      <c r="G79" s="169" t="s">
        <v>208</v>
      </c>
      <c r="H79" s="169">
        <v>268</v>
      </c>
      <c r="I79" s="169">
        <v>268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402340 KS 09FEB2026 20APR2026 348.49</v>
      </c>
      <c r="M79" s="170" t="str">
        <f t="shared" si="5"/>
        <v>EQTY.IntlUS.off</v>
      </c>
      <c r="N79" s="171">
        <f t="shared" si="6"/>
        <v>268</v>
      </c>
      <c r="O79" s="171">
        <f t="shared" si="7"/>
        <v>268</v>
      </c>
    </row>
    <row r="80" spans="5:15">
      <c r="E80" s="169" t="s">
        <v>792</v>
      </c>
      <c r="F80" s="169" t="s">
        <v>1028</v>
      </c>
      <c r="G80" s="169" t="s">
        <v>208</v>
      </c>
      <c r="H80" s="169">
        <v>587</v>
      </c>
      <c r="I80" s="169">
        <v>587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402340 KS 09FEB2026 20APR2026 390.92</v>
      </c>
      <c r="M80" s="170" t="str">
        <f t="shared" si="5"/>
        <v>EQTY.IntlUS.off</v>
      </c>
      <c r="N80" s="171">
        <f t="shared" si="6"/>
        <v>587</v>
      </c>
      <c r="O80" s="171">
        <f t="shared" si="7"/>
        <v>587</v>
      </c>
    </row>
    <row r="81" spans="5:15">
      <c r="E81" s="169" t="s">
        <v>792</v>
      </c>
      <c r="F81" s="169" t="s">
        <v>1029</v>
      </c>
      <c r="G81" s="169" t="s">
        <v>208</v>
      </c>
      <c r="H81" s="169">
        <v>254</v>
      </c>
      <c r="I81" s="169">
        <v>254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402340 KS 10FEB2026 20APR2026 377.6597</v>
      </c>
      <c r="M81" s="170" t="str">
        <f t="shared" si="5"/>
        <v>EQTY.IntlUS.off</v>
      </c>
      <c r="N81" s="171">
        <f t="shared" si="6"/>
        <v>254</v>
      </c>
      <c r="O81" s="171">
        <f t="shared" si="7"/>
        <v>254</v>
      </c>
    </row>
    <row r="82" spans="5:15">
      <c r="E82" s="169" t="s">
        <v>792</v>
      </c>
      <c r="F82" s="169" t="s">
        <v>1049</v>
      </c>
      <c r="G82" s="169" t="s">
        <v>208</v>
      </c>
      <c r="H82" s="169">
        <v>271</v>
      </c>
      <c r="I82" s="169">
        <v>271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SWAP 402340 KS 11FEB2026 20APR2026 350.7653</v>
      </c>
      <c r="M82" s="170" t="str">
        <f t="shared" si="5"/>
        <v>EQTY.IntlUS.off</v>
      </c>
      <c r="N82" s="171">
        <f t="shared" si="6"/>
        <v>271</v>
      </c>
      <c r="O82" s="171">
        <f t="shared" si="7"/>
        <v>271</v>
      </c>
    </row>
    <row r="83" spans="5:15">
      <c r="E83" s="169" t="s">
        <v>935</v>
      </c>
      <c r="F83" s="169" t="s">
        <v>936</v>
      </c>
      <c r="G83" s="169" t="s">
        <v>208</v>
      </c>
      <c r="H83" s="169">
        <v>22373928</v>
      </c>
      <c r="I83" s="169">
        <v>22373928</v>
      </c>
      <c r="K83" s="170" t="str">
        <f t="shared" si="4"/>
        <v>TBOND</v>
      </c>
      <c r="L83" s="170" t="str">
        <f>IF(E83="","",IF(COUNTIFS(Table2[[#All],[De (Lote)]],Input_APM!F83)&gt;0,INDEX(Table2[[#All],[Para (Ticker Daniel)]],MATCH(Input_APM!F83,Table2[[#All],[De (Lote)]],0)),Input_APM!F83))</f>
        <v>T 4.000% 11/15/35</v>
      </c>
      <c r="M83" s="170" t="str">
        <f t="shared" si="5"/>
        <v>EQTY.IntlUS.off</v>
      </c>
      <c r="N83" s="171">
        <f t="shared" si="6"/>
        <v>22373928</v>
      </c>
      <c r="O83" s="171">
        <f t="shared" si="7"/>
        <v>22373928</v>
      </c>
    </row>
    <row r="84" spans="5:15">
      <c r="E84" s="169" t="s">
        <v>8</v>
      </c>
      <c r="F84" s="169" t="s">
        <v>44</v>
      </c>
      <c r="G84" s="169" t="s">
        <v>208</v>
      </c>
      <c r="H84" s="169">
        <v>0</v>
      </c>
      <c r="I84" s="169">
        <v>-3156</v>
      </c>
      <c r="K84" s="170" t="str">
        <f t="shared" si="4"/>
        <v>ADR</v>
      </c>
      <c r="L84" s="170" t="str">
        <f>IF(E84="","",IF(COUNTIFS(Table2[[#All],[De (Lote)]],Input_APM!F84)&gt;0,INDEX(Table2[[#All],[Para (Ticker Daniel)]],MATCH(Input_APM!F84,Table2[[#All],[De (Lote)]],0)),Input_APM!F84))</f>
        <v>TSM</v>
      </c>
      <c r="M84" s="170" t="str">
        <f t="shared" si="5"/>
        <v>EQTY.IntlUS.off</v>
      </c>
      <c r="N84" s="171">
        <f t="shared" si="6"/>
        <v>0</v>
      </c>
      <c r="O84" s="171">
        <f t="shared" si="7"/>
        <v>-3156</v>
      </c>
    </row>
    <row r="85" spans="5:15">
      <c r="E85" s="169" t="s">
        <v>251</v>
      </c>
      <c r="F85" s="169" t="s">
        <v>820</v>
      </c>
      <c r="G85" s="169" t="s">
        <v>208</v>
      </c>
      <c r="H85" s="169">
        <v>1453</v>
      </c>
      <c r="I85" s="169">
        <v>1453</v>
      </c>
      <c r="K85" s="170" t="str">
        <f t="shared" si="4"/>
        <v>ADR Options</v>
      </c>
      <c r="L85" s="170" t="str">
        <f>IF(E85="","",IF(COUNTIFS(Table2[[#All],[De (Lote)]],Input_APM!F85)&gt;0,INDEX(Table2[[#All],[Para (Ticker Daniel)]],MATCH(Input_APM!F85,Table2[[#All],[De (Lote)]],0)),Input_APM!F85))</f>
        <v>TSM US 06/18/26 C340</v>
      </c>
      <c r="M85" s="170" t="str">
        <f t="shared" si="5"/>
        <v>EQTY.IntlUS.off</v>
      </c>
      <c r="N85" s="171">
        <f t="shared" si="6"/>
        <v>1453</v>
      </c>
      <c r="O85" s="171">
        <f t="shared" si="7"/>
        <v>1453</v>
      </c>
    </row>
    <row r="86" spans="5:15">
      <c r="E86" s="169" t="s">
        <v>251</v>
      </c>
      <c r="F86" s="169" t="s">
        <v>821</v>
      </c>
      <c r="G86" s="169" t="s">
        <v>208</v>
      </c>
      <c r="H86" s="169">
        <v>-1195</v>
      </c>
      <c r="I86" s="169">
        <v>-1195</v>
      </c>
      <c r="K86" s="170" t="str">
        <f t="shared" si="4"/>
        <v>ADR Options</v>
      </c>
      <c r="L86" s="170" t="str">
        <f>IF(E86="","",IF(COUNTIFS(Table2[[#All],[De (Lote)]],Input_APM!F86)&gt;0,INDEX(Table2[[#All],[Para (Ticker Daniel)]],MATCH(Input_APM!F86,Table2[[#All],[De (Lote)]],0)),Input_APM!F86))</f>
        <v>TSM US 06/18/26 C380</v>
      </c>
      <c r="M86" s="170" t="str">
        <f t="shared" si="5"/>
        <v>EQTY.IntlUS.off</v>
      </c>
      <c r="N86" s="171">
        <f t="shared" si="6"/>
        <v>-1195</v>
      </c>
      <c r="O86" s="171">
        <f t="shared" si="7"/>
        <v>-1195</v>
      </c>
    </row>
    <row r="87" spans="5:15">
      <c r="E87" s="169" t="s">
        <v>242</v>
      </c>
      <c r="F87" s="169" t="s">
        <v>970</v>
      </c>
      <c r="G87" s="169" t="s">
        <v>208</v>
      </c>
      <c r="H87" s="169">
        <v>50069</v>
      </c>
      <c r="I87" s="169">
        <v>50069</v>
      </c>
      <c r="K87" s="170" t="str">
        <f t="shared" si="4"/>
        <v>US Equity</v>
      </c>
      <c r="L87" s="170" t="str">
        <f>IF(E87="","",IF(COUNTIFS(Table2[[#All],[De (Lote)]],Input_APM!F87)&gt;0,INDEX(Table2[[#All],[Para (Ticker Daniel)]],MATCH(Input_APM!F87,Table2[[#All],[De (Lote)]],0)),Input_APM!F87))</f>
        <v>WMB</v>
      </c>
      <c r="M87" s="170" t="str">
        <f t="shared" si="5"/>
        <v>EQTY.IntlUS.off</v>
      </c>
      <c r="N87" s="171">
        <f t="shared" si="6"/>
        <v>50069</v>
      </c>
      <c r="O87" s="171">
        <f t="shared" si="7"/>
        <v>50069</v>
      </c>
    </row>
    <row r="88" spans="5:15">
      <c r="K88" s="170" t="str">
        <f t="shared" si="4"/>
        <v/>
      </c>
      <c r="L88" s="170" t="str">
        <f>IF(E88="","",IF(COUNTIFS(Table2[[#All],[De (Lote)]],Input_APM!F88)&gt;0,INDEX(Table2[[#All],[Para (Ticker Daniel)]],MATCH(Input_APM!F88,Table2[[#All],[De (Lote)]],0)),Input_APM!F88))</f>
        <v/>
      </c>
      <c r="M88" s="170" t="str">
        <f t="shared" si="5"/>
        <v/>
      </c>
      <c r="N88" s="171" t="str">
        <f t="shared" si="6"/>
        <v/>
      </c>
      <c r="O88" s="171" t="str">
        <f t="shared" si="7"/>
        <v/>
      </c>
    </row>
    <row r="89" spans="5:15">
      <c r="K89" s="170" t="str">
        <f t="shared" si="4"/>
        <v/>
      </c>
      <c r="L89" s="170" t="str">
        <f>IF(E89="","",IF(COUNTIFS(Table2[[#All],[De (Lote)]],Input_APM!F89)&gt;0,INDEX(Table2[[#All],[Para (Ticker Daniel)]],MATCH(Input_APM!F89,Table2[[#All],[De (Lote)]],0)),Input_APM!F89))</f>
        <v/>
      </c>
      <c r="M89" s="170" t="str">
        <f t="shared" si="5"/>
        <v/>
      </c>
      <c r="N89" s="171" t="str">
        <f t="shared" si="6"/>
        <v/>
      </c>
      <c r="O89" s="171" t="str">
        <f t="shared" si="7"/>
        <v/>
      </c>
    </row>
    <row r="90" spans="5:15">
      <c r="K90" s="170" t="str">
        <f t="shared" si="4"/>
        <v/>
      </c>
      <c r="L90" s="170" t="str">
        <f>IF(E90="","",IF(COUNTIFS(Table2[[#All],[De (Lote)]],Input_APM!F90)&gt;0,INDEX(Table2[[#All],[Para (Ticker Daniel)]],MATCH(Input_APM!F90,Table2[[#All],[De (Lote)]],0)),Input_APM!F90))</f>
        <v/>
      </c>
      <c r="M90" s="170" t="str">
        <f t="shared" si="5"/>
        <v/>
      </c>
      <c r="N90" s="171" t="str">
        <f t="shared" si="6"/>
        <v/>
      </c>
      <c r="O90" s="171" t="str">
        <f t="shared" si="7"/>
        <v/>
      </c>
    </row>
    <row r="91" spans="5:15">
      <c r="K91" s="170" t="str">
        <f t="shared" si="4"/>
        <v/>
      </c>
      <c r="L91" s="170" t="str">
        <f>IF(E91="","",IF(COUNTIFS(Table2[[#All],[De (Lote)]],Input_APM!F91)&gt;0,INDEX(Table2[[#All],[Para (Ticker Daniel)]],MATCH(Input_APM!F91,Table2[[#All],[De (Lote)]],0)),Input_APM!F91))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(Lote)]],Input_APM!F92)&gt;0,INDEX(Table2[[#All],[Para (Ticker Daniel)]],MATCH(Input_APM!F92,Table2[[#All],[De (Lote)]],0)),Input_APM!F92))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(Lote)]],Input_APM!F93)&gt;0,INDEX(Table2[[#All],[Para (Ticker Daniel)]],MATCH(Input_APM!F93,Table2[[#All],[De (Lote)]],0)),Input_APM!F93))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(Lote)]],Input_APM!F94)&gt;0,INDEX(Table2[[#All],[Para (Ticker Daniel)]],MATCH(Input_APM!F94,Table2[[#All],[De (Lote)]],0)),Input_APM!F94))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(Lote)]],Input_APM!F95)&gt;0,INDEX(Table2[[#All],[Para (Ticker Daniel)]],MATCH(Input_APM!F95,Table2[[#All],[De (Lote)]],0)),Input_APM!F95))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5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5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5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5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5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5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5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5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5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5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5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5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5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5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5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5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5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5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5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5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5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5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5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5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5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5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5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5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5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5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5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5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5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5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5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5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5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5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5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5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5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5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5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5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5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5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5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5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5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5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5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5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5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5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5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5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5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5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5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5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5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5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5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5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5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5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5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5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5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5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5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5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5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5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5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5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5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5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5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5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5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5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5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5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5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5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5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5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5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5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5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5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5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5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5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5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5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5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5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5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5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5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5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5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5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5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5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5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5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5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5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5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5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5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5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5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5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5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5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5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5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5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5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5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5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5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5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5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5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5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5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5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5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5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5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5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5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5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5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5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5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5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5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5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5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5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5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5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5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5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5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5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5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5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5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5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5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5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5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5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5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5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5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5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5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5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5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5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5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5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5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5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5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5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5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5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5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5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5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5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5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5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5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5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5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5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5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5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5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5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5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5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5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5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5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5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5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5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5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5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5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5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5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5"/>
    </row>
    <row r="399" spans="5:15">
      <c r="E399" s="295"/>
    </row>
    <row r="400" spans="5:15">
      <c r="E400" s="295"/>
    </row>
    <row r="401" spans="5:5">
      <c r="E401" s="295"/>
    </row>
    <row r="402" spans="5:5">
      <c r="E402" s="295"/>
    </row>
    <row r="403" spans="5:5">
      <c r="E403" s="295"/>
    </row>
    <row r="404" spans="5:5">
      <c r="E404" s="295"/>
    </row>
    <row r="405" spans="5:5">
      <c r="E405" s="295"/>
    </row>
    <row r="406" spans="5:5">
      <c r="E406" s="295"/>
    </row>
    <row r="407" spans="5:5">
      <c r="E407" s="295"/>
    </row>
    <row r="408" spans="5:5">
      <c r="E408" s="295"/>
    </row>
    <row r="409" spans="5:5">
      <c r="E409" s="295"/>
    </row>
    <row r="410" spans="5:5">
      <c r="E410" s="295"/>
    </row>
    <row r="411" spans="5:5">
      <c r="E411" s="295"/>
    </row>
    <row r="412" spans="5:5">
      <c r="E412" s="295"/>
    </row>
    <row r="413" spans="5:5">
      <c r="E413" s="295"/>
    </row>
    <row r="414" spans="5:5">
      <c r="E414" s="295"/>
    </row>
    <row r="415" spans="5:5">
      <c r="E415" s="295"/>
    </row>
    <row r="416" spans="5:5">
      <c r="E416" s="295"/>
    </row>
    <row r="417" spans="5:5">
      <c r="E417" s="295"/>
    </row>
    <row r="418" spans="5:5">
      <c r="E418" s="295"/>
    </row>
    <row r="419" spans="5:5">
      <c r="E419" s="295"/>
    </row>
    <row r="420" spans="5:5">
      <c r="E420" s="295"/>
    </row>
    <row r="421" spans="5:5">
      <c r="E421" s="295"/>
    </row>
    <row r="422" spans="5:5">
      <c r="E422" s="295"/>
    </row>
    <row r="423" spans="5:5">
      <c r="E423" s="295"/>
    </row>
    <row r="424" spans="5:5">
      <c r="E424" s="295"/>
    </row>
    <row r="425" spans="5:5">
      <c r="E425" s="295"/>
    </row>
    <row r="426" spans="5:5">
      <c r="E426" s="295"/>
    </row>
    <row r="427" spans="5:5">
      <c r="E427" s="295"/>
    </row>
    <row r="428" spans="5:5">
      <c r="E428" s="295"/>
    </row>
    <row r="429" spans="5:5">
      <c r="E429" s="295"/>
    </row>
    <row r="430" spans="5:5">
      <c r="E430" s="295"/>
    </row>
    <row r="431" spans="5:5">
      <c r="E431" s="295"/>
    </row>
    <row r="432" spans="5:5">
      <c r="E432" s="295"/>
    </row>
    <row r="433" spans="5:5">
      <c r="E433" s="295"/>
    </row>
    <row r="434" spans="5:5">
      <c r="E434" s="295"/>
    </row>
    <row r="435" spans="5:5">
      <c r="E435" s="295"/>
    </row>
    <row r="436" spans="5:5">
      <c r="E436" s="295"/>
    </row>
    <row r="437" spans="5:5">
      <c r="E437" s="295"/>
    </row>
    <row r="438" spans="5:5">
      <c r="E438" s="295"/>
    </row>
    <row r="439" spans="5:5">
      <c r="E439" s="295"/>
    </row>
    <row r="440" spans="5:5">
      <c r="E440" s="295"/>
    </row>
    <row r="441" spans="5:5">
      <c r="E441" s="295"/>
    </row>
    <row r="442" spans="5:5">
      <c r="E442" s="295"/>
    </row>
    <row r="443" spans="5:5">
      <c r="E443" s="295"/>
    </row>
    <row r="444" spans="5:5">
      <c r="E444" s="295"/>
    </row>
    <row r="445" spans="5:5">
      <c r="E445" s="295"/>
    </row>
    <row r="446" spans="5:5">
      <c r="E446" s="295"/>
    </row>
    <row r="447" spans="5:5">
      <c r="E447" s="295"/>
    </row>
    <row r="448" spans="5:5">
      <c r="E448" s="295"/>
    </row>
    <row r="449" spans="5:5">
      <c r="E449" s="295"/>
    </row>
    <row r="450" spans="5:5">
      <c r="E450" s="295"/>
    </row>
    <row r="451" spans="5:5">
      <c r="E451" s="295"/>
    </row>
    <row r="452" spans="5:5">
      <c r="E452" s="295"/>
    </row>
    <row r="453" spans="5:5">
      <c r="E453" s="295"/>
    </row>
    <row r="454" spans="5:5">
      <c r="E454" s="295"/>
    </row>
    <row r="455" spans="5:5">
      <c r="E455" s="295"/>
    </row>
    <row r="456" spans="5:5">
      <c r="E456" s="295"/>
    </row>
    <row r="457" spans="5:5">
      <c r="E457" s="295"/>
    </row>
    <row r="458" spans="5:5">
      <c r="E458" s="295"/>
    </row>
    <row r="459" spans="5:5">
      <c r="E459" s="295"/>
    </row>
    <row r="460" spans="5:5">
      <c r="E460" s="295"/>
    </row>
    <row r="461" spans="5:5">
      <c r="E461" s="295"/>
    </row>
    <row r="462" spans="5:5">
      <c r="E462" s="295"/>
    </row>
    <row r="463" spans="5:5">
      <c r="E463" s="295"/>
    </row>
    <row r="464" spans="5:5">
      <c r="E464" s="295"/>
    </row>
    <row r="465" spans="5:5">
      <c r="E465" s="295"/>
    </row>
    <row r="466" spans="5:5">
      <c r="E466" s="295"/>
    </row>
    <row r="467" spans="5:5">
      <c r="E467" s="295"/>
    </row>
    <row r="468" spans="5:5">
      <c r="E468" s="295"/>
    </row>
    <row r="469" spans="5:5">
      <c r="E469" s="295"/>
    </row>
    <row r="470" spans="5:5">
      <c r="E470" s="295"/>
    </row>
    <row r="471" spans="5:5">
      <c r="E471" s="295"/>
    </row>
    <row r="472" spans="5:5">
      <c r="E472" s="295"/>
    </row>
    <row r="473" spans="5:5">
      <c r="E473" s="295"/>
    </row>
    <row r="474" spans="5:5">
      <c r="E474" s="295"/>
    </row>
    <row r="475" spans="5:5">
      <c r="E475" s="295"/>
    </row>
    <row r="476" spans="5:5">
      <c r="E476" s="295"/>
    </row>
    <row r="477" spans="5:5">
      <c r="E477" s="295"/>
    </row>
    <row r="478" spans="5:5">
      <c r="E478" s="295"/>
    </row>
    <row r="479" spans="5:5">
      <c r="E479" s="295"/>
    </row>
    <row r="480" spans="5:5">
      <c r="E480" s="295"/>
    </row>
    <row r="481" spans="5:5">
      <c r="E481" s="295"/>
    </row>
    <row r="482" spans="5:5">
      <c r="E482" s="295"/>
    </row>
    <row r="483" spans="5:5">
      <c r="E483" s="295"/>
    </row>
    <row r="484" spans="5:5">
      <c r="E484" s="295"/>
    </row>
    <row r="485" spans="5:5">
      <c r="E485" s="295"/>
    </row>
    <row r="486" spans="5:5">
      <c r="E486" s="295"/>
    </row>
    <row r="487" spans="5:5">
      <c r="E487" s="295"/>
    </row>
    <row r="488" spans="5:5">
      <c r="E488" s="295"/>
    </row>
    <row r="489" spans="5:5">
      <c r="E489" s="295"/>
    </row>
    <row r="490" spans="5:5">
      <c r="E490" s="295"/>
    </row>
    <row r="491" spans="5:5">
      <c r="E491" s="295"/>
    </row>
    <row r="492" spans="5:5">
      <c r="E492" s="295"/>
    </row>
    <row r="493" spans="5:5">
      <c r="E493" s="295"/>
    </row>
    <row r="494" spans="5:5">
      <c r="E494" s="295"/>
    </row>
    <row r="495" spans="5:5">
      <c r="E495" s="295"/>
    </row>
    <row r="496" spans="5:5">
      <c r="E496" s="295"/>
    </row>
    <row r="497" spans="5:5">
      <c r="E497" s="295"/>
    </row>
    <row r="498" spans="5:5">
      <c r="E498" s="295"/>
    </row>
    <row r="499" spans="5:5">
      <c r="E499" s="295"/>
    </row>
    <row r="500" spans="5:5">
      <c r="E500" s="295"/>
    </row>
    <row r="501" spans="5:5">
      <c r="E501" s="295"/>
    </row>
    <row r="502" spans="5:5">
      <c r="E502" s="295"/>
    </row>
    <row r="503" spans="5:5">
      <c r="E503" s="295"/>
    </row>
    <row r="504" spans="5:5">
      <c r="E504" s="295"/>
    </row>
    <row r="505" spans="5:5">
      <c r="E505" s="295"/>
    </row>
    <row r="506" spans="5:5">
      <c r="E506" s="295"/>
    </row>
    <row r="507" spans="5:5">
      <c r="E507" s="295"/>
    </row>
    <row r="508" spans="5:5">
      <c r="E508" s="295"/>
    </row>
    <row r="509" spans="5:5">
      <c r="E509" s="295"/>
    </row>
    <row r="510" spans="5:5">
      <c r="E510" s="295"/>
    </row>
    <row r="511" spans="5:5">
      <c r="E511" s="295"/>
    </row>
    <row r="512" spans="5:5">
      <c r="E512" s="295"/>
    </row>
    <row r="513" spans="5:5">
      <c r="E513" s="295"/>
    </row>
    <row r="514" spans="5:5">
      <c r="E514" s="295"/>
    </row>
    <row r="515" spans="5:5">
      <c r="E515" s="295"/>
    </row>
    <row r="516" spans="5:5">
      <c r="E516" s="295"/>
    </row>
    <row r="517" spans="5:5">
      <c r="E517" s="295"/>
    </row>
    <row r="518" spans="5:5">
      <c r="E518" s="295"/>
    </row>
    <row r="519" spans="5:5">
      <c r="E519" s="295"/>
    </row>
    <row r="520" spans="5:5">
      <c r="E520" s="295"/>
    </row>
    <row r="521" spans="5:5">
      <c r="E521" s="295"/>
    </row>
    <row r="522" spans="5:5">
      <c r="E522" s="295"/>
    </row>
    <row r="523" spans="5:5">
      <c r="E523" s="295"/>
    </row>
    <row r="524" spans="5:5">
      <c r="E524" s="295"/>
    </row>
    <row r="525" spans="5:5">
      <c r="E525" s="295"/>
    </row>
    <row r="526" spans="5:5">
      <c r="E526" s="295"/>
    </row>
    <row r="527" spans="5:5">
      <c r="E527" s="295"/>
    </row>
    <row r="528" spans="5:5">
      <c r="E528" s="295"/>
    </row>
    <row r="529" spans="5:5">
      <c r="E529" s="295"/>
    </row>
    <row r="530" spans="5:5">
      <c r="E530" s="295"/>
    </row>
    <row r="531" spans="5:5">
      <c r="E531" s="295"/>
    </row>
    <row r="532" spans="5:5">
      <c r="E532" s="295"/>
    </row>
    <row r="533" spans="5:5">
      <c r="E533" s="295"/>
    </row>
    <row r="534" spans="5:5">
      <c r="E534" s="295"/>
    </row>
    <row r="535" spans="5:5">
      <c r="E535" s="295"/>
    </row>
    <row r="536" spans="5:5">
      <c r="E536" s="295"/>
    </row>
    <row r="537" spans="5:5">
      <c r="E537" s="295"/>
    </row>
    <row r="538" spans="5:5">
      <c r="E538" s="295"/>
    </row>
    <row r="539" spans="5:5">
      <c r="E539" s="295"/>
    </row>
    <row r="540" spans="5:5">
      <c r="E540" s="295"/>
    </row>
    <row r="541" spans="5:5">
      <c r="E541" s="295"/>
    </row>
    <row r="542" spans="5:5">
      <c r="E542" s="295"/>
    </row>
    <row r="543" spans="5:5">
      <c r="E543" s="295"/>
    </row>
    <row r="544" spans="5:5">
      <c r="E544" s="295"/>
    </row>
    <row r="545" spans="5:5">
      <c r="E545" s="295"/>
    </row>
    <row r="546" spans="5:5">
      <c r="E546" s="295"/>
    </row>
    <row r="547" spans="5:5">
      <c r="E547" s="295"/>
    </row>
    <row r="548" spans="5:5">
      <c r="E548" s="295"/>
    </row>
    <row r="549" spans="5:5">
      <c r="E549" s="295"/>
    </row>
    <row r="550" spans="5:5">
      <c r="E550" s="295"/>
    </row>
    <row r="551" spans="5:5">
      <c r="E551" s="295"/>
    </row>
    <row r="552" spans="5:5">
      <c r="E552" s="295"/>
    </row>
    <row r="553" spans="5:5">
      <c r="E553" s="295"/>
    </row>
    <row r="554" spans="5:5">
      <c r="E554" s="295"/>
    </row>
    <row r="555" spans="5:5">
      <c r="E555" s="295"/>
    </row>
    <row r="556" spans="5:5">
      <c r="E556" s="295"/>
    </row>
    <row r="557" spans="5:5">
      <c r="E557" s="295"/>
    </row>
    <row r="558" spans="5:5">
      <c r="E558" s="295"/>
    </row>
    <row r="559" spans="5:5">
      <c r="E559" s="295"/>
    </row>
    <row r="560" spans="5:5">
      <c r="E560" s="295"/>
    </row>
    <row r="561" spans="5:5">
      <c r="E561" s="295"/>
    </row>
    <row r="562" spans="5:5">
      <c r="E562" s="295"/>
    </row>
    <row r="563" spans="5:5">
      <c r="E563" s="295"/>
    </row>
    <row r="564" spans="5:5">
      <c r="E564" s="295"/>
    </row>
    <row r="565" spans="5:5">
      <c r="E565" s="295"/>
    </row>
    <row r="566" spans="5:5">
      <c r="E566" s="295"/>
    </row>
    <row r="567" spans="5:5">
      <c r="E567" s="295"/>
    </row>
    <row r="568" spans="5:5">
      <c r="E568" s="295"/>
    </row>
    <row r="569" spans="5:5">
      <c r="E569" s="295"/>
    </row>
    <row r="570" spans="5:5">
      <c r="E570" s="295"/>
    </row>
    <row r="571" spans="5:5">
      <c r="E571" s="295"/>
    </row>
    <row r="572" spans="5:5">
      <c r="E572" s="295"/>
    </row>
    <row r="573" spans="5:5">
      <c r="E573" s="295"/>
    </row>
    <row r="574" spans="5:5">
      <c r="E574" s="295"/>
    </row>
    <row r="575" spans="5:5">
      <c r="E575" s="295"/>
    </row>
    <row r="576" spans="5:5">
      <c r="E576" s="295"/>
    </row>
    <row r="577" spans="5:5">
      <c r="E577" s="295"/>
    </row>
    <row r="578" spans="5:5">
      <c r="E578" s="295"/>
    </row>
    <row r="579" spans="5:5">
      <c r="E579" s="295"/>
    </row>
    <row r="580" spans="5:5">
      <c r="E580" s="295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6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1030</v>
      </c>
      <c r="G2" s="169" t="s">
        <v>208</v>
      </c>
      <c r="H2" s="169">
        <v>255</v>
      </c>
      <c r="I2" s="169">
        <v>200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255</v>
      </c>
      <c r="O2" s="171">
        <f>IF(E2="","",I2)</f>
        <v>200</v>
      </c>
    </row>
    <row r="3" spans="5:15">
      <c r="E3" s="169" t="s">
        <v>242</v>
      </c>
      <c r="F3" s="169" t="s">
        <v>1066</v>
      </c>
      <c r="G3" s="169" t="s">
        <v>208</v>
      </c>
      <c r="H3" s="169">
        <v>1398</v>
      </c>
      <c r="I3" s="169">
        <v>1246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1398</v>
      </c>
      <c r="O3" s="171">
        <f t="shared" ref="O3:O66" si="3">IF(E3="","",I3)</f>
        <v>1246</v>
      </c>
    </row>
    <row r="4" spans="5:15">
      <c r="E4" s="169" t="s">
        <v>335</v>
      </c>
      <c r="F4" s="169" t="s">
        <v>1022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1063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1062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650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650</v>
      </c>
      <c r="O7" s="171">
        <f t="shared" si="3"/>
        <v>607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1043</v>
      </c>
      <c r="G9" s="169" t="s">
        <v>208</v>
      </c>
      <c r="H9" s="169">
        <v>61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61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780</v>
      </c>
      <c r="I10" s="169">
        <v>780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780</v>
      </c>
      <c r="O10" s="171">
        <f t="shared" si="3"/>
        <v>780</v>
      </c>
    </row>
    <row r="11" spans="5:15">
      <c r="E11" s="169" t="s">
        <v>244</v>
      </c>
      <c r="F11" s="169" t="s">
        <v>1095</v>
      </c>
      <c r="G11" s="169" t="s">
        <v>208</v>
      </c>
      <c r="H11" s="169">
        <v>-7</v>
      </c>
      <c r="I11" s="169">
        <v>0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02/27/26 C350</v>
      </c>
      <c r="M11" s="170" t="str">
        <f t="shared" si="1"/>
        <v>EQTY.IntlUS.off</v>
      </c>
      <c r="N11" s="171">
        <f t="shared" si="2"/>
        <v>-7</v>
      </c>
      <c r="O11" s="171">
        <f t="shared" si="3"/>
        <v>0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6</v>
      </c>
      <c r="I12" s="169">
        <v>6</v>
      </c>
      <c r="K12" s="170" t="str">
        <f t="shared" si="0"/>
        <v>US Equity Options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AVGO US 06/18/26 C350</v>
      </c>
      <c r="M12" s="170" t="str">
        <f t="shared" si="1"/>
        <v>EQTY.IntlUS.off</v>
      </c>
      <c r="N12" s="171">
        <f t="shared" si="2"/>
        <v>6</v>
      </c>
      <c r="O12" s="171">
        <f t="shared" si="3"/>
        <v>6</v>
      </c>
    </row>
    <row r="13" spans="5:15">
      <c r="E13" s="169" t="s">
        <v>8</v>
      </c>
      <c r="F13" s="169" t="s">
        <v>334</v>
      </c>
      <c r="G13" s="169" t="s">
        <v>208</v>
      </c>
      <c r="H13" s="169">
        <v>251</v>
      </c>
      <c r="I13" s="169">
        <v>233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BABA</v>
      </c>
      <c r="M13" s="170" t="str">
        <f t="shared" si="1"/>
        <v>EQTY.IntlUS.off</v>
      </c>
      <c r="N13" s="171">
        <f t="shared" si="2"/>
        <v>251</v>
      </c>
      <c r="O13" s="171">
        <f t="shared" si="3"/>
        <v>233</v>
      </c>
    </row>
    <row r="14" spans="5:15">
      <c r="E14" s="169" t="s">
        <v>8</v>
      </c>
      <c r="F14" s="169" t="s">
        <v>800</v>
      </c>
      <c r="G14" s="169" t="s">
        <v>208</v>
      </c>
      <c r="H14" s="169">
        <v>303</v>
      </c>
      <c r="I14" s="169">
        <v>285</v>
      </c>
      <c r="K14" s="170" t="str">
        <f t="shared" si="0"/>
        <v>ADR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BIDU</v>
      </c>
      <c r="M14" s="170" t="str">
        <f t="shared" si="1"/>
        <v>EQTY.IntlUS.off</v>
      </c>
      <c r="N14" s="171">
        <f t="shared" si="2"/>
        <v>303</v>
      </c>
      <c r="O14" s="171">
        <f t="shared" si="3"/>
        <v>285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0.05</v>
      </c>
      <c r="I15" s="169">
        <v>0.05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CAD</v>
      </c>
      <c r="M15" s="170" t="str">
        <f t="shared" si="1"/>
        <v>EQTY.IntlUS.off</v>
      </c>
      <c r="N15" s="171">
        <f t="shared" si="2"/>
        <v>0.05</v>
      </c>
      <c r="O15" s="171">
        <f t="shared" si="3"/>
        <v>0.05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0.49</v>
      </c>
      <c r="I16" s="169">
        <v>0.49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EQTY.InternacionalUS2.off</v>
      </c>
      <c r="N16" s="171">
        <f t="shared" si="2"/>
        <v>0.49</v>
      </c>
      <c r="O16" s="171">
        <f t="shared" si="3"/>
        <v>0.49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-2610.69</v>
      </c>
      <c r="I17" s="169">
        <v>-2610.69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170" t="str">
        <f t="shared" si="1"/>
        <v>EQTY.IntlUS.off</v>
      </c>
      <c r="N17" s="171">
        <f t="shared" si="2"/>
        <v>-2610.69</v>
      </c>
      <c r="O17" s="171">
        <f t="shared" si="3"/>
        <v>-2610.69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0.16</v>
      </c>
      <c r="I18" s="169">
        <v>0.16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CNH</v>
      </c>
      <c r="M18" s="170" t="str">
        <f t="shared" si="1"/>
        <v>EQTY.IntlUS.off</v>
      </c>
      <c r="N18" s="171">
        <f t="shared" si="2"/>
        <v>0.16</v>
      </c>
      <c r="O18" s="171">
        <f t="shared" si="3"/>
        <v>0.16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-0.21</v>
      </c>
      <c r="I19" s="169">
        <v>-0.21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EQTY.InternacionalUS2.off</v>
      </c>
      <c r="N19" s="171">
        <f t="shared" si="2"/>
        <v>-0.21</v>
      </c>
      <c r="O19" s="171">
        <f t="shared" si="3"/>
        <v>-0.21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-10000.790000000001</v>
      </c>
      <c r="I20" s="169">
        <v>-10000.790000000001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170" t="str">
        <f t="shared" si="1"/>
        <v>EQTY.IntlUS.off</v>
      </c>
      <c r="N20" s="171">
        <f t="shared" si="2"/>
        <v>-10000.790000000001</v>
      </c>
      <c r="O20" s="171">
        <f t="shared" si="3"/>
        <v>-10000.790000000001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0.47</v>
      </c>
      <c r="I21" s="169">
        <v>0.47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EQTY.InternacionalUS2.off</v>
      </c>
      <c r="N21" s="171">
        <f t="shared" si="2"/>
        <v>0.47</v>
      </c>
      <c r="O21" s="171">
        <f t="shared" si="3"/>
        <v>0.47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-15876.71</v>
      </c>
      <c r="I22" s="169">
        <v>-15876.71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170" t="str">
        <f t="shared" si="1"/>
        <v>EQTY.IntlUS.off</v>
      </c>
      <c r="N22" s="171">
        <f t="shared" si="2"/>
        <v>-15876.71</v>
      </c>
      <c r="O22" s="171">
        <f t="shared" si="3"/>
        <v>-15876.71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0.82</v>
      </c>
      <c r="I23" s="169">
        <v>0.82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GBP</v>
      </c>
      <c r="M23" s="170" t="str">
        <f t="shared" si="1"/>
        <v>EQTY.IntlUS.off</v>
      </c>
      <c r="N23" s="171">
        <f t="shared" si="2"/>
        <v>0.82</v>
      </c>
      <c r="O23" s="171">
        <f t="shared" si="3"/>
        <v>0.82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-0.06</v>
      </c>
      <c r="I24" s="169">
        <v>-0.06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EQTY.InternacionalUS2.off</v>
      </c>
      <c r="N24" s="171">
        <f t="shared" si="2"/>
        <v>-0.06</v>
      </c>
      <c r="O24" s="171">
        <f t="shared" si="3"/>
        <v>-0.06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-17957.060000000001</v>
      </c>
      <c r="I25" s="169">
        <v>-17957.060000000001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170" t="str">
        <f t="shared" si="1"/>
        <v>EQTY.IntlUS.off</v>
      </c>
      <c r="N25" s="171">
        <f t="shared" si="2"/>
        <v>-17957.060000000001</v>
      </c>
      <c r="O25" s="171">
        <f t="shared" si="3"/>
        <v>-17957.060000000001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-0.01</v>
      </c>
      <c r="I26" s="169">
        <v>-0.01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KRW</v>
      </c>
      <c r="M26" s="170" t="str">
        <f t="shared" si="1"/>
        <v>EQTY.IntlUS.off</v>
      </c>
      <c r="N26" s="171">
        <f t="shared" si="2"/>
        <v>-0.01</v>
      </c>
      <c r="O26" s="171">
        <f t="shared" si="3"/>
        <v>-0.01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-60286.88614409</v>
      </c>
      <c r="I27" s="169">
        <v>-50240.086144089997</v>
      </c>
      <c r="K27" s="170" t="str">
        <f t="shared" si="0"/>
        <v>Cash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Cash USD</v>
      </c>
      <c r="M27" s="170" t="str">
        <f t="shared" si="1"/>
        <v>EQTY.IntlUS.off</v>
      </c>
      <c r="N27" s="171">
        <f t="shared" si="2"/>
        <v>-60286.88614409</v>
      </c>
      <c r="O27" s="171">
        <f t="shared" si="3"/>
        <v>-50240.086144089997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375000</v>
      </c>
      <c r="I28" s="169">
        <v>375000</v>
      </c>
      <c r="K28" s="170" t="str">
        <f t="shared" si="0"/>
        <v>CDS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CHINAGOV 12/20/30</v>
      </c>
      <c r="M28" s="170" t="str">
        <f t="shared" si="1"/>
        <v>EQTY.IntlUS.off</v>
      </c>
      <c r="N28" s="171">
        <f t="shared" si="2"/>
        <v>375000</v>
      </c>
      <c r="O28" s="171">
        <f t="shared" si="3"/>
        <v>375000</v>
      </c>
    </row>
    <row r="29" spans="5:15">
      <c r="E29" s="169" t="s">
        <v>243</v>
      </c>
      <c r="F29" s="169" t="s">
        <v>1097</v>
      </c>
      <c r="G29" s="169" t="s">
        <v>208</v>
      </c>
      <c r="H29" s="169">
        <v>0</v>
      </c>
      <c r="I29" s="169">
        <v>-10046.799999999999</v>
      </c>
      <c r="K29" s="170" t="str">
        <f t="shared" si="0"/>
        <v>Provisions and Costs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CME Exchange Adjustment_</v>
      </c>
      <c r="M29" s="170" t="str">
        <f t="shared" si="1"/>
        <v>EQTY.IntlUS.off</v>
      </c>
      <c r="N29" s="171">
        <f t="shared" si="2"/>
        <v>0</v>
      </c>
      <c r="O29" s="171">
        <f t="shared" si="3"/>
        <v>-10046.799999999999</v>
      </c>
    </row>
    <row r="30" spans="5:15">
      <c r="E30" s="169" t="s">
        <v>242</v>
      </c>
      <c r="F30" s="169" t="s">
        <v>1046</v>
      </c>
      <c r="G30" s="169" t="s">
        <v>208</v>
      </c>
      <c r="H30" s="169">
        <v>0</v>
      </c>
      <c r="I30" s="169">
        <v>175</v>
      </c>
      <c r="K30" s="170" t="str">
        <f t="shared" si="0"/>
        <v>US Equity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COHR</v>
      </c>
      <c r="M30" s="170" t="str">
        <f t="shared" si="1"/>
        <v>EQTY.IntlUS.off</v>
      </c>
      <c r="N30" s="171">
        <f t="shared" si="2"/>
        <v>0</v>
      </c>
      <c r="O30" s="171">
        <f t="shared" si="3"/>
        <v>175</v>
      </c>
    </row>
    <row r="31" spans="5:15">
      <c r="E31" s="169" t="s">
        <v>242</v>
      </c>
      <c r="F31" s="169" t="s">
        <v>890</v>
      </c>
      <c r="G31" s="169" t="s">
        <v>208</v>
      </c>
      <c r="H31" s="169">
        <v>2563</v>
      </c>
      <c r="I31" s="169">
        <v>2168</v>
      </c>
      <c r="K31" s="170" t="str">
        <f t="shared" si="0"/>
        <v>US Equity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</v>
      </c>
      <c r="M31" s="170" t="str">
        <f t="shared" si="1"/>
        <v>EQTY.IntlUS.off</v>
      </c>
      <c r="N31" s="171">
        <f t="shared" si="2"/>
        <v>2563</v>
      </c>
      <c r="O31" s="171">
        <f t="shared" si="3"/>
        <v>2168</v>
      </c>
    </row>
    <row r="32" spans="5:15">
      <c r="E32" s="169" t="s">
        <v>244</v>
      </c>
      <c r="F32" s="169" t="s">
        <v>1044</v>
      </c>
      <c r="G32" s="169" t="s">
        <v>208</v>
      </c>
      <c r="H32" s="169">
        <v>-60</v>
      </c>
      <c r="I32" s="169">
        <v>-60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04/17/26 C100</v>
      </c>
      <c r="M32" s="170" t="str">
        <f t="shared" si="1"/>
        <v>EQTY.IntlUS.off</v>
      </c>
      <c r="N32" s="171">
        <f t="shared" si="2"/>
        <v>-60</v>
      </c>
      <c r="O32" s="171">
        <f t="shared" si="3"/>
        <v>-60</v>
      </c>
    </row>
    <row r="33" spans="5:15">
      <c r="E33" s="169" t="s">
        <v>244</v>
      </c>
      <c r="F33" s="169" t="s">
        <v>1045</v>
      </c>
      <c r="G33" s="169" t="s">
        <v>208</v>
      </c>
      <c r="H33" s="169">
        <v>60</v>
      </c>
      <c r="I33" s="169">
        <v>60</v>
      </c>
      <c r="K33" s="170" t="str">
        <f t="shared" si="0"/>
        <v>US Equity Options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CSCO US 04/17/26 C95</v>
      </c>
      <c r="M33" s="170" t="str">
        <f t="shared" si="1"/>
        <v>EQTY.IntlUS.off</v>
      </c>
      <c r="N33" s="171">
        <f t="shared" si="2"/>
        <v>60</v>
      </c>
      <c r="O33" s="171">
        <f t="shared" si="3"/>
        <v>60</v>
      </c>
    </row>
    <row r="34" spans="5:15">
      <c r="E34" s="169" t="s">
        <v>244</v>
      </c>
      <c r="F34" s="169" t="s">
        <v>1065</v>
      </c>
      <c r="G34" s="169" t="s">
        <v>208</v>
      </c>
      <c r="H34" s="169">
        <v>-30</v>
      </c>
      <c r="I34" s="169">
        <v>-30</v>
      </c>
      <c r="K34" s="170" t="str">
        <f t="shared" si="0"/>
        <v>US Equity Options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CSCO US 07/17/26 C100</v>
      </c>
      <c r="M34" s="170" t="str">
        <f t="shared" si="1"/>
        <v>EQTY.IntlUS.off</v>
      </c>
      <c r="N34" s="171">
        <f t="shared" si="2"/>
        <v>-30</v>
      </c>
      <c r="O34" s="171">
        <f t="shared" si="3"/>
        <v>-30</v>
      </c>
    </row>
    <row r="35" spans="5:15">
      <c r="E35" s="169" t="s">
        <v>1047</v>
      </c>
      <c r="F35" s="169" t="s">
        <v>1041</v>
      </c>
      <c r="G35" s="169" t="s">
        <v>208</v>
      </c>
      <c r="H35" s="169">
        <v>122</v>
      </c>
      <c r="I35" s="169">
        <v>122</v>
      </c>
      <c r="K35" s="170" t="str">
        <f t="shared" si="0"/>
        <v>EUR Equity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ENR GY</v>
      </c>
      <c r="M35" s="170" t="str">
        <f t="shared" si="1"/>
        <v>EQTY.IntlUS.off</v>
      </c>
      <c r="N35" s="171">
        <f t="shared" si="2"/>
        <v>122</v>
      </c>
      <c r="O35" s="171">
        <f t="shared" si="3"/>
        <v>122</v>
      </c>
    </row>
    <row r="36" spans="5:15">
      <c r="E36" s="169" t="s">
        <v>245</v>
      </c>
      <c r="F36" s="169" t="s">
        <v>425</v>
      </c>
      <c r="G36" s="169" t="s">
        <v>208</v>
      </c>
      <c r="H36" s="169">
        <v>3681</v>
      </c>
      <c r="I36" s="169">
        <v>2480</v>
      </c>
      <c r="K36" s="170" t="str">
        <f t="shared" si="0"/>
        <v>ETF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EWY</v>
      </c>
      <c r="M36" s="170" t="str">
        <f t="shared" si="1"/>
        <v>EQTY.IntlUS.off</v>
      </c>
      <c r="N36" s="171">
        <f t="shared" si="2"/>
        <v>3681</v>
      </c>
      <c r="O36" s="171">
        <f t="shared" si="3"/>
        <v>2480</v>
      </c>
    </row>
    <row r="37" spans="5:15">
      <c r="E37" s="169" t="s">
        <v>245</v>
      </c>
      <c r="F37" s="169" t="s">
        <v>78</v>
      </c>
      <c r="G37" s="169" t="s">
        <v>208</v>
      </c>
      <c r="H37" s="169">
        <v>909</v>
      </c>
      <c r="I37" s="169">
        <v>909</v>
      </c>
      <c r="K37" s="170" t="str">
        <f t="shared" si="0"/>
        <v>ETF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</v>
      </c>
      <c r="M37" s="170" t="str">
        <f t="shared" si="1"/>
        <v>EQTY.IntlUS.off</v>
      </c>
      <c r="N37" s="171">
        <f t="shared" si="2"/>
        <v>909</v>
      </c>
      <c r="O37" s="171">
        <f t="shared" si="3"/>
        <v>909</v>
      </c>
    </row>
    <row r="38" spans="5:15">
      <c r="E38" s="169" t="s">
        <v>248</v>
      </c>
      <c r="F38" s="169" t="s">
        <v>836</v>
      </c>
      <c r="G38" s="169" t="s">
        <v>208</v>
      </c>
      <c r="H38" s="169">
        <v>53</v>
      </c>
      <c r="I38" s="169">
        <v>53</v>
      </c>
      <c r="K38" s="170" t="str">
        <f t="shared" si="0"/>
        <v>ETF Options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GDX US 09/18/26 C105</v>
      </c>
      <c r="M38" s="170" t="str">
        <f t="shared" si="1"/>
        <v>EQTY.IntlUS.off</v>
      </c>
      <c r="N38" s="171">
        <f t="shared" si="2"/>
        <v>53</v>
      </c>
      <c r="O38" s="171">
        <f t="shared" si="3"/>
        <v>53</v>
      </c>
    </row>
    <row r="39" spans="5:15">
      <c r="E39" s="169" t="s">
        <v>248</v>
      </c>
      <c r="F39" s="169" t="s">
        <v>837</v>
      </c>
      <c r="G39" s="169" t="s">
        <v>208</v>
      </c>
      <c r="H39" s="169">
        <v>-53</v>
      </c>
      <c r="I39" s="169">
        <v>-53</v>
      </c>
      <c r="K39" s="170" t="str">
        <f t="shared" si="0"/>
        <v>ETF Options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GDX US 09/18/26 C115</v>
      </c>
      <c r="M39" s="170" t="str">
        <f t="shared" si="1"/>
        <v>EQTY.IntlUS.off</v>
      </c>
      <c r="N39" s="171">
        <f t="shared" si="2"/>
        <v>-53</v>
      </c>
      <c r="O39" s="171">
        <f t="shared" si="3"/>
        <v>-53</v>
      </c>
    </row>
    <row r="40" spans="5:15">
      <c r="E40" s="169" t="s">
        <v>242</v>
      </c>
      <c r="F40" s="169" t="s">
        <v>1031</v>
      </c>
      <c r="G40" s="169" t="s">
        <v>208</v>
      </c>
      <c r="H40" s="169">
        <v>59</v>
      </c>
      <c r="I40" s="169">
        <v>59</v>
      </c>
      <c r="K40" s="170" t="str">
        <f t="shared" si="0"/>
        <v>US Equity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GEV</v>
      </c>
      <c r="M40" s="170" t="str">
        <f t="shared" si="1"/>
        <v>EQTY.IntlUS.off</v>
      </c>
      <c r="N40" s="171">
        <f t="shared" si="2"/>
        <v>59</v>
      </c>
      <c r="O40" s="171">
        <f t="shared" si="3"/>
        <v>59</v>
      </c>
    </row>
    <row r="41" spans="5:15">
      <c r="E41" s="169" t="s">
        <v>242</v>
      </c>
      <c r="F41" s="169" t="s">
        <v>807</v>
      </c>
      <c r="G41" s="169" t="s">
        <v>208</v>
      </c>
      <c r="H41" s="169">
        <v>784</v>
      </c>
      <c r="I41" s="169">
        <v>148</v>
      </c>
      <c r="K41" s="170" t="str">
        <f t="shared" si="0"/>
        <v>US Equity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GOOG</v>
      </c>
      <c r="M41" s="170" t="str">
        <f t="shared" si="1"/>
        <v>EQTY.IntlUS.off</v>
      </c>
      <c r="N41" s="171">
        <f t="shared" si="2"/>
        <v>784</v>
      </c>
      <c r="O41" s="171">
        <f t="shared" si="3"/>
        <v>148</v>
      </c>
    </row>
    <row r="42" spans="5:15">
      <c r="E42" s="169" t="s">
        <v>249</v>
      </c>
      <c r="F42" s="169" t="s">
        <v>561</v>
      </c>
      <c r="G42" s="169" t="s">
        <v>208</v>
      </c>
      <c r="H42" s="169">
        <v>19314</v>
      </c>
      <c r="I42" s="169">
        <v>19314</v>
      </c>
      <c r="K42" s="170" t="str">
        <f t="shared" si="0"/>
        <v>Basket Index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GSC1000P 03/20/26 C104</v>
      </c>
      <c r="M42" s="170" t="str">
        <f t="shared" si="1"/>
        <v>EQTY.IntlUS.off</v>
      </c>
      <c r="N42" s="171">
        <f t="shared" si="2"/>
        <v>19314</v>
      </c>
      <c r="O42" s="171">
        <f t="shared" si="3"/>
        <v>19314</v>
      </c>
    </row>
    <row r="43" spans="5:15">
      <c r="E43" s="169" t="s">
        <v>249</v>
      </c>
      <c r="F43" s="169" t="s">
        <v>562</v>
      </c>
      <c r="G43" s="169" t="s">
        <v>208</v>
      </c>
      <c r="H43" s="169">
        <v>-19314</v>
      </c>
      <c r="I43" s="169">
        <v>-19314</v>
      </c>
      <c r="K43" s="170" t="str">
        <f t="shared" si="0"/>
        <v>Basket Index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GSC1000P 03/20/26 C119</v>
      </c>
      <c r="M43" s="170" t="str">
        <f t="shared" si="1"/>
        <v>EQTY.IntlUS.off</v>
      </c>
      <c r="N43" s="171">
        <f t="shared" si="2"/>
        <v>-19314</v>
      </c>
      <c r="O43" s="171">
        <f t="shared" si="3"/>
        <v>-19314</v>
      </c>
    </row>
    <row r="44" spans="5:15">
      <c r="E44" s="169" t="s">
        <v>242</v>
      </c>
      <c r="F44" s="169" t="s">
        <v>342</v>
      </c>
      <c r="G44" s="169" t="s">
        <v>208</v>
      </c>
      <c r="H44" s="169">
        <v>0</v>
      </c>
      <c r="I44" s="169">
        <v>-61</v>
      </c>
      <c r="K44" s="170" t="str">
        <f t="shared" si="0"/>
        <v>US Equity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INTC</v>
      </c>
      <c r="M44" s="170" t="str">
        <f t="shared" si="1"/>
        <v>EQTY.IntlUS.off</v>
      </c>
      <c r="N44" s="171">
        <f t="shared" si="2"/>
        <v>0</v>
      </c>
      <c r="O44" s="171">
        <f t="shared" si="3"/>
        <v>-61</v>
      </c>
    </row>
    <row r="45" spans="5:15">
      <c r="E45" s="169" t="s">
        <v>244</v>
      </c>
      <c r="F45" s="169" t="s">
        <v>877</v>
      </c>
      <c r="G45" s="169" t="s">
        <v>208</v>
      </c>
      <c r="H45" s="169">
        <v>16</v>
      </c>
      <c r="I45" s="169">
        <v>16</v>
      </c>
      <c r="K45" s="170" t="str">
        <f t="shared" si="0"/>
        <v>US Equity Options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INTC US 07/17/26 C50</v>
      </c>
      <c r="M45" s="170" t="str">
        <f t="shared" si="1"/>
        <v>EQTY.IntlUS.off</v>
      </c>
      <c r="N45" s="171">
        <f t="shared" si="2"/>
        <v>16</v>
      </c>
      <c r="O45" s="171">
        <f t="shared" si="3"/>
        <v>16</v>
      </c>
    </row>
    <row r="46" spans="5:15">
      <c r="E46" s="169" t="s">
        <v>874</v>
      </c>
      <c r="F46" s="169" t="s">
        <v>860</v>
      </c>
      <c r="G46" s="169" t="s">
        <v>208</v>
      </c>
      <c r="H46" s="169">
        <v>685255</v>
      </c>
      <c r="I46" s="169">
        <v>685255</v>
      </c>
      <c r="K46" s="170" t="str">
        <f t="shared" si="0"/>
        <v>KOSPI 200 Index Options - KRX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KOSPI2 12/10/26 C1000</v>
      </c>
      <c r="M46" s="170" t="str">
        <f t="shared" si="1"/>
        <v>EQTY.IntlUS.off</v>
      </c>
      <c r="N46" s="171">
        <f t="shared" si="2"/>
        <v>685255</v>
      </c>
      <c r="O46" s="171">
        <f t="shared" si="3"/>
        <v>685255</v>
      </c>
    </row>
    <row r="47" spans="5:15">
      <c r="E47" s="169" t="s">
        <v>242</v>
      </c>
      <c r="F47" s="169" t="s">
        <v>728</v>
      </c>
      <c r="G47" s="169" t="s">
        <v>208</v>
      </c>
      <c r="H47" s="169">
        <v>246</v>
      </c>
      <c r="I47" s="169">
        <v>271</v>
      </c>
      <c r="K47" s="170" t="str">
        <f t="shared" si="0"/>
        <v>US Equity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</v>
      </c>
      <c r="M47" s="170" t="str">
        <f t="shared" si="1"/>
        <v>EQTY.IntlUS.off</v>
      </c>
      <c r="N47" s="171">
        <f t="shared" si="2"/>
        <v>246</v>
      </c>
      <c r="O47" s="171">
        <f t="shared" si="3"/>
        <v>271</v>
      </c>
    </row>
    <row r="48" spans="5:15">
      <c r="E48" s="169" t="s">
        <v>244</v>
      </c>
      <c r="F48" s="169" t="s">
        <v>1039</v>
      </c>
      <c r="G48" s="169" t="s">
        <v>208</v>
      </c>
      <c r="H48" s="169">
        <v>8</v>
      </c>
      <c r="I48" s="169">
        <v>8</v>
      </c>
      <c r="K48" s="170" t="str">
        <f t="shared" si="0"/>
        <v>US Equity Options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 US 06/18/26 C600</v>
      </c>
      <c r="M48" s="170" t="str">
        <f t="shared" si="1"/>
        <v>EQTY.IntlUS.off</v>
      </c>
      <c r="N48" s="171">
        <f t="shared" si="2"/>
        <v>8</v>
      </c>
      <c r="O48" s="171">
        <f t="shared" si="3"/>
        <v>8</v>
      </c>
    </row>
    <row r="49" spans="5:15">
      <c r="E49" s="169" t="s">
        <v>244</v>
      </c>
      <c r="F49" s="169" t="s">
        <v>1040</v>
      </c>
      <c r="G49" s="169" t="s">
        <v>208</v>
      </c>
      <c r="H49" s="169">
        <v>-7</v>
      </c>
      <c r="I49" s="169">
        <v>-7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C720</v>
      </c>
      <c r="M49" s="170" t="str">
        <f t="shared" si="1"/>
        <v>EQTY.IntlUS.off</v>
      </c>
      <c r="N49" s="171">
        <f t="shared" si="2"/>
        <v>-7</v>
      </c>
      <c r="O49" s="171">
        <f t="shared" si="3"/>
        <v>-7</v>
      </c>
    </row>
    <row r="50" spans="5:15">
      <c r="E50" s="169" t="s">
        <v>335</v>
      </c>
      <c r="F50" s="169" t="s">
        <v>934</v>
      </c>
      <c r="G50" s="169" t="s">
        <v>208</v>
      </c>
      <c r="H50" s="169">
        <v>-628000</v>
      </c>
      <c r="I50" s="169">
        <v>-628000</v>
      </c>
      <c r="K50" s="170" t="str">
        <f t="shared" si="0"/>
        <v>Global Bonds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4.875% 11/15/35</v>
      </c>
      <c r="M50" s="170" t="str">
        <f t="shared" si="1"/>
        <v>EQTY.IntlUS.off</v>
      </c>
      <c r="N50" s="171">
        <f t="shared" si="2"/>
        <v>-628000</v>
      </c>
      <c r="O50" s="171">
        <f t="shared" si="3"/>
        <v>-628000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551</v>
      </c>
      <c r="I51" s="169">
        <v>490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</v>
      </c>
      <c r="M51" s="170" t="str">
        <f t="shared" si="1"/>
        <v>EQTY.IntlUS.off</v>
      </c>
      <c r="N51" s="171">
        <f t="shared" si="2"/>
        <v>551</v>
      </c>
      <c r="O51" s="171">
        <f t="shared" si="3"/>
        <v>490</v>
      </c>
    </row>
    <row r="52" spans="5:15">
      <c r="E52" s="169" t="s">
        <v>244</v>
      </c>
      <c r="F52" s="169" t="s">
        <v>953</v>
      </c>
      <c r="G52" s="169" t="s">
        <v>208</v>
      </c>
      <c r="H52" s="169">
        <v>9</v>
      </c>
      <c r="I52" s="169">
        <v>9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 US 07/17/26 C750</v>
      </c>
      <c r="M52" s="170" t="str">
        <f t="shared" si="1"/>
        <v>EQTY.IntlUS.off</v>
      </c>
      <c r="N52" s="171">
        <f t="shared" si="2"/>
        <v>9</v>
      </c>
      <c r="O52" s="171">
        <f t="shared" si="3"/>
        <v>9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-533</v>
      </c>
      <c r="I53" s="169">
        <v>-338</v>
      </c>
      <c r="K53" s="170" t="str">
        <f t="shared" si="0"/>
        <v>US Equity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</v>
      </c>
      <c r="M53" s="170" t="str">
        <f t="shared" si="1"/>
        <v>EQTY.IntlUS.off</v>
      </c>
      <c r="N53" s="171">
        <f t="shared" si="2"/>
        <v>-533</v>
      </c>
      <c r="O53" s="171">
        <f t="shared" si="3"/>
        <v>-338</v>
      </c>
    </row>
    <row r="54" spans="5:15">
      <c r="E54" s="169" t="s">
        <v>244</v>
      </c>
      <c r="F54" s="169" t="s">
        <v>975</v>
      </c>
      <c r="G54" s="169" t="s">
        <v>208</v>
      </c>
      <c r="H54" s="169">
        <v>-28</v>
      </c>
      <c r="I54" s="169">
        <v>-28</v>
      </c>
      <c r="K54" s="170" t="str">
        <f t="shared" si="0"/>
        <v>US Equity Options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 US 03/20/26 P60</v>
      </c>
      <c r="M54" s="170" t="str">
        <f t="shared" si="1"/>
        <v>EQTY.IntlUS.off</v>
      </c>
      <c r="N54" s="171">
        <f t="shared" si="2"/>
        <v>-28</v>
      </c>
      <c r="O54" s="171">
        <f t="shared" si="3"/>
        <v>-28</v>
      </c>
    </row>
    <row r="55" spans="5:15">
      <c r="E55" s="169" t="s">
        <v>244</v>
      </c>
      <c r="F55" s="169" t="s">
        <v>843</v>
      </c>
      <c r="G55" s="169" t="s">
        <v>208</v>
      </c>
      <c r="H55" s="169">
        <v>28</v>
      </c>
      <c r="I55" s="169">
        <v>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P70</v>
      </c>
      <c r="M55" s="170" t="str">
        <f t="shared" si="1"/>
        <v>EQTY.IntlUS.off</v>
      </c>
      <c r="N55" s="171">
        <f t="shared" si="2"/>
        <v>28</v>
      </c>
      <c r="O55" s="171">
        <f t="shared" si="3"/>
        <v>28</v>
      </c>
    </row>
    <row r="56" spans="5:15">
      <c r="E56" s="169" t="s">
        <v>335</v>
      </c>
      <c r="F56" s="169" t="s">
        <v>1093</v>
      </c>
      <c r="G56" s="169" t="s">
        <v>208</v>
      </c>
      <c r="H56" s="169">
        <v>-305500</v>
      </c>
      <c r="I56" s="169">
        <v>-305500</v>
      </c>
      <c r="K56" s="170" t="str">
        <f t="shared" si="0"/>
        <v>Global Bonds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4.90% 08/15/34</v>
      </c>
      <c r="M56" s="170" t="str">
        <f t="shared" si="1"/>
        <v>EQTY.IntlUS.off</v>
      </c>
      <c r="N56" s="171">
        <f t="shared" si="2"/>
        <v>-305500</v>
      </c>
      <c r="O56" s="171">
        <f t="shared" si="3"/>
        <v>-305500</v>
      </c>
    </row>
    <row r="57" spans="5:15">
      <c r="E57" s="169" t="s">
        <v>244</v>
      </c>
      <c r="F57" s="169" t="s">
        <v>976</v>
      </c>
      <c r="G57" s="169" t="s">
        <v>208</v>
      </c>
      <c r="H57" s="169">
        <v>-18</v>
      </c>
      <c r="I57" s="169">
        <v>-18</v>
      </c>
      <c r="K57" s="170" t="str">
        <f t="shared" si="0"/>
        <v>US Equity Options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US 05/15/26 C90</v>
      </c>
      <c r="M57" s="170" t="str">
        <f t="shared" si="1"/>
        <v>EQTY.IntlUS.off</v>
      </c>
      <c r="N57" s="171">
        <f t="shared" si="2"/>
        <v>-18</v>
      </c>
      <c r="O57" s="171">
        <f t="shared" si="3"/>
        <v>-18</v>
      </c>
    </row>
    <row r="58" spans="5:15">
      <c r="E58" s="169" t="s">
        <v>244</v>
      </c>
      <c r="F58" s="169" t="s">
        <v>977</v>
      </c>
      <c r="G58" s="169" t="s">
        <v>208</v>
      </c>
      <c r="H58" s="169">
        <v>-6</v>
      </c>
      <c r="I58" s="169">
        <v>-6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P70</v>
      </c>
      <c r="M58" s="170" t="str">
        <f t="shared" si="1"/>
        <v>EQTY.IntlUS.off</v>
      </c>
      <c r="N58" s="171">
        <f t="shared" si="2"/>
        <v>-6</v>
      </c>
      <c r="O58" s="171">
        <f t="shared" si="3"/>
        <v>-6</v>
      </c>
    </row>
    <row r="59" spans="5:15">
      <c r="E59" s="169" t="s">
        <v>958</v>
      </c>
      <c r="F59" s="169" t="s">
        <v>959</v>
      </c>
      <c r="G59" s="169" t="s">
        <v>208</v>
      </c>
      <c r="H59" s="169">
        <v>-4</v>
      </c>
      <c r="I59" s="169">
        <v>-5</v>
      </c>
      <c r="K59" s="170" t="str">
        <f t="shared" si="0"/>
        <v>NASDAQ-100 E-mini Futures - CME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NQH6</v>
      </c>
      <c r="M59" s="170" t="str">
        <f t="shared" si="1"/>
        <v>EQTY.IntlUS.off</v>
      </c>
      <c r="N59" s="171">
        <f t="shared" si="2"/>
        <v>-4</v>
      </c>
      <c r="O59" s="171">
        <f t="shared" si="3"/>
        <v>-5</v>
      </c>
    </row>
    <row r="60" spans="5:15">
      <c r="E60" s="169" t="s">
        <v>242</v>
      </c>
      <c r="F60" s="169" t="s">
        <v>42</v>
      </c>
      <c r="G60" s="169" t="s">
        <v>208</v>
      </c>
      <c r="H60" s="169">
        <v>3491</v>
      </c>
      <c r="I60" s="169">
        <v>3491</v>
      </c>
      <c r="K60" s="170" t="str">
        <f t="shared" si="0"/>
        <v>US Equity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</v>
      </c>
      <c r="M60" s="170" t="str">
        <f t="shared" si="1"/>
        <v>EQTY.IntlUS.off</v>
      </c>
      <c r="N60" s="171">
        <f t="shared" si="2"/>
        <v>3491</v>
      </c>
      <c r="O60" s="171">
        <f t="shared" si="3"/>
        <v>3491</v>
      </c>
    </row>
    <row r="61" spans="5:15">
      <c r="E61" s="169" t="s">
        <v>244</v>
      </c>
      <c r="F61" s="169" t="s">
        <v>1060</v>
      </c>
      <c r="G61" s="169" t="s">
        <v>208</v>
      </c>
      <c r="H61" s="169">
        <v>65</v>
      </c>
      <c r="I61" s="169">
        <v>44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03/20/26 C200</v>
      </c>
      <c r="M61" s="170" t="str">
        <f t="shared" si="1"/>
        <v>EQTY.IntlUS.off</v>
      </c>
      <c r="N61" s="171">
        <f t="shared" si="2"/>
        <v>65</v>
      </c>
      <c r="O61" s="171">
        <f t="shared" si="3"/>
        <v>44</v>
      </c>
    </row>
    <row r="62" spans="5:15">
      <c r="E62" s="169" t="s">
        <v>244</v>
      </c>
      <c r="F62" s="169" t="s">
        <v>1061</v>
      </c>
      <c r="G62" s="169" t="s">
        <v>208</v>
      </c>
      <c r="H62" s="169">
        <v>-66</v>
      </c>
      <c r="I62" s="169">
        <v>-45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C220</v>
      </c>
      <c r="M62" s="170" t="str">
        <f t="shared" si="1"/>
        <v>EQTY.IntlUS.off</v>
      </c>
      <c r="N62" s="171">
        <f t="shared" si="2"/>
        <v>-66</v>
      </c>
      <c r="O62" s="171">
        <f t="shared" si="3"/>
        <v>-45</v>
      </c>
    </row>
    <row r="63" spans="5:15">
      <c r="E63" s="169" t="s">
        <v>244</v>
      </c>
      <c r="F63" s="169" t="s">
        <v>921</v>
      </c>
      <c r="G63" s="169" t="s">
        <v>208</v>
      </c>
      <c r="H63" s="169">
        <v>8</v>
      </c>
      <c r="I63" s="169">
        <v>8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05/15/26 C200</v>
      </c>
      <c r="M63" s="170" t="str">
        <f t="shared" si="1"/>
        <v>EQTY.IntlUS.off</v>
      </c>
      <c r="N63" s="171">
        <f t="shared" si="2"/>
        <v>8</v>
      </c>
      <c r="O63" s="171">
        <f t="shared" si="3"/>
        <v>8</v>
      </c>
    </row>
    <row r="64" spans="5:15">
      <c r="E64" s="169" t="s">
        <v>245</v>
      </c>
      <c r="F64" s="169" t="s">
        <v>82</v>
      </c>
      <c r="G64" s="169" t="s">
        <v>208</v>
      </c>
      <c r="H64" s="169">
        <v>0</v>
      </c>
      <c r="I64" s="169">
        <v>0</v>
      </c>
      <c r="K64" s="170" t="str">
        <f t="shared" si="0"/>
        <v>ETF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QQQ</v>
      </c>
      <c r="M64" s="170" t="str">
        <f t="shared" si="1"/>
        <v>EQTY.IntlUS.off</v>
      </c>
      <c r="N64" s="171">
        <f t="shared" si="2"/>
        <v>0</v>
      </c>
      <c r="O64" s="171">
        <f t="shared" si="3"/>
        <v>0</v>
      </c>
    </row>
    <row r="65" spans="5:15">
      <c r="E65" s="169" t="s">
        <v>248</v>
      </c>
      <c r="F65" s="169" t="s">
        <v>1059</v>
      </c>
      <c r="G65" s="169" t="s">
        <v>208</v>
      </c>
      <c r="H65" s="169">
        <v>0</v>
      </c>
      <c r="I65" s="169">
        <v>-54</v>
      </c>
      <c r="K65" s="170" t="str">
        <f t="shared" si="0"/>
        <v>ETF Options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QQQ US 02/20/26 P590</v>
      </c>
      <c r="M65" s="170" t="str">
        <f t="shared" si="1"/>
        <v>EQTY.IntlUS.off</v>
      </c>
      <c r="N65" s="171">
        <f t="shared" si="2"/>
        <v>0</v>
      </c>
      <c r="O65" s="171">
        <f t="shared" si="3"/>
        <v>-54</v>
      </c>
    </row>
    <row r="66" spans="5:15">
      <c r="E66" s="169" t="s">
        <v>248</v>
      </c>
      <c r="F66" s="169" t="s">
        <v>1081</v>
      </c>
      <c r="G66" s="169" t="s">
        <v>208</v>
      </c>
      <c r="H66" s="169">
        <v>0</v>
      </c>
      <c r="I66" s="169">
        <v>54</v>
      </c>
      <c r="K66" s="170" t="str">
        <f t="shared" si="0"/>
        <v>ETF Options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QQQ US 02/20/26 P600</v>
      </c>
      <c r="M66" s="170" t="str">
        <f t="shared" si="1"/>
        <v>EQTY.IntlUS.off</v>
      </c>
      <c r="N66" s="171">
        <f t="shared" si="2"/>
        <v>0</v>
      </c>
      <c r="O66" s="171">
        <f t="shared" si="3"/>
        <v>54</v>
      </c>
    </row>
    <row r="67" spans="5:15">
      <c r="E67" s="169" t="s">
        <v>248</v>
      </c>
      <c r="F67" s="169" t="s">
        <v>1082</v>
      </c>
      <c r="G67" s="169" t="s">
        <v>208</v>
      </c>
      <c r="H67" s="169">
        <v>0</v>
      </c>
      <c r="I67" s="169">
        <v>-12</v>
      </c>
      <c r="K67" s="170" t="str">
        <f t="shared" ref="K67:K130" si="4">IF(E67="","",E67)</f>
        <v>ETF Options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QQQ US 02/27/26 P580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-12</v>
      </c>
    </row>
    <row r="68" spans="5:15">
      <c r="E68" s="169" t="s">
        <v>248</v>
      </c>
      <c r="F68" s="169" t="s">
        <v>1080</v>
      </c>
      <c r="G68" s="169" t="s">
        <v>208</v>
      </c>
      <c r="H68" s="169">
        <v>0</v>
      </c>
      <c r="I68" s="169">
        <v>12</v>
      </c>
      <c r="K68" s="170" t="str">
        <f t="shared" si="4"/>
        <v>ETF Options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QQQ US 02/27/26 P590</v>
      </c>
      <c r="M68" s="170" t="str">
        <f t="shared" si="5"/>
        <v>EQTY.IntlUS.off</v>
      </c>
      <c r="N68" s="171">
        <f t="shared" si="6"/>
        <v>0</v>
      </c>
      <c r="O68" s="171">
        <f t="shared" si="7"/>
        <v>12</v>
      </c>
    </row>
    <row r="69" spans="5:15">
      <c r="E69" s="169" t="s">
        <v>242</v>
      </c>
      <c r="F69" s="169" t="s">
        <v>790</v>
      </c>
      <c r="G69" s="169" t="s">
        <v>208</v>
      </c>
      <c r="H69" s="169">
        <v>1929</v>
      </c>
      <c r="I69" s="169">
        <v>1929</v>
      </c>
      <c r="K69" s="170" t="str">
        <f t="shared" si="4"/>
        <v>US Equity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RIOT</v>
      </c>
      <c r="M69" s="170" t="str">
        <f t="shared" si="5"/>
        <v>EQTY.IntlUS.off</v>
      </c>
      <c r="N69" s="171">
        <f t="shared" si="6"/>
        <v>1929</v>
      </c>
      <c r="O69" s="171">
        <f t="shared" si="7"/>
        <v>1929</v>
      </c>
    </row>
    <row r="70" spans="5:15">
      <c r="E70" s="169" t="s">
        <v>792</v>
      </c>
      <c r="F70" s="169" t="s">
        <v>793</v>
      </c>
      <c r="G70" s="169" t="s">
        <v>208</v>
      </c>
      <c r="H70" s="169">
        <v>52</v>
      </c>
      <c r="I70" s="169">
        <v>52</v>
      </c>
      <c r="K70" s="170" t="str">
        <f t="shared" si="4"/>
        <v>Equity Total Return Swap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000660 KS</v>
      </c>
      <c r="M70" s="170" t="str">
        <f t="shared" si="5"/>
        <v>EQTY.IntlUS.off</v>
      </c>
      <c r="N70" s="171">
        <f t="shared" si="6"/>
        <v>52</v>
      </c>
      <c r="O70" s="171">
        <f t="shared" si="7"/>
        <v>52</v>
      </c>
    </row>
    <row r="71" spans="5:15">
      <c r="E71" s="169" t="s">
        <v>792</v>
      </c>
      <c r="F71" s="169" t="s">
        <v>1023</v>
      </c>
      <c r="G71" s="169" t="s">
        <v>208</v>
      </c>
      <c r="H71" s="169">
        <v>10</v>
      </c>
      <c r="I71" s="169">
        <v>10</v>
      </c>
      <c r="K71" s="170" t="str">
        <f t="shared" si="4"/>
        <v>Equity Total Return Swap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SWAP 000660 KS 10FEB2026 20APR2026 592.6251</v>
      </c>
      <c r="M71" s="170" t="str">
        <f t="shared" si="5"/>
        <v>EQTY.IntlUS.off</v>
      </c>
      <c r="N71" s="171">
        <f t="shared" si="6"/>
        <v>10</v>
      </c>
      <c r="O71" s="171">
        <f t="shared" si="7"/>
        <v>10</v>
      </c>
    </row>
    <row r="72" spans="5:15">
      <c r="E72" s="169" t="s">
        <v>792</v>
      </c>
      <c r="F72" s="169" t="s">
        <v>875</v>
      </c>
      <c r="G72" s="169" t="s">
        <v>208</v>
      </c>
      <c r="H72" s="169">
        <v>43</v>
      </c>
      <c r="I72" s="169">
        <v>43</v>
      </c>
      <c r="K72" s="170" t="str">
        <f t="shared" si="4"/>
        <v>Equity Total Return Swap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SWAP 000660 KS 26JAN2026 26JAN2027 509.6192</v>
      </c>
      <c r="M72" s="170" t="str">
        <f t="shared" si="5"/>
        <v>EQTY.IntlUS.off</v>
      </c>
      <c r="N72" s="171">
        <f t="shared" si="6"/>
        <v>43</v>
      </c>
      <c r="O72" s="171">
        <f t="shared" si="7"/>
        <v>43</v>
      </c>
    </row>
    <row r="73" spans="5:15">
      <c r="E73" s="169" t="s">
        <v>792</v>
      </c>
      <c r="F73" s="169" t="s">
        <v>1024</v>
      </c>
      <c r="G73" s="169" t="s">
        <v>208</v>
      </c>
      <c r="H73" s="169">
        <v>189</v>
      </c>
      <c r="I73" s="169">
        <v>189</v>
      </c>
      <c r="K73" s="170" t="str">
        <f t="shared" si="4"/>
        <v>Equity Total Return Swap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SWAP 005930 KS 03FEB2026 20APR2026 113.36</v>
      </c>
      <c r="M73" s="170" t="str">
        <f t="shared" si="5"/>
        <v>EQTY.IntlUS.off</v>
      </c>
      <c r="N73" s="171">
        <f t="shared" si="6"/>
        <v>189</v>
      </c>
      <c r="O73" s="171">
        <f t="shared" si="7"/>
        <v>189</v>
      </c>
    </row>
    <row r="74" spans="5:15">
      <c r="E74" s="169" t="s">
        <v>792</v>
      </c>
      <c r="F74" s="169" t="s">
        <v>1025</v>
      </c>
      <c r="G74" s="169" t="s">
        <v>208</v>
      </c>
      <c r="H74" s="169">
        <v>189</v>
      </c>
      <c r="I74" s="169">
        <v>189</v>
      </c>
      <c r="K74" s="170" t="str">
        <f t="shared" si="4"/>
        <v>Equity Total Return Swap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SWAP 005930 KS 04FEB2026 20APR2026 105.82</v>
      </c>
      <c r="M74" s="170" t="str">
        <f t="shared" si="5"/>
        <v>EQTY.IntlUS.off</v>
      </c>
      <c r="N74" s="171">
        <f t="shared" si="6"/>
        <v>189</v>
      </c>
      <c r="O74" s="171">
        <f t="shared" si="7"/>
        <v>189</v>
      </c>
    </row>
    <row r="75" spans="5:15">
      <c r="E75" s="169" t="s">
        <v>792</v>
      </c>
      <c r="F75" s="169" t="s">
        <v>1026</v>
      </c>
      <c r="G75" s="169" t="s">
        <v>208</v>
      </c>
      <c r="H75" s="169">
        <v>55</v>
      </c>
      <c r="I75" s="169">
        <v>55</v>
      </c>
      <c r="K75" s="170" t="str">
        <f t="shared" si="4"/>
        <v>Equity Total Return Swap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SWAP 005930 KS 10FEB2026 20APR2026 110.873</v>
      </c>
      <c r="M75" s="170" t="str">
        <f t="shared" si="5"/>
        <v>EQTY.IntlUS.off</v>
      </c>
      <c r="N75" s="171">
        <f t="shared" si="6"/>
        <v>55</v>
      </c>
      <c r="O75" s="171">
        <f t="shared" si="7"/>
        <v>55</v>
      </c>
    </row>
    <row r="76" spans="5:15">
      <c r="E76" s="169" t="s">
        <v>792</v>
      </c>
      <c r="F76" s="169" t="s">
        <v>1098</v>
      </c>
      <c r="G76" s="169" t="s">
        <v>208</v>
      </c>
      <c r="H76" s="169">
        <v>268</v>
      </c>
      <c r="I76" s="169">
        <v>0</v>
      </c>
      <c r="K76" s="170" t="str">
        <f t="shared" si="4"/>
        <v>Equity Total Return Swap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SWAP 005935 KS 20FEB2026 20APR2026 79.191</v>
      </c>
      <c r="M76" s="170" t="str">
        <f t="shared" si="5"/>
        <v>EQTY.IntlUS.off</v>
      </c>
      <c r="N76" s="171">
        <f t="shared" si="6"/>
        <v>268</v>
      </c>
      <c r="O76" s="171">
        <f t="shared" si="7"/>
        <v>0</v>
      </c>
    </row>
    <row r="77" spans="5:15">
      <c r="E77" s="169" t="s">
        <v>792</v>
      </c>
      <c r="F77" s="169" t="s">
        <v>1048</v>
      </c>
      <c r="G77" s="169" t="s">
        <v>208</v>
      </c>
      <c r="H77" s="169">
        <v>1090</v>
      </c>
      <c r="I77" s="169">
        <v>1090</v>
      </c>
      <c r="K77" s="170" t="str">
        <f t="shared" si="4"/>
        <v>Equity Total Return Swap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SWAP 2330 TT 11FEB2026 20APR2026 55.7697</v>
      </c>
      <c r="M77" s="170" t="str">
        <f t="shared" si="5"/>
        <v>EQTY.IntlUS.off</v>
      </c>
      <c r="N77" s="171">
        <f t="shared" si="6"/>
        <v>1090</v>
      </c>
      <c r="O77" s="171">
        <f t="shared" si="7"/>
        <v>1090</v>
      </c>
    </row>
    <row r="78" spans="5:15">
      <c r="E78" s="169" t="s">
        <v>792</v>
      </c>
      <c r="F78" s="169" t="s">
        <v>1027</v>
      </c>
      <c r="G78" s="169" t="s">
        <v>208</v>
      </c>
      <c r="H78" s="169">
        <v>17</v>
      </c>
      <c r="I78" s="169">
        <v>17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SWAP 402340 KS 09FEB2026 20APR2026 348.49</v>
      </c>
      <c r="M78" s="170" t="str">
        <f t="shared" si="5"/>
        <v>EQTY.IntlUS.off</v>
      </c>
      <c r="N78" s="171">
        <f t="shared" si="6"/>
        <v>17</v>
      </c>
      <c r="O78" s="171">
        <f t="shared" si="7"/>
        <v>17</v>
      </c>
    </row>
    <row r="79" spans="5:15">
      <c r="E79" s="169" t="s">
        <v>792</v>
      </c>
      <c r="F79" s="169" t="s">
        <v>1028</v>
      </c>
      <c r="G79" s="169" t="s">
        <v>208</v>
      </c>
      <c r="H79" s="169">
        <v>38</v>
      </c>
      <c r="I79" s="169">
        <v>38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402340 KS 09FEB2026 20APR2026 390.92</v>
      </c>
      <c r="M79" s="170" t="str">
        <f t="shared" si="5"/>
        <v>EQTY.IntlUS.off</v>
      </c>
      <c r="N79" s="171">
        <f t="shared" si="6"/>
        <v>38</v>
      </c>
      <c r="O79" s="171">
        <f t="shared" si="7"/>
        <v>38</v>
      </c>
    </row>
    <row r="80" spans="5:15">
      <c r="E80" s="169" t="s">
        <v>792</v>
      </c>
      <c r="F80" s="169" t="s">
        <v>1029</v>
      </c>
      <c r="G80" s="169" t="s">
        <v>208</v>
      </c>
      <c r="H80" s="169">
        <v>16</v>
      </c>
      <c r="I80" s="169">
        <v>16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402340 KS 10FEB2026 20APR2026 377.6597</v>
      </c>
      <c r="M80" s="170" t="str">
        <f t="shared" si="5"/>
        <v>EQTY.IntlUS.off</v>
      </c>
      <c r="N80" s="171">
        <f t="shared" si="6"/>
        <v>16</v>
      </c>
      <c r="O80" s="171">
        <f t="shared" si="7"/>
        <v>16</v>
      </c>
    </row>
    <row r="81" spans="5:15">
      <c r="E81" s="169" t="s">
        <v>792</v>
      </c>
      <c r="F81" s="169" t="s">
        <v>1049</v>
      </c>
      <c r="G81" s="169" t="s">
        <v>208</v>
      </c>
      <c r="H81" s="169">
        <v>17</v>
      </c>
      <c r="I81" s="169">
        <v>17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402340 KS 11FEB2026 20APR2026 350.7653</v>
      </c>
      <c r="M81" s="170" t="str">
        <f t="shared" si="5"/>
        <v>EQTY.IntlUS.off</v>
      </c>
      <c r="N81" s="171">
        <f t="shared" si="6"/>
        <v>17</v>
      </c>
      <c r="O81" s="171">
        <f t="shared" si="7"/>
        <v>17</v>
      </c>
    </row>
    <row r="82" spans="5:15">
      <c r="E82" s="169" t="s">
        <v>935</v>
      </c>
      <c r="F82" s="169" t="s">
        <v>936</v>
      </c>
      <c r="G82" s="169" t="s">
        <v>208</v>
      </c>
      <c r="H82" s="169">
        <v>1473572</v>
      </c>
      <c r="I82" s="169">
        <v>1473572</v>
      </c>
      <c r="K82" s="170" t="str">
        <f t="shared" si="4"/>
        <v>TBOND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T 4.000% 11/15/35</v>
      </c>
      <c r="M82" s="170" t="str">
        <f t="shared" si="5"/>
        <v>EQTY.IntlUS.off</v>
      </c>
      <c r="N82" s="171">
        <f t="shared" si="6"/>
        <v>1473572</v>
      </c>
      <c r="O82" s="171">
        <f t="shared" si="7"/>
        <v>1473572</v>
      </c>
    </row>
    <row r="83" spans="5:15">
      <c r="E83" s="169" t="s">
        <v>8</v>
      </c>
      <c r="F83" s="169" t="s">
        <v>44</v>
      </c>
      <c r="G83" s="169" t="s">
        <v>208</v>
      </c>
      <c r="H83" s="169">
        <v>0</v>
      </c>
      <c r="I83" s="169">
        <v>-204</v>
      </c>
      <c r="K83" s="170" t="str">
        <f t="shared" si="4"/>
        <v>ADR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TSM</v>
      </c>
      <c r="M83" s="170" t="str">
        <f t="shared" si="5"/>
        <v>EQTY.IntlUS.off</v>
      </c>
      <c r="N83" s="171">
        <f t="shared" si="6"/>
        <v>0</v>
      </c>
      <c r="O83" s="171">
        <f t="shared" si="7"/>
        <v>-204</v>
      </c>
    </row>
    <row r="84" spans="5:15">
      <c r="E84" s="169" t="s">
        <v>251</v>
      </c>
      <c r="F84" s="169" t="s">
        <v>820</v>
      </c>
      <c r="G84" s="169" t="s">
        <v>208</v>
      </c>
      <c r="H84" s="169">
        <v>97</v>
      </c>
      <c r="I84" s="169">
        <v>97</v>
      </c>
      <c r="K84" s="170" t="str">
        <f t="shared" si="4"/>
        <v>ADR Options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TSM US 06/18/26 C340</v>
      </c>
      <c r="M84" s="170" t="str">
        <f t="shared" si="5"/>
        <v>EQTY.IntlUS.off</v>
      </c>
      <c r="N84" s="171">
        <f t="shared" si="6"/>
        <v>97</v>
      </c>
      <c r="O84" s="171">
        <f t="shared" si="7"/>
        <v>97</v>
      </c>
    </row>
    <row r="85" spans="5:15">
      <c r="E85" s="169" t="s">
        <v>251</v>
      </c>
      <c r="F85" s="169" t="s">
        <v>821</v>
      </c>
      <c r="G85" s="169" t="s">
        <v>208</v>
      </c>
      <c r="H85" s="169">
        <v>-80</v>
      </c>
      <c r="I85" s="169">
        <v>-80</v>
      </c>
      <c r="K85" s="170" t="str">
        <f t="shared" si="4"/>
        <v>ADR Options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TSM US 06/18/26 C380</v>
      </c>
      <c r="M85" s="170" t="str">
        <f t="shared" si="5"/>
        <v>EQTY.IntlUS.off</v>
      </c>
      <c r="N85" s="171">
        <f t="shared" si="6"/>
        <v>-80</v>
      </c>
      <c r="O85" s="171">
        <f t="shared" si="7"/>
        <v>-80</v>
      </c>
    </row>
    <row r="86" spans="5:15">
      <c r="E86" s="169" t="s">
        <v>242</v>
      </c>
      <c r="F86" s="169" t="s">
        <v>970</v>
      </c>
      <c r="G86" s="169" t="s">
        <v>208</v>
      </c>
      <c r="H86" s="169">
        <v>3231</v>
      </c>
      <c r="I86" s="169">
        <v>3231</v>
      </c>
      <c r="K86" s="170" t="str">
        <f t="shared" si="4"/>
        <v>US Equity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WMB</v>
      </c>
      <c r="M86" s="170" t="str">
        <f t="shared" si="5"/>
        <v>EQTY.IntlUS.off</v>
      </c>
      <c r="N86" s="171">
        <f t="shared" si="6"/>
        <v>3231</v>
      </c>
      <c r="O86" s="171">
        <f t="shared" si="7"/>
        <v>3231</v>
      </c>
    </row>
    <row r="87" spans="5:15">
      <c r="K87" s="170" t="str">
        <f t="shared" si="4"/>
        <v/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170" t="str">
        <f t="shared" si="5"/>
        <v/>
      </c>
      <c r="N87" s="171" t="str">
        <f t="shared" si="6"/>
        <v/>
      </c>
      <c r="O87" s="171" t="str">
        <f t="shared" si="7"/>
        <v/>
      </c>
    </row>
    <row r="88" spans="5:15">
      <c r="K88" s="170" t="str">
        <f t="shared" si="4"/>
        <v/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170" t="str">
        <f t="shared" si="5"/>
        <v/>
      </c>
      <c r="N88" s="171" t="str">
        <f t="shared" si="6"/>
        <v/>
      </c>
      <c r="O88" s="171" t="str">
        <f t="shared" si="7"/>
        <v/>
      </c>
    </row>
    <row r="89" spans="5:15">
      <c r="K89" s="170" t="str">
        <f t="shared" si="4"/>
        <v/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170" t="str">
        <f t="shared" si="5"/>
        <v/>
      </c>
      <c r="N89" s="171" t="str">
        <f t="shared" si="6"/>
        <v/>
      </c>
      <c r="O89" s="171" t="str">
        <f t="shared" si="7"/>
        <v/>
      </c>
    </row>
    <row r="90" spans="5:15">
      <c r="K90" s="170" t="str">
        <f t="shared" si="4"/>
        <v/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0" t="str">
        <f t="shared" si="5"/>
        <v/>
      </c>
      <c r="N90" s="171" t="str">
        <f t="shared" si="6"/>
        <v/>
      </c>
      <c r="O90" s="171" t="str">
        <f t="shared" si="7"/>
        <v/>
      </c>
    </row>
    <row r="91" spans="5:15">
      <c r="K91" s="170" t="str">
        <f t="shared" si="4"/>
        <v/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909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909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551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551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0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0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46072</v>
      </c>
      <c r="C2" s="166">
        <v>0</v>
      </c>
    </row>
    <row r="3" spans="1:7">
      <c r="A3" s="164" t="s">
        <v>266</v>
      </c>
      <c r="B3" s="190">
        <f ca="1">B2-1</f>
        <v>46071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Daniel\BooksOverviewResume18Feb2026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Daniel\BooksOverviewResume18Feb2026_zenith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 ht="15.75" thickBot="1">
      <c r="F39" s="21" t="s">
        <v>551</v>
      </c>
      <c r="G39" s="21" t="s">
        <v>2</v>
      </c>
    </row>
    <row r="40" spans="6:7" ht="15.75" thickBot="1">
      <c r="F40" t="s">
        <v>798</v>
      </c>
      <c r="G40" s="451" t="s">
        <v>78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897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5">
        <f>C45/C41*D41</f>
        <v>13303769.401330376</v>
      </c>
    </row>
    <row r="50" spans="1:10">
      <c r="I50" s="92" cm="1">
        <f t="array" ref="I50">_xll.BDP("cny Curncy","LAST_PRICE")</f>
        <v>6.9047999999999998</v>
      </c>
    </row>
    <row r="51" spans="1:10">
      <c r="F51" s="79" t="s">
        <v>891</v>
      </c>
      <c r="G51" s="79" t="s">
        <v>892</v>
      </c>
      <c r="H51" s="79" t="str">
        <f>F51</f>
        <v>YEST</v>
      </c>
      <c r="I51" s="79" t="str">
        <f>G51</f>
        <v>TODAY</v>
      </c>
      <c r="J51" t="s">
        <v>872</v>
      </c>
    </row>
    <row r="52" spans="1:10">
      <c r="A52" s="357" t="s">
        <v>595</v>
      </c>
      <c r="B52" s="358">
        <v>46101</v>
      </c>
      <c r="C52" s="357">
        <v>276451</v>
      </c>
      <c r="D52" s="357" t="s">
        <v>597</v>
      </c>
      <c r="E52" s="357" t="s">
        <v>808</v>
      </c>
      <c r="F52" s="363">
        <f>Precificação!N2</f>
        <v>8.1</v>
      </c>
      <c r="G52" s="205">
        <v>10.45</v>
      </c>
      <c r="H52" s="196">
        <f>$C52*F52/$I$50</f>
        <v>324303.83211678837</v>
      </c>
      <c r="I52" s="196">
        <f>$C52*G52/$I$50</f>
        <v>418391.98094079481</v>
      </c>
      <c r="J52" s="196">
        <f>I52-H52</f>
        <v>94088.148824006435</v>
      </c>
    </row>
    <row r="53" spans="1:10">
      <c r="A53" s="357" t="s">
        <v>595</v>
      </c>
      <c r="B53" s="358">
        <v>46101</v>
      </c>
      <c r="C53" s="357">
        <v>276451</v>
      </c>
      <c r="D53" s="357" t="s">
        <v>597</v>
      </c>
      <c r="E53" s="357" t="s">
        <v>809</v>
      </c>
      <c r="F53" s="363">
        <f>Precificação!N3</f>
        <v>0.7</v>
      </c>
      <c r="G53" s="205">
        <v>2.35</v>
      </c>
      <c r="H53" s="196">
        <f>$C53*F53/$I$50</f>
        <v>28026.257096512571</v>
      </c>
      <c r="I53" s="196">
        <f>$C53*G53/$I$50</f>
        <v>94088.148824006494</v>
      </c>
      <c r="J53" s="196">
        <f>I53-H53</f>
        <v>66061.89172749393</v>
      </c>
    </row>
    <row r="54" spans="1:10">
      <c r="E54" s="205">
        <f>E53-E52</f>
        <v>15</v>
      </c>
      <c r="F54" s="205">
        <f>F52-F53</f>
        <v>7.3999999999999995</v>
      </c>
      <c r="G54" s="205">
        <f>G52-G53</f>
        <v>8.1</v>
      </c>
      <c r="H54" s="333">
        <f>H52-H53</f>
        <v>296277.57502027578</v>
      </c>
      <c r="I54" s="333">
        <f>I52-I53</f>
        <v>324303.83211678831</v>
      </c>
      <c r="J54" s="333">
        <f>J52-J53</f>
        <v>28026.257096512505</v>
      </c>
    </row>
    <row r="55" spans="1:10">
      <c r="I55" t="s">
        <v>873</v>
      </c>
      <c r="J55" s="205">
        <f>J54/'Master P&amp;L'!AD7*10000</f>
        <v>0.11102319804921783</v>
      </c>
    </row>
    <row r="58" spans="1:10">
      <c r="B58" s="5"/>
      <c r="D58" s="5"/>
    </row>
    <row r="61" spans="1:10">
      <c r="B61" t="s">
        <v>898</v>
      </c>
    </row>
    <row r="62" spans="1:10">
      <c r="C62" t="s">
        <v>152</v>
      </c>
      <c r="D62" t="s">
        <v>153</v>
      </c>
    </row>
    <row r="63" spans="1:10">
      <c r="B63" t="s">
        <v>900</v>
      </c>
      <c r="C63">
        <v>99.21</v>
      </c>
      <c r="D63">
        <v>99.06</v>
      </c>
    </row>
    <row r="64" spans="1:10">
      <c r="B64" t="s">
        <v>902</v>
      </c>
      <c r="C64" s="42">
        <v>0.05</v>
      </c>
      <c r="D64" s="42">
        <v>4.9799999999999997E-2</v>
      </c>
    </row>
    <row r="65" spans="2:6">
      <c r="B65" t="s">
        <v>901</v>
      </c>
      <c r="C65" s="42">
        <v>4.2299999999999997E-2</v>
      </c>
      <c r="D65" s="42">
        <v>4.2299999999999997E-2</v>
      </c>
    </row>
    <row r="66" spans="2:6">
      <c r="B66" t="s">
        <v>899</v>
      </c>
      <c r="C66">
        <v>77</v>
      </c>
      <c r="D66">
        <v>75</v>
      </c>
    </row>
    <row r="67" spans="2:6">
      <c r="B67" t="s">
        <v>908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903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873</v>
      </c>
    </row>
    <row r="72" spans="2:6">
      <c r="B72" t="s">
        <v>899</v>
      </c>
      <c r="C72" s="196">
        <f>(D72-$C$66)*$C$71</f>
        <v>-53410</v>
      </c>
      <c r="D72">
        <v>70</v>
      </c>
      <c r="E72" t="s">
        <v>906</v>
      </c>
      <c r="F72" s="205">
        <f>C72/'Master P&amp;L'!$AD$7*10000</f>
        <v>-0.21157834195942643</v>
      </c>
    </row>
    <row r="73" spans="2:6">
      <c r="B73" t="s">
        <v>899</v>
      </c>
      <c r="C73" s="196">
        <f>(D73-$C$66)*$C$71</f>
        <v>61040</v>
      </c>
      <c r="D73">
        <v>85</v>
      </c>
      <c r="E73" t="s">
        <v>907</v>
      </c>
      <c r="F73" s="205">
        <f>C73/'Master P&amp;L'!$AD$7*10000</f>
        <v>0.24180381938220166</v>
      </c>
    </row>
    <row r="76" spans="2:6">
      <c r="B76" t="s">
        <v>904</v>
      </c>
    </row>
    <row r="77" spans="2:6">
      <c r="B77" t="s">
        <v>905</v>
      </c>
    </row>
  </sheetData>
  <conditionalFormatting sqref="F52:F53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IF(R2="","",IF(LEN(R2)&gt;9,SUMIFS(Options!$AZ$3:$AZ$28,Options!$B$3:$B$28,'Check result'!R2),SUMIFS('Master P&amp;L'!$AE$11:$AE$88,'Master P&amp;L'!$B$11:$B$88,'Check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IF(R3="","",IF(LEN(R3)&gt;9,SUMIFS(Options!$AZ$3:$AZ$28,Options!$B$3:$B$28,'Check result'!R3),SUMIFS('Master P&amp;L'!$AE$11:$AE$88,'Master P&amp;L'!$B$11:$B$88,'Check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IF(R4="","",IF(LEN(R4)&gt;9,SUMIFS(Options!$AZ$3:$AZ$28,Options!$B$3:$B$28,'Check result'!R4),SUMIFS('Master P&amp;L'!$AE$11:$AE$88,'Master P&amp;L'!$B$11:$B$88,'Check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IF(R5="","",IF(LEN(R5)&gt;9,SUMIFS(Options!$AZ$3:$AZ$28,Options!$B$3:$B$28,'Check result'!R5),SUMIFS('Master P&amp;L'!$AE$11:$AE$88,'Master P&amp;L'!$B$11:$B$88,'Check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IF(R6="","",IF(LEN(R6)&gt;9,SUMIFS(Options!$AZ$3:$AZ$28,Options!$B$3:$B$28,'Check result'!R6),SUMIFS('Master P&amp;L'!$AE$11:$AE$88,'Master P&amp;L'!$B$11:$B$88,'Check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IF(R7="","",IF(LEN(R7)&gt;9,SUMIFS(Options!$AZ$3:$AZ$28,Options!$B$3:$B$28,'Check result'!R7),SUMIFS('Master P&amp;L'!$AE$11:$AE$88,'Master P&amp;L'!$B$11:$B$88,'Check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IF(R8="","",IF(LEN(R8)&gt;9,SUMIFS(Options!$AZ$3:$AZ$28,Options!$B$3:$B$28,'Check result'!R8),SUMIFS('Master P&amp;L'!$AE$11:$AE$88,'Master P&amp;L'!$B$11:$B$88,'Check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IF(R9="","",IF(LEN(R9)&gt;9,SUMIFS(Options!$AZ$3:$AZ$28,Options!$B$3:$B$28,'Check result'!R9),SUMIFS('Master P&amp;L'!$AE$11:$AE$88,'Master P&amp;L'!$B$11:$B$88,'Check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IF(R10="","",IF(LEN(R10)&gt;9,SUMIFS(Options!$AZ$3:$AZ$28,Options!$B$3:$B$28,'Check result'!R10),SUMIFS('Master P&amp;L'!$AE$11:$AE$88,'Master P&amp;L'!$B$11:$B$88,'Check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IF(R11="","",IF(LEN(R11)&gt;9,SUMIFS(Options!$AZ$3:$AZ$28,Options!$B$3:$B$28,'Check result'!R11),SUMIFS('Master P&amp;L'!$AE$11:$AE$88,'Master P&amp;L'!$B$11:$B$88,'Check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IF(R12="","",IF(LEN(R12)&gt;9,SUMIFS(Options!$AZ$3:$AZ$28,Options!$B$3:$B$28,'Check result'!R12),SUMIFS('Master P&amp;L'!$AE$11:$AE$88,'Master P&amp;L'!$B$11:$B$88,'Check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IF(R13="","",IF(LEN(R13)&gt;9,SUMIFS(Options!$AZ$3:$AZ$28,Options!$B$3:$B$28,'Check result'!R13),SUMIFS('Master P&amp;L'!$AE$11:$AE$88,'Master P&amp;L'!$B$11:$B$88,'Check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IF(R14="","",IF(LEN(R14)&gt;9,SUMIFS(Options!$AZ$3:$AZ$28,Options!$B$3:$B$28,'Check result'!R14),SUMIFS('Master P&amp;L'!$AE$11:$AE$88,'Master P&amp;L'!$B$11:$B$88,'Check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IF(R15="","",IF(LEN(R15)&gt;9,SUMIFS(Options!$AZ$3:$AZ$28,Options!$B$3:$B$28,'Check result'!R15),SUMIFS('Master P&amp;L'!$AE$11:$AE$88,'Master P&amp;L'!$B$11:$B$88,'Check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IF(R16="","",IF(LEN(R16)&gt;9,SUMIFS(Options!$AZ$3:$AZ$28,Options!$B$3:$B$28,'Check result'!R16),SUMIFS('Master P&amp;L'!$AE$11:$AE$88,'Master P&amp;L'!$B$11:$B$88,'Check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IF(R17="","",IF(LEN(R17)&gt;9,SUMIFS(Options!$AZ$3:$AZ$28,Options!$B$3:$B$28,'Check result'!R17),SUMIFS('Master P&amp;L'!$AE$11:$AE$88,'Master P&amp;L'!$B$11:$B$88,'Check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IF(R18="","",IF(LEN(R18)&gt;9,SUMIFS(Options!$AZ$3:$AZ$28,Options!$B$3:$B$28,'Check result'!R18),SUMIFS('Master P&amp;L'!$AE$11:$AE$88,'Master P&amp;L'!$B$11:$B$88,'Check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IF(R19="","",IF(LEN(R19)&gt;9,SUMIFS(Options!$AZ$3:$AZ$28,Options!$B$3:$B$28,'Check result'!R19),SUMIFS('Master P&amp;L'!$AE$11:$AE$88,'Master P&amp;L'!$B$11:$B$88,'Check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IF(R20="","",IF(LEN(R20)&gt;9,SUMIFS(Options!$AZ$3:$AZ$28,Options!$B$3:$B$28,'Check result'!R20),SUMIFS('Master P&amp;L'!$AE$11:$AE$88,'Master P&amp;L'!$B$11:$B$88,'Check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IF(R21="","",IF(LEN(R21)&gt;9,SUMIFS(Options!$AZ$3:$AZ$28,Options!$B$3:$B$28,'Check result'!R21),SUMIFS('Master P&amp;L'!$AE$11:$AE$88,'Master P&amp;L'!$B$11:$B$88,'Check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IF(R22="","",IF(LEN(R22)&gt;9,SUMIFS(Options!$AZ$3:$AZ$28,Options!$B$3:$B$28,'Check result'!R22),SUMIFS('Master P&amp;L'!$AE$11:$AE$88,'Master P&amp;L'!$B$11:$B$88,'Check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IF(R23="","",IF(LEN(R23)&gt;9,SUMIFS(Options!$AZ$3:$AZ$28,Options!$B$3:$B$28,'Check result'!R23),SUMIFS('Master P&amp;L'!$AE$11:$AE$88,'Master P&amp;L'!$B$11:$B$88,'Check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IF(R24="","",IF(LEN(R24)&gt;9,SUMIFS(Options!$AZ$3:$AZ$28,Options!$B$3:$B$28,'Check result'!R24),SUMIFS('Master P&amp;L'!$AE$11:$AE$88,'Master P&amp;L'!$B$11:$B$88,'Check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IF(R25="","",IF(LEN(R25)&gt;9,SUMIFS(Options!$AZ$3:$AZ$28,Options!$B$3:$B$28,'Check result'!R25),SUMIFS('Master P&amp;L'!$AE$11:$AE$88,'Master P&amp;L'!$B$11:$B$88,'Check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IF(R26="","",IF(LEN(R26)&gt;9,SUMIFS(Options!$AZ$3:$AZ$28,Options!$B$3:$B$28,'Check result'!R26),SUMIFS('Master P&amp;L'!$AE$11:$AE$88,'Master P&amp;L'!$B$11:$B$88,'Check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IF(R27="","",IF(LEN(R27)&gt;9,SUMIFS(Options!$AZ$3:$AZ$28,Options!$B$3:$B$28,'Check result'!R27),SUMIFS('Master P&amp;L'!$AE$11:$AE$88,'Master P&amp;L'!$B$11:$B$88,'Check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IF(R28="","",IF(LEN(R28)&gt;9,SUMIFS(Options!$AZ$3:$AZ$28,Options!$B$3:$B$28,'Check result'!R28),SUMIFS('Master P&amp;L'!$AE$11:$AE$88,'Master P&amp;L'!$B$11:$B$88,'Check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IF(R29="","",IF(LEN(R29)&gt;9,SUMIFS(Options!$AZ$3:$AZ$28,Options!$B$3:$B$28,'Check result'!R29),SUMIFS('Master P&amp;L'!$AE$11:$AE$88,'Master P&amp;L'!$B$11:$B$88,'Check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IF(R30="","",IF(LEN(R30)&gt;9,SUMIFS(Options!$AZ$3:$AZ$28,Options!$B$3:$B$28,'Check result'!R30),SUMIFS('Master P&amp;L'!$AE$11:$AE$88,'Master P&amp;L'!$B$11:$B$88,'Check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IF(R31="","",IF(LEN(R31)&gt;9,SUMIFS(Options!$AZ$3:$AZ$28,Options!$B$3:$B$28,'Check result'!R31),SUMIFS('Master P&amp;L'!$AE$11:$AE$88,'Master P&amp;L'!$B$11:$B$88,'Check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IF(R32="","",IF(LEN(R32)&gt;9,SUMIFS(Options!$AZ$3:$AZ$28,Options!$B$3:$B$28,'Check result'!R32),SUMIFS('Master P&amp;L'!$AE$11:$AE$88,'Master P&amp;L'!$B$11:$B$88,'Check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IF(R33="","",IF(LEN(R33)&gt;9,SUMIFS(Options!$AZ$3:$AZ$28,Options!$B$3:$B$28,'Check result'!R33),SUMIFS('Master P&amp;L'!$AE$11:$AE$88,'Master P&amp;L'!$B$11:$B$88,'Check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IF(R34="","",IF(LEN(R34)&gt;9,SUMIFS(Options!$AZ$3:$AZ$28,Options!$B$3:$B$28,'Check result'!R34),SUMIFS('Master P&amp;L'!$AE$11:$AE$88,'Master P&amp;L'!$B$11:$B$88,'Check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IF(R35="","",IF(LEN(R35)&gt;9,SUMIFS(Options!$AZ$3:$AZ$28,Options!$B$3:$B$28,'Check result'!R35),SUMIFS('Master P&amp;L'!$AE$11:$AE$88,'Master P&amp;L'!$B$11:$B$88,'Check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IF(R36="","",IF(LEN(R36)&gt;9,SUMIFS(Options!$AZ$3:$AZ$28,Options!$B$3:$B$28,'Check result'!R36),SUMIFS('Master P&amp;L'!$AE$11:$AE$88,'Master P&amp;L'!$B$11:$B$88,'Check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IF(R37="","",IF(LEN(R37)&gt;9,SUMIFS(Options!$AZ$3:$AZ$28,Options!$B$3:$B$28,'Check result'!R37),SUMIFS('Master P&amp;L'!$AE$11:$AE$88,'Master P&amp;L'!$B$11:$B$88,'Check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IF(R38="","",IF(LEN(R38)&gt;9,SUMIFS(Options!$AZ$3:$AZ$28,Options!$B$3:$B$28,'Check result'!R38),SUMIFS('Master P&amp;L'!$AE$11:$AE$88,'Master P&amp;L'!$B$11:$B$88,'Check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IF(R39="","",IF(LEN(R39)&gt;9,SUMIFS(Options!$AZ$3:$AZ$28,Options!$B$3:$B$28,'Check result'!R39),SUMIFS('Master P&amp;L'!$AE$11:$AE$88,'Master P&amp;L'!$B$11:$B$88,'Check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IF(R40="","",IF(LEN(R40)&gt;9,SUMIFS(Options!$AZ$3:$AZ$28,Options!$B$3:$B$28,'Check result'!R40),SUMIFS('Master P&amp;L'!$AE$11:$AE$88,'Master P&amp;L'!$B$11:$B$88,'Check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IF(R41="","",IF(LEN(R41)&gt;9,SUMIFS(Options!$AZ$3:$AZ$28,Options!$B$3:$B$28,'Check result'!R41),SUMIFS('Master P&amp;L'!$AE$11:$AE$88,'Master P&amp;L'!$B$11:$B$88,'Check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IF(R42="","",IF(LEN(R42)&gt;9,SUMIFS(Options!$AZ$3:$AZ$28,Options!$B$3:$B$28,'Check result'!R42),SUMIFS('Master P&amp;L'!$AE$11:$AE$88,'Master P&amp;L'!$B$11:$B$88,'Check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IF(R43="","",IF(LEN(R43)&gt;9,SUMIFS(Options!$AZ$3:$AZ$28,Options!$B$3:$B$28,'Check result'!R43),SUMIFS('Master P&amp;L'!$AE$11:$AE$88,'Master P&amp;L'!$B$11:$B$88,'Check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IF(R44="","",IF(LEN(R44)&gt;9,SUMIFS(Options!$AZ$3:$AZ$28,Options!$B$3:$B$28,'Check result'!R44),SUMIFS('Master P&amp;L'!$AE$11:$AE$88,'Master P&amp;L'!$B$11:$B$88,'Check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IF(R45="","",IF(LEN(R45)&gt;9,SUMIFS(Options!$AZ$3:$AZ$28,Options!$B$3:$B$28,'Check result'!R45),SUMIFS('Master P&amp;L'!$AE$11:$AE$88,'Master P&amp;L'!$B$11:$B$88,'Check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IF(R46="","",IF(LEN(R46)&gt;9,SUMIFS(Options!$AZ$3:$AZ$28,Options!$B$3:$B$28,'Check result'!R46),SUMIFS('Master P&amp;L'!$AE$11:$AE$88,'Master P&amp;L'!$B$11:$B$88,'Check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IF(R47="","",IF(LEN(R47)&gt;9,SUMIFS(Options!$AZ$3:$AZ$28,Options!$B$3:$B$28,'Check result'!R47),SUMIFS('Master P&amp;L'!$AE$11:$AE$88,'Master P&amp;L'!$B$11:$B$88,'Check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IF(R48="","",IF(LEN(R48)&gt;9,SUMIFS(Options!$AZ$3:$AZ$28,Options!$B$3:$B$28,'Check result'!R48),SUMIFS('Master P&amp;L'!$AE$11:$AE$88,'Master P&amp;L'!$B$11:$B$88,'Check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IF(R49="","",IF(LEN(R49)&gt;9,SUMIFS(Options!$AZ$3:$AZ$28,Options!$B$3:$B$28,'Check result'!R49),SUMIFS('Master P&amp;L'!$AE$11:$AE$88,'Master P&amp;L'!$B$11:$B$88,'Check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IF(R50="","",IF(LEN(R50)&gt;9,SUMIFS(Options!$AZ$3:$AZ$28,Options!$B$3:$B$28,'Check result'!R50),SUMIFS('Master P&amp;L'!$AE$11:$AE$88,'Master P&amp;L'!$B$11:$B$88,'Check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IF(R51="","",IF(LEN(R51)&gt;9,SUMIFS(Options!$AZ$3:$AZ$28,Options!$B$3:$B$28,'Check result'!R51),SUMIFS('Master P&amp;L'!$AE$11:$AE$88,'Master P&amp;L'!$B$11:$B$88,'Check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IF(R52="","",IF(LEN(R52)&gt;9,SUMIFS(Options!$AZ$3:$AZ$28,Options!$B$3:$B$28,'Check result'!R52),SUMIFS('Master P&amp;L'!$AE$11:$AE$88,'Master P&amp;L'!$B$11:$B$88,'Check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IF(R53="","",IF(LEN(R53)&gt;9,SUMIFS(Options!$AZ$3:$AZ$28,Options!$B$3:$B$28,'Check result'!R53),SUMIFS('Master P&amp;L'!$AE$11:$AE$88,'Master P&amp;L'!$B$11:$B$88,'Check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IF(R54="","",IF(LEN(R54)&gt;9,SUMIFS(Options!$AZ$3:$AZ$28,Options!$B$3:$B$28,'Check result'!R54),SUMIFS('Master P&amp;L'!$AE$11:$AE$88,'Master P&amp;L'!$B$11:$B$88,'Check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IF(R55="","",IF(LEN(R55)&gt;9,SUMIFS(Options!$AZ$3:$AZ$28,Options!$B$3:$B$28,'Check result'!R55),SUMIFS('Master P&amp;L'!$AE$11:$AE$88,'Master P&amp;L'!$B$11:$B$88,'Check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IF(R56="","",IF(LEN(R56)&gt;9,SUMIFS(Options!$AZ$3:$AZ$28,Options!$B$3:$B$28,'Check result'!R56),SUMIFS('Master P&amp;L'!$AE$11:$AE$88,'Master P&amp;L'!$B$11:$B$88,'Check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IF(R57="","",IF(LEN(R57)&gt;9,SUMIFS(Options!$AZ$3:$AZ$28,Options!$B$3:$B$28,'Check result'!R57),SUMIFS('Master P&amp;L'!$AE$11:$AE$88,'Master P&amp;L'!$B$11:$B$88,'Check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IF(R58="","",IF(LEN(R58)&gt;9,SUMIFS(Options!$AZ$3:$AZ$28,Options!$B$3:$B$28,'Check result'!R58),SUMIFS('Master P&amp;L'!$AE$11:$AE$88,'Master P&amp;L'!$B$11:$B$88,'Check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IF(R59="","",IF(LEN(R59)&gt;9,SUMIFS(Options!$AZ$3:$AZ$28,Options!$B$3:$B$28,'Check result'!R59),SUMIFS('Master P&amp;L'!$AE$11:$AE$88,'Master P&amp;L'!$B$11:$B$88,'Check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IF(R60="","",IF(LEN(R60)&gt;9,SUMIFS(Options!$AZ$3:$AZ$28,Options!$B$3:$B$28,'Check result'!R60),SUMIFS('Master P&amp;L'!$AE$11:$AE$88,'Master P&amp;L'!$B$11:$B$88,'Check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IF(R61="","",IF(LEN(R61)&gt;9,SUMIFS(Options!$AZ$3:$AZ$28,Options!$B$3:$B$28,'Check result'!R61),SUMIFS('Master P&amp;L'!$AE$11:$AE$88,'Master P&amp;L'!$B$11:$B$88,'Check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IF(R62="","",IF(LEN(R62)&gt;9,SUMIFS(Options!$AZ$3:$AZ$28,Options!$B$3:$B$28,'Check result'!R62),SUMIFS('Master P&amp;L'!$AE$11:$AE$88,'Master P&amp;L'!$B$11:$B$88,'Check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IF(R63="","",IF(LEN(R63)&gt;9,SUMIFS(Options!$AZ$3:$AZ$28,Options!$B$3:$B$28,'Check result'!R63),SUMIFS('Master P&amp;L'!$AE$11:$AE$88,'Master P&amp;L'!$B$11:$B$88,'Check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IF(R64="","",IF(LEN(R64)&gt;9,SUMIFS(Options!$AZ$3:$AZ$28,Options!$B$3:$B$28,'Check result'!R64),SUMIFS('Master P&amp;L'!$AE$11:$AE$88,'Master P&amp;L'!$B$11:$B$88,'Check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IF(R65="","",IF(LEN(R65)&gt;9,SUMIFS(Options!$AZ$3:$AZ$28,Options!$B$3:$B$28,'Check result'!R65),SUMIFS('Master P&amp;L'!$AE$11:$AE$88,'Master P&amp;L'!$B$11:$B$88,'Check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IF(R66="","",IF(LEN(R66)&gt;9,SUMIFS(Options!$AZ$3:$AZ$28,Options!$B$3:$B$28,'Check result'!R66),SUMIFS('Master P&amp;L'!$AE$11:$AE$88,'Master P&amp;L'!$B$11:$B$88,'Check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IF(R67="","",IF(LEN(R67)&gt;9,SUMIFS(Options!$AZ$3:$AZ$28,Options!$B$3:$B$28,'Check result'!R67),SUMIFS('Master P&amp;L'!$AE$11:$AE$88,'Master P&amp;L'!$B$11:$B$88,'Check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IF(R68="","",IF(LEN(R68)&gt;9,SUMIFS(Options!$AZ$3:$AZ$28,Options!$B$3:$B$28,'Check result'!R68),SUMIFS('Master P&amp;L'!$AE$11:$AE$88,'Master P&amp;L'!$B$11:$B$88,'Check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IF(R69="","",IF(LEN(R69)&gt;9,SUMIFS(Options!$AZ$3:$AZ$28,Options!$B$3:$B$28,'Check result'!R69),SUMIFS('Master P&amp;L'!$AE$11:$AE$88,'Master P&amp;L'!$B$11:$B$88,'Check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IF(R70="","",IF(LEN(R70)&gt;9,SUMIFS(Options!$AZ$3:$AZ$28,Options!$B$3:$B$28,'Check result'!R70),SUMIFS('Master P&amp;L'!$AE$11:$AE$88,'Master P&amp;L'!$B$11:$B$88,'Check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IF(R71="","",IF(LEN(R71)&gt;9,SUMIFS(Options!$AZ$3:$AZ$28,Options!$B$3:$B$28,'Check result'!R71),SUMIFS('Master P&amp;L'!$AE$11:$AE$88,'Master P&amp;L'!$B$11:$B$88,'Check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IF(R72="","",IF(LEN(R72)&gt;9,SUMIFS(Options!$AZ$3:$AZ$28,Options!$B$3:$B$28,'Check result'!R72),SUMIFS('Master P&amp;L'!$AE$11:$AE$88,'Master P&amp;L'!$B$11:$B$88,'Check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IF(R73="","",IF(LEN(R73)&gt;9,SUMIFS(Options!$AZ$3:$AZ$28,Options!$B$3:$B$28,'Check result'!R73),SUMIFS('Master P&amp;L'!$AE$11:$AE$88,'Master P&amp;L'!$B$11:$B$88,'Check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IF(R74="","",IF(LEN(R74)&gt;9,SUMIFS(Options!$AZ$3:$AZ$28,Options!$B$3:$B$28,'Check result'!R74),SUMIFS('Master P&amp;L'!$AE$11:$AE$88,'Master P&amp;L'!$B$11:$B$88,'Check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IF(R75="","",IF(LEN(R75)&gt;9,SUMIFS(Options!$AZ$3:$AZ$28,Options!$B$3:$B$28,'Check result'!R75),SUMIFS('Master P&amp;L'!$AE$11:$AE$88,'Master P&amp;L'!$B$11:$B$88,'Check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IF(R76="","",IF(LEN(R76)&gt;9,SUMIFS(Options!$AZ$3:$AZ$28,Options!$B$3:$B$28,'Check result'!R76),SUMIFS('Master P&amp;L'!$AE$11:$AE$88,'Master P&amp;L'!$B$11:$B$88,'Check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IF(R77="","",IF(LEN(R77)&gt;9,SUMIFS(Options!$AZ$3:$AZ$28,Options!$B$3:$B$28,'Check result'!R77),SUMIFS('Master P&amp;L'!$AE$11:$AE$88,'Master P&amp;L'!$B$11:$B$88,'Check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IF(R78="","",IF(LEN(R78)&gt;9,SUMIFS(Options!$AZ$3:$AZ$28,Options!$B$3:$B$28,'Check result'!R78),SUMIFS('Master P&amp;L'!$AE$11:$AE$88,'Master P&amp;L'!$B$11:$B$88,'Check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IF(R79="","",IF(LEN(R79)&gt;9,SUMIFS(Options!$AZ$3:$AZ$28,Options!$B$3:$B$28,'Check result'!R79),SUMIFS('Master P&amp;L'!$AE$11:$AE$88,'Master P&amp;L'!$B$11:$B$88,'Check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IF(R80="","",IF(LEN(R80)&gt;9,SUMIFS(Options!$AZ$3:$AZ$28,Options!$B$3:$B$28,'Check result'!R80),SUMIFS('Master P&amp;L'!$AE$11:$AE$88,'Master P&amp;L'!$B$11:$B$88,'Check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IF(R81="","",IF(LEN(R81)&gt;9,SUMIFS(Options!$AZ$3:$AZ$28,Options!$B$3:$B$28,'Check result'!R81),SUMIFS('Master P&amp;L'!$AE$11:$AE$88,'Master P&amp;L'!$B$11:$B$88,'Check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IF(R82="","",IF(LEN(R82)&gt;9,SUMIFS(Options!$AZ$3:$AZ$28,Options!$B$3:$B$28,'Check result'!R82),SUMIFS('Master P&amp;L'!$AE$11:$AE$88,'Master P&amp;L'!$B$11:$B$88,'Check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IF(R83="","",IF(LEN(R83)&gt;9,SUMIFS(Options!$AZ$3:$AZ$28,Options!$B$3:$B$28,'Check result'!R83),SUMIFS('Master P&amp;L'!$AE$11:$AE$88,'Master P&amp;L'!$B$11:$B$88,'Check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IF(R84="","",IF(LEN(R84)&gt;9,SUMIFS(Options!$AZ$3:$AZ$28,Options!$B$3:$B$28,'Check result'!R84),SUMIFS('Master P&amp;L'!$AE$11:$AE$88,'Master P&amp;L'!$B$11:$B$88,'Check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IF(R85="","",IF(LEN(R85)&gt;9,SUMIFS(Options!$AZ$3:$AZ$28,Options!$B$3:$B$28,'Check result'!R85),SUMIFS('Master P&amp;L'!$AE$11:$AE$88,'Master P&amp;L'!$B$11:$B$88,'Check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IF(R86="","",IF(LEN(R86)&gt;9,SUMIFS(Options!$AZ$3:$AZ$28,Options!$B$3:$B$28,'Check result'!R86),SUMIFS('Master P&amp;L'!$AE$11:$AE$88,'Master P&amp;L'!$B$11:$B$88,'Check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IF(R87="","",IF(LEN(R87)&gt;9,SUMIFS(Options!$AZ$3:$AZ$28,Options!$B$3:$B$28,'Check result'!R87),SUMIFS('Master P&amp;L'!$AE$11:$AE$88,'Master P&amp;L'!$B$11:$B$88,'Check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IF(R88="","",IF(LEN(R88)&gt;9,SUMIFS(Options!$AZ$3:$AZ$28,Options!$B$3:$B$28,'Check result'!R88),SUMIFS('Master P&amp;L'!$AE$11:$AE$88,'Master P&amp;L'!$B$11:$B$88,'Check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IF(R89="","",IF(LEN(R89)&gt;9,SUMIFS(Options!$AZ$3:$AZ$28,Options!$B$3:$B$28,'Check result'!R89),SUMIFS('Master P&amp;L'!$AE$11:$AE$88,'Master P&amp;L'!$B$11:$B$88,'Check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IF(R90="","",IF(LEN(R90)&gt;9,SUMIFS(Options!$AZ$3:$AZ$28,Options!$B$3:$B$28,'Check result'!R90),SUMIFS('Master P&amp;L'!$AE$11:$AE$88,'Master P&amp;L'!$B$11:$B$88,'Check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IF(R91="","",IF(LEN(R91)&gt;9,SUMIFS(Options!$AZ$3:$AZ$28,Options!$B$3:$B$28,'Check result'!R91),SUMIFS('Master P&amp;L'!$AE$11:$AE$88,'Master P&amp;L'!$B$11:$B$88,'Check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IF(R92="","",IF(LEN(R92)&gt;9,SUMIFS(Options!$AZ$3:$AZ$28,Options!$B$3:$B$28,'Check result'!R92),SUMIFS('Master P&amp;L'!$AE$11:$AE$88,'Master P&amp;L'!$B$11:$B$88,'Check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IF(R93="","",IF(LEN(R93)&gt;9,SUMIFS(Options!$AZ$3:$AZ$28,Options!$B$3:$B$28,'Check result'!R93),SUMIFS('Master P&amp;L'!$AE$11:$AE$88,'Master P&amp;L'!$B$11:$B$88,'Check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IF(R94="","",IF(LEN(R94)&gt;9,SUMIFS(Options!$AZ$3:$AZ$28,Options!$B$3:$B$28,'Check result'!R94),SUMIFS('Master P&amp;L'!$AE$11:$AE$88,'Master P&amp;L'!$B$11:$B$88,'Check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IF(R95="","",IF(LEN(R95)&gt;9,SUMIFS(Options!$AZ$3:$AZ$28,Options!$B$3:$B$28,'Check result'!R95),SUMIFS('Master P&amp;L'!$AE$11:$AE$88,'Master P&amp;L'!$B$11:$B$88,'Check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IF(R96="","",IF(LEN(R96)&gt;9,SUMIFS(Options!$AZ$3:$AZ$28,Options!$B$3:$B$28,'Check result'!R96),SUMIFS('Master P&amp;L'!$AE$11:$AE$88,'Master P&amp;L'!$B$11:$B$88,'Check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IF(R97="","",IF(LEN(R97)&gt;9,SUMIFS(Options!$AZ$3:$AZ$28,Options!$B$3:$B$28,'Check result'!R97),SUMIFS('Master P&amp;L'!$AE$11:$AE$88,'Master P&amp;L'!$B$11:$B$88,'Check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IF(R98="","",IF(LEN(R98)&gt;9,SUMIFS(Options!$AZ$3:$AZ$28,Options!$B$3:$B$28,'Check result'!R98),SUMIFS('Master P&amp;L'!$AE$11:$AE$88,'Master P&amp;L'!$B$11:$B$88,'Check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IF(R99="","",IF(LEN(R99)&gt;9,SUMIFS(Options!$AZ$3:$AZ$28,Options!$B$3:$B$28,'Check result'!R99),SUMIFS('Master P&amp;L'!$AE$11:$AE$88,'Master P&amp;L'!$B$11:$B$88,'Check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IF(R100="","",IF(LEN(R100)&gt;9,SUMIFS(Options!$AZ$3:$AZ$28,Options!$B$3:$B$28,'Check result'!R100),SUMIFS('Master P&amp;L'!$AE$11:$AE$88,'Master P&amp;L'!$B$11:$B$88,'Check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IF(R101="","",IF(LEN(R101)&gt;9,SUMIFS(Options!$AZ$3:$AZ$28,Options!$B$3:$B$28,'Check result'!R101),SUMIFS('Master P&amp;L'!$AE$11:$AE$88,'Master P&amp;L'!$B$11:$B$88,'Check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IF(R102="","",IF(LEN(R102)&gt;9,SUMIFS(Options!$AZ$3:$AZ$28,Options!$B$3:$B$28,'Check result'!R102),SUMIFS('Master P&amp;L'!$AE$11:$AE$88,'Master P&amp;L'!$B$11:$B$88,'Check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IF(R103="","",IF(LEN(R103)&gt;9,SUMIFS(Options!$AZ$3:$AZ$28,Options!$B$3:$B$28,'Check result'!R103),SUMIFS('Master P&amp;L'!$AE$11:$AE$88,'Master P&amp;L'!$B$11:$B$88,'Check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IF(R104="","",IF(LEN(R104)&gt;9,SUMIFS(Options!$AZ$3:$AZ$28,Options!$B$3:$B$28,'Check result'!R104),SUMIFS('Master P&amp;L'!$AE$11:$AE$88,'Master P&amp;L'!$B$11:$B$88,'Check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IF(R105="","",IF(LEN(R105)&gt;9,SUMIFS(Options!$AZ$3:$AZ$28,Options!$B$3:$B$28,'Check result'!R105),SUMIFS('Master P&amp;L'!$AE$11:$AE$88,'Master P&amp;L'!$B$11:$B$88,'Check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IF(R106="","",IF(LEN(R106)&gt;9,SUMIFS(Options!$AZ$3:$AZ$28,Options!$B$3:$B$28,'Check result'!R106),SUMIFS('Master P&amp;L'!$AE$11:$AE$88,'Master P&amp;L'!$B$11:$B$88,'Check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IF(R107="","",IF(LEN(R107)&gt;9,SUMIFS(Options!$AZ$3:$AZ$28,Options!$B$3:$B$28,'Check result'!R107),SUMIFS('Master P&amp;L'!$AE$11:$AE$88,'Master P&amp;L'!$B$11:$B$88,'Check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IF(R108="","",IF(LEN(R108)&gt;9,SUMIFS(Options!$AZ$3:$AZ$28,Options!$B$3:$B$28,'Check result'!R108),SUMIFS('Master P&amp;L'!$AE$11:$AE$88,'Master P&amp;L'!$B$11:$B$88,'Check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IF(R109="","",IF(LEN(R109)&gt;9,SUMIFS(Options!$AZ$3:$AZ$28,Options!$B$3:$B$28,'Check result'!R109),SUMIFS('Master P&amp;L'!$AE$11:$AE$88,'Master P&amp;L'!$B$11:$B$88,'Check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IF(R110="","",IF(LEN(R110)&gt;9,SUMIFS(Options!$AZ$3:$AZ$28,Options!$B$3:$B$28,'Check result'!R110),SUMIFS('Master P&amp;L'!$AE$11:$AE$88,'Master P&amp;L'!$B$11:$B$88,'Check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IF(R111="","",IF(LEN(R111)&gt;9,SUMIFS(Options!$AZ$3:$AZ$28,Options!$B$3:$B$28,'Check result'!R111),SUMIFS('Master P&amp;L'!$AE$11:$AE$88,'Master P&amp;L'!$B$11:$B$88,'Check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IF(R112="","",IF(LEN(R112)&gt;9,SUMIFS(Options!$AZ$3:$AZ$28,Options!$B$3:$B$28,'Check result'!R112),SUMIFS('Master P&amp;L'!$AE$11:$AE$88,'Master P&amp;L'!$B$11:$B$88,'Check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IF(R113="","",IF(LEN(R113)&gt;9,SUMIFS(Options!$AZ$3:$AZ$28,Options!$B$3:$B$28,'Check result'!R113),SUMIFS('Master P&amp;L'!$AE$11:$AE$88,'Master P&amp;L'!$B$11:$B$88,'Check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IF(R114="","",IF(LEN(R114)&gt;9,SUMIFS(Options!$AZ$3:$AZ$28,Options!$B$3:$B$28,'Check result'!R114),SUMIFS('Master P&amp;L'!$AE$11:$AE$88,'Master P&amp;L'!$B$11:$B$88,'Check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IF(R115="","",IF(LEN(R115)&gt;9,SUMIFS(Options!$AZ$3:$AZ$28,Options!$B$3:$B$28,'Check result'!R115),SUMIFS('Master P&amp;L'!$AE$11:$AE$88,'Master P&amp;L'!$B$11:$B$88,'Check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IF(R116="","",IF(LEN(R116)&gt;9,SUMIFS(Options!$AZ$3:$AZ$28,Options!$B$3:$B$28,'Check result'!R116),SUMIFS('Master P&amp;L'!$AE$11:$AE$88,'Master P&amp;L'!$B$11:$B$88,'Check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IF(R117="","",IF(LEN(R117)&gt;9,SUMIFS(Options!$AZ$3:$AZ$28,Options!$B$3:$B$28,'Check result'!R117),SUMIFS('Master P&amp;L'!$AE$11:$AE$88,'Master P&amp;L'!$B$11:$B$88,'Check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IF(R118="","",IF(LEN(R118)&gt;9,SUMIFS(Options!$AZ$3:$AZ$28,Options!$B$3:$B$28,'Check result'!R118),SUMIFS('Master P&amp;L'!$AE$11:$AE$88,'Master P&amp;L'!$B$11:$B$88,'Check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IF(R119="","",IF(LEN(R119)&gt;9,SUMIFS(Options!$AZ$3:$AZ$28,Options!$B$3:$B$28,'Check result'!R119),SUMIFS('Master P&amp;L'!$AE$11:$AE$88,'Master P&amp;L'!$B$11:$B$88,'Check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IF(R120="","",IF(LEN(R120)&gt;9,SUMIFS(Options!$AZ$3:$AZ$28,Options!$B$3:$B$28,'Check result'!R120),SUMIFS('Master P&amp;L'!$AE$11:$AE$88,'Master P&amp;L'!$B$11:$B$88,'Check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IF(R121="","",IF(LEN(R121)&gt;9,SUMIFS(Options!$AZ$3:$AZ$28,Options!$B$3:$B$28,'Check result'!R121),SUMIFS('Master P&amp;L'!$AE$11:$AE$88,'Master P&amp;L'!$B$11:$B$88,'Check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IF(R122="","",IF(LEN(R122)&gt;9,SUMIFS(Options!$AZ$3:$AZ$28,Options!$B$3:$B$28,'Check result'!R122),SUMIFS('Master P&amp;L'!$AE$11:$AE$88,'Master P&amp;L'!$B$11:$B$88,'Check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IF(R123="","",IF(LEN(R123)&gt;9,SUMIFS(Options!$AZ$3:$AZ$28,Options!$B$3:$B$28,'Check result'!R123),SUMIFS('Master P&amp;L'!$AE$11:$AE$88,'Master P&amp;L'!$B$11:$B$88,'Check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IF(R124="","",IF(LEN(R124)&gt;9,SUMIFS(Options!$AZ$3:$AZ$28,Options!$B$3:$B$28,'Check result'!R124),SUMIFS('Master P&amp;L'!$AE$11:$AE$88,'Master P&amp;L'!$B$11:$B$88,'Check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IF(R125="","",IF(LEN(R125)&gt;9,SUMIFS(Options!$AZ$3:$AZ$28,Options!$B$3:$B$28,'Check result'!R125),SUMIFS('Master P&amp;L'!$AE$11:$AE$88,'Master P&amp;L'!$B$11:$B$88,'Check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IF(R126="","",IF(LEN(R126)&gt;9,SUMIFS(Options!$AZ$3:$AZ$28,Options!$B$3:$B$28,'Check result'!R126),SUMIFS('Master P&amp;L'!$AE$11:$AE$88,'Master P&amp;L'!$B$11:$B$88,'Check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IF(R127="","",IF(LEN(R127)&gt;9,SUMIFS(Options!$AZ$3:$AZ$28,Options!$B$3:$B$28,'Check result'!R127),SUMIFS('Master P&amp;L'!$AE$11:$AE$88,'Master P&amp;L'!$B$11:$B$88,'Check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IF(R128="","",IF(LEN(R128)&gt;9,SUMIFS(Options!$AZ$3:$AZ$28,Options!$B$3:$B$28,'Check result'!R128),SUMIFS('Master P&amp;L'!$AE$11:$AE$88,'Master P&amp;L'!$B$11:$B$88,'Check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IF(R129="","",IF(LEN(R129)&gt;9,SUMIFS(Options!$AZ$3:$AZ$28,Options!$B$3:$B$28,'Check result'!R129),SUMIFS('Master P&amp;L'!$AE$11:$AE$88,'Master P&amp;L'!$B$11:$B$88,'Check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IF(R130="","",IF(LEN(R130)&gt;9,SUMIFS(Options!$AZ$3:$AZ$28,Options!$B$3:$B$28,'Check result'!R130),SUMIFS('Master P&amp;L'!$AE$11:$AE$88,'Master P&amp;L'!$B$11:$B$88,'Check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IF(R131="","",IF(LEN(R131)&gt;9,SUMIFS(Options!$AZ$3:$AZ$28,Options!$B$3:$B$28,'Check result'!R131),SUMIFS('Master P&amp;L'!$AE$11:$AE$88,'Master P&amp;L'!$B$11:$B$88,'Check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IF(R132="","",IF(LEN(R132)&gt;9,SUMIFS(Options!$AZ$3:$AZ$28,Options!$B$3:$B$28,'Check result'!R132),SUMIFS('Master P&amp;L'!$AE$11:$AE$88,'Master P&amp;L'!$B$11:$B$88,'Check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IF(R133="","",IF(LEN(R133)&gt;9,SUMIFS(Options!$AZ$3:$AZ$28,Options!$B$3:$B$28,'Check result'!R133),SUMIFS('Master P&amp;L'!$AE$11:$AE$88,'Master P&amp;L'!$B$11:$B$88,'Check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IF(R134="","",IF(LEN(R134)&gt;9,SUMIFS(Options!$AZ$3:$AZ$28,Options!$B$3:$B$28,'Check result'!R134),SUMIFS('Master P&amp;L'!$AE$11:$AE$88,'Master P&amp;L'!$B$11:$B$88,'Check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IF(R135="","",IF(LEN(R135)&gt;9,SUMIFS(Options!$AZ$3:$AZ$28,Options!$B$3:$B$28,'Check result'!R135),SUMIFS('Master P&amp;L'!$AE$11:$AE$88,'Master P&amp;L'!$B$11:$B$88,'Check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IF(R136="","",IF(LEN(R136)&gt;9,SUMIFS(Options!$AZ$3:$AZ$28,Options!$B$3:$B$28,'Check result'!R136),SUMIFS('Master P&amp;L'!$AE$11:$AE$88,'Master P&amp;L'!$B$11:$B$88,'Check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IF(R137="","",IF(LEN(R137)&gt;9,SUMIFS(Options!$AZ$3:$AZ$28,Options!$B$3:$B$28,'Check result'!R137),SUMIFS('Master P&amp;L'!$AE$11:$AE$88,'Master P&amp;L'!$B$11:$B$88,'Check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IF(R138="","",IF(LEN(R138)&gt;9,SUMIFS(Options!$AZ$3:$AZ$28,Options!$B$3:$B$28,'Check result'!R138),SUMIFS('Master P&amp;L'!$AE$11:$AE$88,'Master P&amp;L'!$B$11:$B$88,'Check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IF(R139="","",IF(LEN(R139)&gt;9,SUMIFS(Options!$AZ$3:$AZ$28,Options!$B$3:$B$28,'Check result'!R139),SUMIFS('Master P&amp;L'!$AE$11:$AE$88,'Master P&amp;L'!$B$11:$B$88,'Check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IF(R140="","",IF(LEN(R140)&gt;9,SUMIFS(Options!$AZ$3:$AZ$28,Options!$B$3:$B$28,'Check result'!R140),SUMIFS('Master P&amp;L'!$AE$11:$AE$88,'Master P&amp;L'!$B$11:$B$88,'Check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IF(R141="","",IF(LEN(R141)&gt;9,SUMIFS(Options!$AZ$3:$AZ$28,Options!$B$3:$B$28,'Check result'!R141),SUMIFS('Master P&amp;L'!$AE$11:$AE$88,'Master P&amp;L'!$B$11:$B$88,'Check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IF(R142="","",IF(LEN(R142)&gt;9,SUMIFS(Options!$AZ$3:$AZ$28,Options!$B$3:$B$28,'Check result'!R142),SUMIFS('Master P&amp;L'!$AE$11:$AE$88,'Master P&amp;L'!$B$11:$B$88,'Check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IF(R143="","",IF(LEN(R143)&gt;9,SUMIFS(Options!$AZ$3:$AZ$28,Options!$B$3:$B$28,'Check result'!R143),SUMIFS('Master P&amp;L'!$AE$11:$AE$88,'Master P&amp;L'!$B$11:$B$88,'Check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IF(R144="","",IF(LEN(R144)&gt;9,SUMIFS(Options!$AZ$3:$AZ$28,Options!$B$3:$B$28,'Check result'!R144),SUMIFS('Master P&amp;L'!$AE$11:$AE$88,'Master P&amp;L'!$B$11:$B$88,'Check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IF(R145="","",IF(LEN(R145)&gt;9,SUMIFS(Options!$AZ$3:$AZ$28,Options!$B$3:$B$28,'Check result'!R145),SUMIFS('Master P&amp;L'!$AE$11:$AE$88,'Master P&amp;L'!$B$11:$B$88,'Check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IF(R146="","",IF(LEN(R146)&gt;9,SUMIFS(Options!$AZ$3:$AZ$28,Options!$B$3:$B$28,'Check result'!R146),SUMIFS('Master P&amp;L'!$AE$11:$AE$88,'Master P&amp;L'!$B$11:$B$88,'Check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IF(R147="","",IF(LEN(R147)&gt;9,SUMIFS(Options!$AZ$3:$AZ$28,Options!$B$3:$B$28,'Check result'!R147),SUMIFS('Master P&amp;L'!$AE$11:$AE$88,'Master P&amp;L'!$B$11:$B$88,'Check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IF(R148="","",IF(LEN(R148)&gt;9,SUMIFS(Options!$AZ$3:$AZ$28,Options!$B$3:$B$28,'Check result'!R148),SUMIFS('Master P&amp;L'!$AE$11:$AE$88,'Master P&amp;L'!$B$11:$B$88,'Check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IF(R149="","",IF(LEN(R149)&gt;9,SUMIFS(Options!$AZ$3:$AZ$28,Options!$B$3:$B$28,'Check result'!R149),SUMIFS('Master P&amp;L'!$AE$11:$AE$88,'Master P&amp;L'!$B$11:$B$88,'Check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IF(R150="","",IF(LEN(R150)&gt;9,SUMIFS(Options!$AZ$3:$AZ$28,Options!$B$3:$B$28,'Check result'!R150),SUMIFS('Master P&amp;L'!$AE$11:$AE$88,'Master P&amp;L'!$B$11:$B$88,'Check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IF(R151="","",IF(LEN(R151)&gt;9,SUMIFS(Options!$AZ$3:$AZ$28,Options!$B$3:$B$28,'Check result'!R151),SUMIFS('Master P&amp;L'!$AE$11:$AE$88,'Master P&amp;L'!$B$11:$B$88,'Check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IF(R152="","",IF(LEN(R152)&gt;9,SUMIFS(Options!$AZ$3:$AZ$28,Options!$B$3:$B$28,'Check result'!R152),SUMIFS('Master P&amp;L'!$AE$11:$AE$88,'Master P&amp;L'!$B$11:$B$88,'Check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IF(R153="","",IF(LEN(R153)&gt;9,SUMIFS(Options!$AZ$3:$AZ$28,Options!$B$3:$B$28,'Check result'!R153),SUMIFS('Master P&amp;L'!$AE$11:$AE$88,'Master P&amp;L'!$B$11:$B$88,'Check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IF(R154="","",IF(LEN(R154)&gt;9,SUMIFS(Options!$AZ$3:$AZ$28,Options!$B$3:$B$28,'Check result'!R154),SUMIFS('Master P&amp;L'!$AE$11:$AE$88,'Master P&amp;L'!$B$11:$B$88,'Check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IF(R155="","",IF(LEN(R155)&gt;9,SUMIFS(Options!$AZ$3:$AZ$28,Options!$B$3:$B$28,'Check result'!R155),SUMIFS('Master P&amp;L'!$AE$11:$AE$88,'Master P&amp;L'!$B$11:$B$88,'Check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IF(R156="","",IF(LEN(R156)&gt;9,SUMIFS(Options!$AZ$3:$AZ$28,Options!$B$3:$B$28,'Check result'!R156),SUMIFS('Master P&amp;L'!$AE$11:$AE$88,'Master P&amp;L'!$B$11:$B$88,'Check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IF(R157="","",IF(LEN(R157)&gt;9,SUMIFS(Options!$AZ$3:$AZ$28,Options!$B$3:$B$28,'Check result'!R157),SUMIFS('Master P&amp;L'!$AE$11:$AE$88,'Master P&amp;L'!$B$11:$B$88,'Check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IF(R158="","",IF(LEN(R158)&gt;9,SUMIFS(Options!$AZ$3:$AZ$28,Options!$B$3:$B$28,'Check result'!R158),SUMIFS('Master P&amp;L'!$AE$11:$AE$88,'Master P&amp;L'!$B$11:$B$88,'Check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IF(R159="","",IF(LEN(R159)&gt;9,SUMIFS(Options!$AZ$3:$AZ$28,Options!$B$3:$B$28,'Check result'!R159),SUMIFS('Master P&amp;L'!$AE$11:$AE$88,'Master P&amp;L'!$B$11:$B$88,'Check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IF(R160="","",IF(LEN(R160)&gt;9,SUMIFS(Options!$AZ$3:$AZ$28,Options!$B$3:$B$28,'Check result'!R160),SUMIFS('Master P&amp;L'!$AE$11:$AE$88,'Master P&amp;L'!$B$11:$B$88,'Check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IF(R161="","",IF(LEN(R161)&gt;9,SUMIFS(Options!$AZ$3:$AZ$28,Options!$B$3:$B$28,'Check result'!R161),SUMIFS('Master P&amp;L'!$AE$11:$AE$88,'Master P&amp;L'!$B$11:$B$88,'Check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IF(R162="","",IF(LEN(R162)&gt;9,SUMIFS(Options!$AZ$3:$AZ$28,Options!$B$3:$B$28,'Check result'!R162),SUMIFS('Master P&amp;L'!$AE$11:$AE$88,'Master P&amp;L'!$B$11:$B$88,'Check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IF(R163="","",IF(LEN(R163)&gt;9,SUMIFS(Options!$AZ$3:$AZ$28,Options!$B$3:$B$28,'Check result'!R163),SUMIFS('Master P&amp;L'!$AE$11:$AE$88,'Master P&amp;L'!$B$11:$B$88,'Check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IF(R164="","",IF(LEN(R164)&gt;9,SUMIFS(Options!$AZ$3:$AZ$28,Options!$B$3:$B$28,'Check result'!R164),SUMIFS('Master P&amp;L'!$AE$11:$AE$88,'Master P&amp;L'!$B$11:$B$88,'Check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IF(R165="","",IF(LEN(R165)&gt;9,SUMIFS(Options!$AZ$3:$AZ$28,Options!$B$3:$B$28,'Check result'!R165),SUMIFS('Master P&amp;L'!$AE$11:$AE$88,'Master P&amp;L'!$B$11:$B$88,'Check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 filterMode="1"/>
  <dimension ref="A1:X192"/>
  <sheetViews>
    <sheetView workbookViewId="0">
      <pane xSplit="1" ySplit="1" topLeftCell="B58" activePane="bottomRight" state="frozen"/>
      <selection pane="topRight" activeCell="B1" sqref="B1"/>
      <selection pane="bottomLeft" activeCell="A2" sqref="A2"/>
      <selection pane="bottomRight" activeCell="C193" sqref="C193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</cols>
  <sheetData>
    <row r="1" spans="1:24">
      <c r="A1" s="517" t="s">
        <v>263</v>
      </c>
      <c r="B1" s="518" t="s">
        <v>578</v>
      </c>
      <c r="C1" s="519" t="s">
        <v>579</v>
      </c>
      <c r="D1" s="520" t="s">
        <v>580</v>
      </c>
      <c r="E1" s="521" t="s">
        <v>581</v>
      </c>
      <c r="F1" s="521" t="s">
        <v>582</v>
      </c>
      <c r="G1" s="521" t="s">
        <v>146</v>
      </c>
      <c r="H1" s="521" t="s">
        <v>161</v>
      </c>
      <c r="I1" s="521" t="s">
        <v>583</v>
      </c>
      <c r="J1" s="521" t="s">
        <v>584</v>
      </c>
      <c r="K1" s="522" t="s">
        <v>585</v>
      </c>
      <c r="L1" s="523" t="s">
        <v>586</v>
      </c>
      <c r="M1" s="524" t="s">
        <v>587</v>
      </c>
      <c r="N1" s="520" t="s">
        <v>588</v>
      </c>
      <c r="O1" s="515" t="s">
        <v>589</v>
      </c>
      <c r="P1" s="525" t="s">
        <v>1</v>
      </c>
      <c r="Q1" s="549" t="s">
        <v>590</v>
      </c>
    </row>
    <row r="2" spans="1:24" hidden="1">
      <c r="A2" s="514">
        <v>46071</v>
      </c>
      <c r="B2" s="526" t="s">
        <v>561</v>
      </c>
      <c r="C2" s="527" t="s">
        <v>594</v>
      </c>
      <c r="D2" s="357" t="s">
        <v>595</v>
      </c>
      <c r="E2" s="358">
        <v>46101</v>
      </c>
      <c r="F2" s="357" t="s">
        <v>596</v>
      </c>
      <c r="G2" s="357" t="s">
        <v>597</v>
      </c>
      <c r="H2" s="357" t="s">
        <v>808</v>
      </c>
      <c r="I2" s="357" t="s">
        <v>592</v>
      </c>
      <c r="J2" s="528">
        <v>111.2</v>
      </c>
      <c r="K2" s="357">
        <v>7.2000000000000028</v>
      </c>
      <c r="L2" s="364">
        <v>8.1</v>
      </c>
      <c r="M2" s="529">
        <v>8.1</v>
      </c>
      <c r="N2" s="528">
        <v>8.1</v>
      </c>
      <c r="O2" s="530">
        <v>8.1</v>
      </c>
      <c r="P2" s="531">
        <v>28.541637260000002</v>
      </c>
      <c r="Q2" s="550" t="s">
        <v>593</v>
      </c>
      <c r="R2" s="339">
        <f>L2-L3</f>
        <v>7.3999999999999995</v>
      </c>
      <c r="T2" s="364">
        <v>8.64</v>
      </c>
      <c r="U2" s="339">
        <f>T2-T3</f>
        <v>7.08</v>
      </c>
      <c r="W2" s="364">
        <v>11.6</v>
      </c>
      <c r="X2" s="339">
        <f>W2-W3</f>
        <v>8.8999999999999986</v>
      </c>
    </row>
    <row r="3" spans="1:24" hidden="1">
      <c r="A3" s="514">
        <v>46071</v>
      </c>
      <c r="B3" s="526" t="s">
        <v>562</v>
      </c>
      <c r="C3" s="527" t="s">
        <v>599</v>
      </c>
      <c r="D3" s="357" t="s">
        <v>595</v>
      </c>
      <c r="E3" s="358">
        <v>46101</v>
      </c>
      <c r="F3" s="357" t="s">
        <v>596</v>
      </c>
      <c r="G3" s="357" t="s">
        <v>597</v>
      </c>
      <c r="H3" s="357" t="s">
        <v>809</v>
      </c>
      <c r="I3" s="357" t="s">
        <v>592</v>
      </c>
      <c r="J3" s="528">
        <v>111.2</v>
      </c>
      <c r="K3" s="357">
        <v>0</v>
      </c>
      <c r="L3" s="364">
        <v>0.7</v>
      </c>
      <c r="M3" s="529">
        <v>0.7</v>
      </c>
      <c r="N3" s="528">
        <v>0.7</v>
      </c>
      <c r="O3" s="530">
        <v>0.7</v>
      </c>
      <c r="P3" s="531">
        <v>24.623843300000001</v>
      </c>
      <c r="Q3" s="550" t="s">
        <v>598</v>
      </c>
      <c r="T3" s="364">
        <v>1.56</v>
      </c>
      <c r="W3" s="364">
        <v>2.7</v>
      </c>
    </row>
    <row r="4" spans="1:24" hidden="1">
      <c r="A4" s="514">
        <v>46071</v>
      </c>
      <c r="B4" s="526" t="s">
        <v>604</v>
      </c>
      <c r="C4" s="527" t="s">
        <v>605</v>
      </c>
      <c r="D4" s="357" t="s">
        <v>606</v>
      </c>
      <c r="E4" s="358">
        <v>46280</v>
      </c>
      <c r="F4" s="357" t="s">
        <v>596</v>
      </c>
      <c r="G4" s="357" t="s">
        <v>597</v>
      </c>
      <c r="H4" s="357" t="s">
        <v>1100</v>
      </c>
      <c r="I4" s="357" t="s">
        <v>592</v>
      </c>
      <c r="J4" s="532" t="s">
        <v>1101</v>
      </c>
      <c r="K4" s="357" t="e">
        <v>#VALUE!</v>
      </c>
      <c r="L4" s="533">
        <v>883.4981180112178</v>
      </c>
      <c r="M4" s="534">
        <v>883.4981180112178</v>
      </c>
      <c r="N4" s="357">
        <v>883.4981180112178</v>
      </c>
      <c r="O4" s="535" t="e">
        <v>#VALUE!</v>
      </c>
      <c r="P4" s="536">
        <v>18.412560784215547</v>
      </c>
      <c r="Q4" s="550" t="s">
        <v>593</v>
      </c>
    </row>
    <row r="5" spans="1:24" hidden="1">
      <c r="A5" s="514">
        <v>46071</v>
      </c>
      <c r="B5" s="526" t="s">
        <v>607</v>
      </c>
      <c r="C5" s="527" t="s">
        <v>608</v>
      </c>
      <c r="D5" s="357" t="s">
        <v>606</v>
      </c>
      <c r="E5" s="358">
        <v>46280</v>
      </c>
      <c r="F5" s="357" t="s">
        <v>596</v>
      </c>
      <c r="G5" s="357" t="s">
        <v>597</v>
      </c>
      <c r="H5" s="357" t="s">
        <v>1102</v>
      </c>
      <c r="I5" s="357" t="s">
        <v>592</v>
      </c>
      <c r="J5" s="532" t="s">
        <v>1101</v>
      </c>
      <c r="K5" s="357" t="e">
        <v>#VALUE!</v>
      </c>
      <c r="L5" s="533">
        <v>457.90020296887366</v>
      </c>
      <c r="M5" s="534">
        <v>457.90020296887366</v>
      </c>
      <c r="N5" s="357">
        <v>457.90020296887366</v>
      </c>
      <c r="O5" s="535" t="e">
        <v>#VALUE!</v>
      </c>
      <c r="P5" s="536">
        <v>18.412560784215547</v>
      </c>
      <c r="Q5" s="550" t="s">
        <v>593</v>
      </c>
    </row>
    <row r="6" spans="1:24" hidden="1">
      <c r="A6" s="514">
        <v>46071</v>
      </c>
      <c r="B6" s="536" t="s">
        <v>609</v>
      </c>
      <c r="C6" s="527" t="s">
        <v>610</v>
      </c>
      <c r="D6" s="357" t="s">
        <v>611</v>
      </c>
      <c r="E6" s="358">
        <v>46129</v>
      </c>
      <c r="F6" s="357" t="s">
        <v>596</v>
      </c>
      <c r="G6" s="357" t="s">
        <v>137</v>
      </c>
      <c r="H6" s="357" t="s">
        <v>1103</v>
      </c>
      <c r="I6" s="357"/>
      <c r="J6" s="537">
        <v>3.05</v>
      </c>
      <c r="K6" s="357">
        <v>0.5</v>
      </c>
      <c r="L6" s="538">
        <v>0.50623294633207139</v>
      </c>
      <c r="M6" s="539">
        <v>0.50623294633207139</v>
      </c>
      <c r="N6" s="357">
        <v>0.50623294633207139</v>
      </c>
      <c r="O6" s="357">
        <v>0.50623294633207139</v>
      </c>
      <c r="P6" s="536">
        <v>32.867632930380324</v>
      </c>
      <c r="Q6" s="550" t="s">
        <v>593</v>
      </c>
    </row>
    <row r="7" spans="1:24" hidden="1">
      <c r="A7" s="514">
        <v>46071</v>
      </c>
      <c r="B7" s="536" t="s">
        <v>612</v>
      </c>
      <c r="C7" s="527" t="s">
        <v>613</v>
      </c>
      <c r="D7" s="357" t="s">
        <v>611</v>
      </c>
      <c r="E7" s="358">
        <v>46129</v>
      </c>
      <c r="F7" s="357" t="s">
        <v>591</v>
      </c>
      <c r="G7" s="357" t="s">
        <v>137</v>
      </c>
      <c r="H7" s="357" t="s">
        <v>1104</v>
      </c>
      <c r="I7" s="357"/>
      <c r="J7" s="537">
        <v>3.05</v>
      </c>
      <c r="K7" s="357">
        <v>0</v>
      </c>
      <c r="L7" s="538">
        <v>5.3887544734121818E-3</v>
      </c>
      <c r="M7" s="539">
        <v>5.3887544734121818E-3</v>
      </c>
      <c r="N7" s="357">
        <v>5.3887544734121818E-3</v>
      </c>
      <c r="O7" s="357">
        <v>5.3887544734121818E-3</v>
      </c>
      <c r="P7" s="536">
        <v>55.927481767345895</v>
      </c>
      <c r="Q7" s="550" t="s">
        <v>593</v>
      </c>
    </row>
    <row r="8" spans="1:24" hidden="1">
      <c r="A8" s="514">
        <v>46071</v>
      </c>
      <c r="B8" s="536" t="s">
        <v>614</v>
      </c>
      <c r="C8" s="527" t="s">
        <v>615</v>
      </c>
      <c r="D8" s="357" t="s">
        <v>611</v>
      </c>
      <c r="E8" s="358">
        <v>46129</v>
      </c>
      <c r="F8" s="357" t="s">
        <v>591</v>
      </c>
      <c r="G8" s="357" t="s">
        <v>137</v>
      </c>
      <c r="H8" s="357" t="s">
        <v>1105</v>
      </c>
      <c r="I8" s="357"/>
      <c r="J8" s="537">
        <v>3.05</v>
      </c>
      <c r="K8" s="357">
        <v>0</v>
      </c>
      <c r="L8" s="538">
        <v>9.3881631819199268E-3</v>
      </c>
      <c r="M8" s="539">
        <v>9.3881631819199268E-3</v>
      </c>
      <c r="N8" s="357">
        <v>9.3881631819199268E-3</v>
      </c>
      <c r="O8" s="357">
        <v>9.3881631819199268E-3</v>
      </c>
      <c r="P8" s="536">
        <v>44.076379566870223</v>
      </c>
      <c r="Q8" s="550" t="s">
        <v>593</v>
      </c>
    </row>
    <row r="9" spans="1:24" hidden="1">
      <c r="A9" s="514">
        <v>46071</v>
      </c>
      <c r="B9" s="536" t="s">
        <v>682</v>
      </c>
      <c r="C9" s="527" t="s">
        <v>688</v>
      </c>
      <c r="D9" s="357" t="s">
        <v>603</v>
      </c>
      <c r="E9" s="358">
        <v>46191</v>
      </c>
      <c r="F9" s="357" t="s">
        <v>596</v>
      </c>
      <c r="G9" s="357" t="s">
        <v>137</v>
      </c>
      <c r="H9" s="357" t="s">
        <v>1106</v>
      </c>
      <c r="I9" s="357"/>
      <c r="J9" s="537">
        <v>362.26</v>
      </c>
      <c r="K9" s="357">
        <v>62.259999999999991</v>
      </c>
      <c r="L9" s="538">
        <v>75.900000000000006</v>
      </c>
      <c r="M9" s="539">
        <v>79.099999999999994</v>
      </c>
      <c r="N9" s="357">
        <v>77.5</v>
      </c>
      <c r="O9" s="357">
        <v>77.5</v>
      </c>
      <c r="P9" s="536"/>
      <c r="Q9" s="550" t="s">
        <v>600</v>
      </c>
    </row>
    <row r="10" spans="1:24" hidden="1">
      <c r="A10" s="514">
        <v>46071</v>
      </c>
      <c r="B10" s="536" t="s">
        <v>681</v>
      </c>
      <c r="C10" s="527" t="s">
        <v>689</v>
      </c>
      <c r="D10" s="357" t="s">
        <v>603</v>
      </c>
      <c r="E10" s="358">
        <v>46191</v>
      </c>
      <c r="F10" s="357" t="s">
        <v>596</v>
      </c>
      <c r="G10" s="357" t="s">
        <v>137</v>
      </c>
      <c r="H10" s="357" t="s">
        <v>1107</v>
      </c>
      <c r="I10" s="357"/>
      <c r="J10" s="537">
        <v>362.26</v>
      </c>
      <c r="K10" s="357">
        <v>0</v>
      </c>
      <c r="L10" s="538">
        <v>34</v>
      </c>
      <c r="M10" s="539">
        <v>35.200000000000003</v>
      </c>
      <c r="N10" s="357">
        <v>34.6</v>
      </c>
      <c r="O10" s="357">
        <v>34.6</v>
      </c>
      <c r="P10" s="536"/>
      <c r="Q10" s="550" t="s">
        <v>600</v>
      </c>
    </row>
    <row r="11" spans="1:24" hidden="1">
      <c r="A11" s="514">
        <v>46071</v>
      </c>
      <c r="B11" s="536" t="s">
        <v>684</v>
      </c>
      <c r="C11" s="527" t="s">
        <v>690</v>
      </c>
      <c r="D11" s="357" t="s">
        <v>603</v>
      </c>
      <c r="E11" s="358">
        <v>46191</v>
      </c>
      <c r="F11" s="357" t="s">
        <v>591</v>
      </c>
      <c r="G11" s="357" t="s">
        <v>137</v>
      </c>
      <c r="H11" s="357" t="s">
        <v>1108</v>
      </c>
      <c r="I11" s="357"/>
      <c r="J11" s="540">
        <v>362.26</v>
      </c>
      <c r="K11" s="541">
        <v>0</v>
      </c>
      <c r="L11" s="542">
        <v>4.2968124133051271</v>
      </c>
      <c r="M11" s="543">
        <v>4.2968124133051271</v>
      </c>
      <c r="N11" s="541">
        <v>4.2968124133051271</v>
      </c>
      <c r="O11" s="357">
        <v>4.3085349271154341</v>
      </c>
      <c r="P11" s="531">
        <v>51.736883180163403</v>
      </c>
      <c r="Q11" s="551" t="s">
        <v>593</v>
      </c>
    </row>
    <row r="12" spans="1:24" hidden="1">
      <c r="A12" s="514">
        <v>46071</v>
      </c>
      <c r="B12" s="536" t="s">
        <v>683</v>
      </c>
      <c r="C12" s="527" t="s">
        <v>691</v>
      </c>
      <c r="D12" s="357" t="s">
        <v>603</v>
      </c>
      <c r="E12" s="358">
        <v>46191</v>
      </c>
      <c r="F12" s="357" t="s">
        <v>591</v>
      </c>
      <c r="G12" s="357" t="s">
        <v>137</v>
      </c>
      <c r="H12" s="357" t="s">
        <v>1109</v>
      </c>
      <c r="I12" s="357"/>
      <c r="J12" s="537">
        <v>362.26</v>
      </c>
      <c r="K12" s="357">
        <v>0</v>
      </c>
      <c r="L12" s="538">
        <v>1.61</v>
      </c>
      <c r="M12" s="539">
        <v>2.17</v>
      </c>
      <c r="N12" s="357">
        <v>1.8900000000000001</v>
      </c>
      <c r="O12" s="357">
        <v>1.8900000000000001</v>
      </c>
      <c r="P12" s="536"/>
      <c r="Q12" s="550" t="s">
        <v>600</v>
      </c>
    </row>
    <row r="13" spans="1:24" hidden="1">
      <c r="A13" s="514">
        <v>46071</v>
      </c>
      <c r="B13" s="536" t="s">
        <v>687</v>
      </c>
      <c r="C13" s="527" t="s">
        <v>692</v>
      </c>
      <c r="D13" s="357" t="s">
        <v>602</v>
      </c>
      <c r="E13" s="358">
        <v>46191</v>
      </c>
      <c r="F13" s="357" t="s">
        <v>591</v>
      </c>
      <c r="G13" s="357" t="s">
        <v>137</v>
      </c>
      <c r="H13" s="357" t="s">
        <v>1110</v>
      </c>
      <c r="I13" s="357"/>
      <c r="J13" s="537">
        <v>399.6</v>
      </c>
      <c r="K13" s="357">
        <v>25.399999999999977</v>
      </c>
      <c r="L13" s="538">
        <v>39.9</v>
      </c>
      <c r="M13" s="539">
        <v>40.4</v>
      </c>
      <c r="N13" s="357">
        <v>40.15</v>
      </c>
      <c r="O13" s="357">
        <v>40.15</v>
      </c>
      <c r="P13" s="536"/>
      <c r="Q13" s="550" t="s">
        <v>600</v>
      </c>
    </row>
    <row r="14" spans="1:24" hidden="1">
      <c r="A14" s="514">
        <v>46071</v>
      </c>
      <c r="B14" s="536" t="s">
        <v>686</v>
      </c>
      <c r="C14" s="527" t="s">
        <v>693</v>
      </c>
      <c r="D14" s="357" t="s">
        <v>602</v>
      </c>
      <c r="E14" s="358">
        <v>46191</v>
      </c>
      <c r="F14" s="357" t="s">
        <v>596</v>
      </c>
      <c r="G14" s="357" t="s">
        <v>137</v>
      </c>
      <c r="H14" s="357" t="s">
        <v>1111</v>
      </c>
      <c r="I14" s="357"/>
      <c r="J14" s="537">
        <v>399.6</v>
      </c>
      <c r="K14" s="357">
        <v>0</v>
      </c>
      <c r="L14" s="538">
        <v>2.75</v>
      </c>
      <c r="M14" s="539">
        <v>2.84</v>
      </c>
      <c r="N14" s="357">
        <v>2.7949999999999999</v>
      </c>
      <c r="O14" s="357">
        <v>2.7949999999999999</v>
      </c>
      <c r="P14" s="536"/>
      <c r="Q14" s="550" t="s">
        <v>600</v>
      </c>
    </row>
    <row r="15" spans="1:24" hidden="1">
      <c r="A15" s="514">
        <v>46071</v>
      </c>
      <c r="B15" s="536" t="s">
        <v>685</v>
      </c>
      <c r="C15" s="527" t="s">
        <v>694</v>
      </c>
      <c r="D15" s="357" t="s">
        <v>602</v>
      </c>
      <c r="E15" s="358">
        <v>46191</v>
      </c>
      <c r="F15" s="357" t="s">
        <v>596</v>
      </c>
      <c r="G15" s="357" t="s">
        <v>137</v>
      </c>
      <c r="H15" s="357" t="s">
        <v>1112</v>
      </c>
      <c r="I15" s="357"/>
      <c r="J15" s="537">
        <v>399.6</v>
      </c>
      <c r="K15" s="357">
        <v>0</v>
      </c>
      <c r="L15" s="538">
        <v>0.79</v>
      </c>
      <c r="M15" s="539">
        <v>0.86</v>
      </c>
      <c r="N15" s="357">
        <v>0.82499999999999996</v>
      </c>
      <c r="O15" s="357">
        <v>0.82499999999999996</v>
      </c>
      <c r="P15" s="536"/>
      <c r="Q15" s="550" t="s">
        <v>600</v>
      </c>
    </row>
    <row r="16" spans="1:24" hidden="1">
      <c r="A16" s="514">
        <v>46071</v>
      </c>
      <c r="B16" s="536" t="s">
        <v>696</v>
      </c>
      <c r="C16" s="527" t="s">
        <v>697</v>
      </c>
      <c r="D16" s="357" t="s">
        <v>616</v>
      </c>
      <c r="E16" s="358">
        <v>46101</v>
      </c>
      <c r="F16" s="357" t="s">
        <v>591</v>
      </c>
      <c r="G16" s="357" t="s">
        <v>137</v>
      </c>
      <c r="H16" s="357" t="s">
        <v>1113</v>
      </c>
      <c r="I16" s="357"/>
      <c r="J16" s="537">
        <v>605.79</v>
      </c>
      <c r="K16" s="357">
        <v>0</v>
      </c>
      <c r="L16" s="538">
        <v>3.35</v>
      </c>
      <c r="M16" s="539">
        <v>3.41</v>
      </c>
      <c r="N16" s="357">
        <v>3.38</v>
      </c>
      <c r="O16" s="357">
        <v>3.38</v>
      </c>
      <c r="P16" s="536"/>
      <c r="Q16" s="550" t="s">
        <v>600</v>
      </c>
    </row>
    <row r="17" spans="1:17" hidden="1">
      <c r="A17" s="514">
        <v>46071</v>
      </c>
      <c r="B17" s="536" t="s">
        <v>695</v>
      </c>
      <c r="C17" s="527" t="s">
        <v>699</v>
      </c>
      <c r="D17" s="357" t="s">
        <v>616</v>
      </c>
      <c r="E17" s="358">
        <v>46101</v>
      </c>
      <c r="F17" s="357" t="s">
        <v>591</v>
      </c>
      <c r="G17" s="357" t="s">
        <v>137</v>
      </c>
      <c r="H17" s="357" t="s">
        <v>1114</v>
      </c>
      <c r="I17" s="357"/>
      <c r="J17" s="537">
        <v>605.79</v>
      </c>
      <c r="K17" s="357">
        <v>0</v>
      </c>
      <c r="L17" s="538">
        <v>7.49</v>
      </c>
      <c r="M17" s="539">
        <v>7.56</v>
      </c>
      <c r="N17" s="357">
        <v>7.5250000000000004</v>
      </c>
      <c r="O17" s="357">
        <v>7.5250000000000004</v>
      </c>
      <c r="P17" s="536"/>
      <c r="Q17" s="550" t="s">
        <v>600</v>
      </c>
    </row>
    <row r="18" spans="1:17" hidden="1">
      <c r="A18" s="514">
        <v>46071</v>
      </c>
      <c r="B18" s="536" t="s">
        <v>700</v>
      </c>
      <c r="C18" s="527" t="s">
        <v>703</v>
      </c>
      <c r="D18" s="357" t="s">
        <v>698</v>
      </c>
      <c r="E18" s="358">
        <v>46191</v>
      </c>
      <c r="F18" s="357" t="s">
        <v>596</v>
      </c>
      <c r="G18" s="357" t="s">
        <v>137</v>
      </c>
      <c r="H18" s="357" t="s">
        <v>1115</v>
      </c>
      <c r="I18" s="357"/>
      <c r="J18" s="537">
        <v>204.79</v>
      </c>
      <c r="K18" s="357">
        <v>0</v>
      </c>
      <c r="L18" s="538">
        <v>8.5500000000000007</v>
      </c>
      <c r="M18" s="539">
        <v>8.65</v>
      </c>
      <c r="N18" s="357">
        <v>8.6000000000000014</v>
      </c>
      <c r="O18" s="357">
        <v>8.6000000000000014</v>
      </c>
      <c r="P18" s="536"/>
      <c r="Q18" s="550" t="s">
        <v>600</v>
      </c>
    </row>
    <row r="19" spans="1:17" hidden="1">
      <c r="A19" s="514">
        <v>46071</v>
      </c>
      <c r="B19" s="536" t="s">
        <v>701</v>
      </c>
      <c r="C19" s="527" t="s">
        <v>704</v>
      </c>
      <c r="D19" s="357" t="s">
        <v>698</v>
      </c>
      <c r="E19" s="358">
        <v>46191</v>
      </c>
      <c r="F19" s="357" t="s">
        <v>596</v>
      </c>
      <c r="G19" s="357" t="s">
        <v>137</v>
      </c>
      <c r="H19" s="357" t="s">
        <v>1116</v>
      </c>
      <c r="I19" s="357"/>
      <c r="J19" s="537">
        <v>204.79</v>
      </c>
      <c r="K19" s="357">
        <v>0</v>
      </c>
      <c r="L19" s="538">
        <v>3.05</v>
      </c>
      <c r="M19" s="539">
        <v>3.15</v>
      </c>
      <c r="N19" s="357">
        <v>3.0999999999999996</v>
      </c>
      <c r="O19" s="357">
        <v>3.0999999999999996</v>
      </c>
      <c r="P19" s="536"/>
      <c r="Q19" s="550" t="s">
        <v>600</v>
      </c>
    </row>
    <row r="20" spans="1:17" hidden="1">
      <c r="A20" s="514">
        <v>46071</v>
      </c>
      <c r="B20" s="536" t="s">
        <v>702</v>
      </c>
      <c r="C20" s="527" t="s">
        <v>705</v>
      </c>
      <c r="D20" s="357" t="s">
        <v>698</v>
      </c>
      <c r="E20" s="358">
        <v>46191</v>
      </c>
      <c r="F20" s="357" t="s">
        <v>591</v>
      </c>
      <c r="G20" s="357" t="s">
        <v>137</v>
      </c>
      <c r="H20" s="357" t="s">
        <v>1117</v>
      </c>
      <c r="I20" s="357"/>
      <c r="J20" s="537">
        <v>204.79</v>
      </c>
      <c r="K20" s="357">
        <v>0</v>
      </c>
      <c r="L20" s="538">
        <v>13.65</v>
      </c>
      <c r="M20" s="539">
        <v>13.75</v>
      </c>
      <c r="N20" s="357">
        <v>13.7</v>
      </c>
      <c r="O20" s="357">
        <v>13.7</v>
      </c>
      <c r="P20" s="536"/>
      <c r="Q20" s="550" t="s">
        <v>600</v>
      </c>
    </row>
    <row r="21" spans="1:17" hidden="1">
      <c r="A21" s="514">
        <v>46071</v>
      </c>
      <c r="B21" s="536" t="s">
        <v>713</v>
      </c>
      <c r="C21" s="527" t="s">
        <v>716</v>
      </c>
      <c r="D21" s="357" t="s">
        <v>602</v>
      </c>
      <c r="E21" s="358">
        <v>46101</v>
      </c>
      <c r="F21" s="357" t="s">
        <v>596</v>
      </c>
      <c r="G21" s="357" t="s">
        <v>137</v>
      </c>
      <c r="H21" s="357" t="s">
        <v>1118</v>
      </c>
      <c r="I21" s="357"/>
      <c r="J21" s="537">
        <v>399.6</v>
      </c>
      <c r="K21" s="357">
        <v>0</v>
      </c>
      <c r="L21" s="538">
        <v>0.3</v>
      </c>
      <c r="M21" s="539">
        <v>0.35</v>
      </c>
      <c r="N21" s="357">
        <v>0.32499999999999996</v>
      </c>
      <c r="O21" s="357">
        <v>0.32499999999999996</v>
      </c>
      <c r="P21" s="536"/>
      <c r="Q21" s="550" t="s">
        <v>600</v>
      </c>
    </row>
    <row r="22" spans="1:17" hidden="1">
      <c r="A22" s="544">
        <v>46071</v>
      </c>
      <c r="B22" s="531" t="s">
        <v>712</v>
      </c>
      <c r="C22" s="545" t="s">
        <v>717</v>
      </c>
      <c r="D22" s="541" t="s">
        <v>602</v>
      </c>
      <c r="E22" s="546">
        <v>46101</v>
      </c>
      <c r="F22" s="541" t="s">
        <v>596</v>
      </c>
      <c r="G22" s="541" t="s">
        <v>137</v>
      </c>
      <c r="H22" s="541" t="s">
        <v>1111</v>
      </c>
      <c r="I22" s="541"/>
      <c r="J22" s="540">
        <v>399.6</v>
      </c>
      <c r="K22" s="541">
        <v>0</v>
      </c>
      <c r="L22" s="542">
        <v>0.1079211550415342</v>
      </c>
      <c r="M22" s="543">
        <v>0.1079211550415342</v>
      </c>
      <c r="N22" s="541">
        <v>0.1079211550415342</v>
      </c>
      <c r="O22" s="357">
        <v>0.11084944253808256</v>
      </c>
      <c r="P22" s="531">
        <v>35.995918890015538</v>
      </c>
      <c r="Q22" s="551" t="s">
        <v>593</v>
      </c>
    </row>
    <row r="23" spans="1:17" hidden="1">
      <c r="A23" s="514">
        <v>46071</v>
      </c>
      <c r="B23" s="516" t="s">
        <v>715</v>
      </c>
      <c r="C23" s="527" t="s">
        <v>718</v>
      </c>
      <c r="D23" s="357" t="s">
        <v>602</v>
      </c>
      <c r="E23" s="358">
        <v>46101</v>
      </c>
      <c r="F23" s="357" t="s">
        <v>591</v>
      </c>
      <c r="G23" s="357" t="s">
        <v>137</v>
      </c>
      <c r="H23" s="357" t="s">
        <v>1119</v>
      </c>
      <c r="I23" s="357"/>
      <c r="J23" s="537">
        <v>399.6</v>
      </c>
      <c r="K23" s="357">
        <v>55.399999999999977</v>
      </c>
      <c r="L23" s="538">
        <v>54.55</v>
      </c>
      <c r="M23" s="539">
        <v>57.15</v>
      </c>
      <c r="N23" s="357">
        <v>55.849999999999994</v>
      </c>
      <c r="O23" s="357">
        <v>55.849999999999994</v>
      </c>
      <c r="P23" s="536"/>
      <c r="Q23" s="550" t="s">
        <v>600</v>
      </c>
    </row>
    <row r="24" spans="1:17" hidden="1">
      <c r="A24" s="514">
        <v>46071</v>
      </c>
      <c r="B24" s="516" t="s">
        <v>714</v>
      </c>
      <c r="C24" s="527" t="s">
        <v>719</v>
      </c>
      <c r="D24" s="357" t="s">
        <v>602</v>
      </c>
      <c r="E24" s="358">
        <v>46101</v>
      </c>
      <c r="F24" s="357" t="s">
        <v>591</v>
      </c>
      <c r="G24" s="357" t="s">
        <v>137</v>
      </c>
      <c r="H24" s="357" t="s">
        <v>1120</v>
      </c>
      <c r="I24" s="357"/>
      <c r="J24" s="537">
        <v>399.6</v>
      </c>
      <c r="K24" s="357">
        <v>65.399999999999977</v>
      </c>
      <c r="L24" s="538">
        <v>64.75</v>
      </c>
      <c r="M24" s="539">
        <v>67.7</v>
      </c>
      <c r="N24" s="357">
        <v>66.224999999999994</v>
      </c>
      <c r="O24" s="357">
        <v>66.224999999999994</v>
      </c>
      <c r="P24" s="536"/>
      <c r="Q24" s="550" t="s">
        <v>600</v>
      </c>
    </row>
    <row r="25" spans="1:17" hidden="1">
      <c r="A25" s="514">
        <v>46071</v>
      </c>
      <c r="B25" s="516" t="s">
        <v>723</v>
      </c>
      <c r="C25" s="527" t="s">
        <v>725</v>
      </c>
      <c r="D25" s="357" t="s">
        <v>726</v>
      </c>
      <c r="E25" s="358">
        <v>46101</v>
      </c>
      <c r="F25" s="357" t="s">
        <v>591</v>
      </c>
      <c r="G25" s="357" t="s">
        <v>137</v>
      </c>
      <c r="H25" s="357" t="s">
        <v>1121</v>
      </c>
      <c r="I25" s="357"/>
      <c r="J25" s="537">
        <v>79.09</v>
      </c>
      <c r="K25" s="357">
        <v>0.90999999999999659</v>
      </c>
      <c r="L25" s="538">
        <v>6.65</v>
      </c>
      <c r="M25" s="539">
        <v>6.85</v>
      </c>
      <c r="N25" s="357">
        <v>6.75</v>
      </c>
      <c r="O25" s="357">
        <v>6.75</v>
      </c>
      <c r="P25" s="536"/>
      <c r="Q25" s="550" t="s">
        <v>600</v>
      </c>
    </row>
    <row r="26" spans="1:17" hidden="1">
      <c r="A26" s="514">
        <v>46071</v>
      </c>
      <c r="B26" s="516" t="s">
        <v>724</v>
      </c>
      <c r="C26" s="527" t="s">
        <v>727</v>
      </c>
      <c r="D26" s="357" t="s">
        <v>726</v>
      </c>
      <c r="E26" s="358">
        <v>46101</v>
      </c>
      <c r="F26" s="357" t="s">
        <v>591</v>
      </c>
      <c r="G26" s="357" t="s">
        <v>137</v>
      </c>
      <c r="H26" s="357" t="s">
        <v>1122</v>
      </c>
      <c r="I26" s="357"/>
      <c r="J26" s="537">
        <v>79.09</v>
      </c>
      <c r="K26" s="357">
        <v>10.909999999999997</v>
      </c>
      <c r="L26" s="538">
        <v>12.8</v>
      </c>
      <c r="M26" s="539">
        <v>13.95</v>
      </c>
      <c r="N26" s="357">
        <v>13.375</v>
      </c>
      <c r="O26" s="357">
        <v>13.375</v>
      </c>
      <c r="P26" s="536"/>
      <c r="Q26" s="550" t="s">
        <v>600</v>
      </c>
    </row>
    <row r="27" spans="1:17" hidden="1">
      <c r="A27" s="514">
        <v>46071</v>
      </c>
      <c r="B27" s="516" t="s">
        <v>731</v>
      </c>
      <c r="C27" s="527" t="s">
        <v>733</v>
      </c>
      <c r="D27" s="357" t="s">
        <v>734</v>
      </c>
      <c r="E27" s="358">
        <v>46129</v>
      </c>
      <c r="F27" s="357" t="s">
        <v>596</v>
      </c>
      <c r="G27" s="357" t="s">
        <v>137</v>
      </c>
      <c r="H27" s="357" t="s">
        <v>1123</v>
      </c>
      <c r="I27" s="357"/>
      <c r="J27" s="537">
        <v>643.22</v>
      </c>
      <c r="K27" s="357">
        <v>0</v>
      </c>
      <c r="L27" s="538">
        <v>15.2</v>
      </c>
      <c r="M27" s="539">
        <v>15.45</v>
      </c>
      <c r="N27" s="357">
        <v>15.324999999999999</v>
      </c>
      <c r="O27" s="357">
        <v>15.324999999999999</v>
      </c>
      <c r="P27" s="536"/>
      <c r="Q27" s="550" t="s">
        <v>600</v>
      </c>
    </row>
    <row r="28" spans="1:17" hidden="1">
      <c r="A28" s="514">
        <v>46071</v>
      </c>
      <c r="B28" s="526" t="s">
        <v>730</v>
      </c>
      <c r="C28" s="527" t="s">
        <v>735</v>
      </c>
      <c r="D28" s="357" t="s">
        <v>734</v>
      </c>
      <c r="E28" s="358">
        <v>46129</v>
      </c>
      <c r="F28" s="357" t="s">
        <v>596</v>
      </c>
      <c r="G28" s="357" t="s">
        <v>137</v>
      </c>
      <c r="H28" s="357" t="s">
        <v>1124</v>
      </c>
      <c r="I28" s="357"/>
      <c r="J28" s="537">
        <v>643.22</v>
      </c>
      <c r="K28" s="357">
        <v>0</v>
      </c>
      <c r="L28" s="538">
        <v>4.45</v>
      </c>
      <c r="M28" s="539">
        <v>4.5999999999999996</v>
      </c>
      <c r="N28" s="357">
        <v>4.5250000000000004</v>
      </c>
      <c r="O28" s="357">
        <v>4.5250000000000004</v>
      </c>
      <c r="P28" s="536"/>
      <c r="Q28" s="550" t="s">
        <v>600</v>
      </c>
    </row>
    <row r="29" spans="1:17" hidden="1">
      <c r="A29" s="514">
        <v>46071</v>
      </c>
      <c r="B29" s="516" t="s">
        <v>732</v>
      </c>
      <c r="C29" s="527" t="s">
        <v>736</v>
      </c>
      <c r="D29" s="357" t="s">
        <v>734</v>
      </c>
      <c r="E29" s="358">
        <v>46129</v>
      </c>
      <c r="F29" s="357" t="s">
        <v>591</v>
      </c>
      <c r="G29" s="357" t="s">
        <v>137</v>
      </c>
      <c r="H29" s="357" t="s">
        <v>1125</v>
      </c>
      <c r="I29" s="357"/>
      <c r="J29" s="537">
        <v>643.22</v>
      </c>
      <c r="K29" s="357">
        <v>0</v>
      </c>
      <c r="L29" s="538">
        <v>13.05</v>
      </c>
      <c r="M29" s="539">
        <v>13.2</v>
      </c>
      <c r="N29" s="357">
        <v>13.125</v>
      </c>
      <c r="O29" s="357">
        <v>13.125</v>
      </c>
      <c r="P29" s="536"/>
      <c r="Q29" s="550" t="s">
        <v>600</v>
      </c>
    </row>
    <row r="30" spans="1:17" hidden="1">
      <c r="A30" s="514">
        <v>46071</v>
      </c>
      <c r="B30" s="516" t="s">
        <v>738</v>
      </c>
      <c r="C30" s="527" t="s">
        <v>743</v>
      </c>
      <c r="D30" s="357" t="s">
        <v>744</v>
      </c>
      <c r="E30" s="358">
        <v>46073</v>
      </c>
      <c r="F30" s="357" t="s">
        <v>596</v>
      </c>
      <c r="G30" s="357" t="s">
        <v>137</v>
      </c>
      <c r="H30" s="357" t="s">
        <v>1126</v>
      </c>
      <c r="I30" s="357"/>
      <c r="J30" s="537">
        <v>594.26</v>
      </c>
      <c r="K30" s="357">
        <v>144.26</v>
      </c>
      <c r="L30" s="538">
        <v>142.6</v>
      </c>
      <c r="M30" s="539">
        <v>146.30000000000001</v>
      </c>
      <c r="N30" s="357">
        <v>144.44999999999999</v>
      </c>
      <c r="O30" s="357">
        <v>144.44999999999999</v>
      </c>
      <c r="P30" s="536"/>
      <c r="Q30" s="550" t="s">
        <v>600</v>
      </c>
    </row>
    <row r="31" spans="1:17" hidden="1">
      <c r="A31" s="514">
        <v>46071</v>
      </c>
      <c r="B31" s="516" t="s">
        <v>737</v>
      </c>
      <c r="C31" s="527" t="s">
        <v>745</v>
      </c>
      <c r="D31" s="357" t="s">
        <v>744</v>
      </c>
      <c r="E31" s="358">
        <v>46073</v>
      </c>
      <c r="F31" s="357" t="s">
        <v>596</v>
      </c>
      <c r="G31" s="357" t="s">
        <v>137</v>
      </c>
      <c r="H31" s="357" t="s">
        <v>1127</v>
      </c>
      <c r="I31" s="357"/>
      <c r="J31" s="537">
        <v>594.26</v>
      </c>
      <c r="K31" s="357">
        <v>194.26</v>
      </c>
      <c r="L31" s="538">
        <v>192.4</v>
      </c>
      <c r="M31" s="539">
        <v>196.2</v>
      </c>
      <c r="N31" s="357">
        <v>194.3</v>
      </c>
      <c r="O31" s="357">
        <v>194.3</v>
      </c>
      <c r="P31" s="536"/>
      <c r="Q31" s="550" t="s">
        <v>600</v>
      </c>
    </row>
    <row r="32" spans="1:17" hidden="1">
      <c r="A32" s="514">
        <v>46071</v>
      </c>
      <c r="B32" s="516" t="s">
        <v>741</v>
      </c>
      <c r="C32" s="527" t="s">
        <v>746</v>
      </c>
      <c r="D32" s="357" t="s">
        <v>747</v>
      </c>
      <c r="E32" s="358">
        <v>46101</v>
      </c>
      <c r="F32" s="357" t="s">
        <v>596</v>
      </c>
      <c r="G32" s="357" t="s">
        <v>137</v>
      </c>
      <c r="H32" s="357" t="s">
        <v>1109</v>
      </c>
      <c r="I32" s="357"/>
      <c r="J32" s="537">
        <v>223.89</v>
      </c>
      <c r="K32" s="357">
        <v>13.889999999999986</v>
      </c>
      <c r="L32" s="538">
        <v>26.9</v>
      </c>
      <c r="M32" s="539">
        <v>28.5</v>
      </c>
      <c r="N32" s="357">
        <v>27.7</v>
      </c>
      <c r="O32" s="357">
        <v>27.7</v>
      </c>
      <c r="P32" s="536"/>
      <c r="Q32" s="550" t="s">
        <v>600</v>
      </c>
    </row>
    <row r="33" spans="1:17" hidden="1">
      <c r="A33" s="514">
        <v>46071</v>
      </c>
      <c r="B33" s="516" t="s">
        <v>742</v>
      </c>
      <c r="C33" s="527" t="s">
        <v>748</v>
      </c>
      <c r="D33" s="357" t="s">
        <v>747</v>
      </c>
      <c r="E33" s="358">
        <v>46101</v>
      </c>
      <c r="F33" s="357" t="s">
        <v>596</v>
      </c>
      <c r="G33" s="357" t="s">
        <v>137</v>
      </c>
      <c r="H33" s="357" t="s">
        <v>1108</v>
      </c>
      <c r="I33" s="357"/>
      <c r="J33" s="537">
        <v>223.89</v>
      </c>
      <c r="K33" s="357">
        <v>0</v>
      </c>
      <c r="L33" s="538">
        <v>10.6</v>
      </c>
      <c r="M33" s="539">
        <v>11.1</v>
      </c>
      <c r="N33" s="357">
        <v>10.85</v>
      </c>
      <c r="O33" s="357">
        <v>10.85</v>
      </c>
      <c r="P33" s="536"/>
      <c r="Q33" s="550" t="s">
        <v>600</v>
      </c>
    </row>
    <row r="34" spans="1:17" hidden="1">
      <c r="A34" s="514">
        <v>46071</v>
      </c>
      <c r="B34" s="516" t="s">
        <v>751</v>
      </c>
      <c r="C34" s="527" t="s">
        <v>753</v>
      </c>
      <c r="D34" s="357" t="s">
        <v>754</v>
      </c>
      <c r="E34" s="358">
        <v>46101</v>
      </c>
      <c r="F34" s="357" t="s">
        <v>596</v>
      </c>
      <c r="G34" s="357" t="s">
        <v>137</v>
      </c>
      <c r="H34" s="357" t="s">
        <v>808</v>
      </c>
      <c r="I34" s="357"/>
      <c r="J34" s="532">
        <v>77.989999999999995</v>
      </c>
      <c r="K34" s="357">
        <v>0</v>
      </c>
      <c r="L34" s="533">
        <v>6.4382556948516231E-2</v>
      </c>
      <c r="M34" s="534">
        <v>6.4382556948516231E-2</v>
      </c>
      <c r="N34" s="357">
        <v>6.4382556948516231E-2</v>
      </c>
      <c r="O34" s="357">
        <v>6.5841178775168582E-2</v>
      </c>
      <c r="P34" s="536">
        <v>45.990666449499834</v>
      </c>
      <c r="Q34" s="550" t="s">
        <v>593</v>
      </c>
    </row>
    <row r="35" spans="1:17" hidden="1">
      <c r="A35" s="514">
        <v>46071</v>
      </c>
      <c r="B35" s="516" t="s">
        <v>752</v>
      </c>
      <c r="C35" s="527" t="s">
        <v>755</v>
      </c>
      <c r="D35" s="357" t="s">
        <v>754</v>
      </c>
      <c r="E35" s="358">
        <v>46101</v>
      </c>
      <c r="F35" s="357" t="s">
        <v>591</v>
      </c>
      <c r="G35" s="357" t="s">
        <v>137</v>
      </c>
      <c r="H35" s="357" t="s">
        <v>1128</v>
      </c>
      <c r="I35" s="357"/>
      <c r="J35" s="537">
        <v>77.989999999999995</v>
      </c>
      <c r="K35" s="357">
        <v>5.0100000000000051</v>
      </c>
      <c r="L35" s="538">
        <v>6.2</v>
      </c>
      <c r="M35" s="539">
        <v>6.45</v>
      </c>
      <c r="N35" s="357">
        <v>6.3250000000000002</v>
      </c>
      <c r="O35" s="357">
        <v>6.3250000000000002</v>
      </c>
      <c r="P35" s="536"/>
      <c r="Q35" s="550" t="s">
        <v>600</v>
      </c>
    </row>
    <row r="36" spans="1:17" hidden="1">
      <c r="A36" s="514">
        <v>46071</v>
      </c>
      <c r="B36" s="516" t="s">
        <v>750</v>
      </c>
      <c r="C36" s="527" t="s">
        <v>756</v>
      </c>
      <c r="D36" s="357" t="s">
        <v>754</v>
      </c>
      <c r="E36" s="358">
        <v>46101</v>
      </c>
      <c r="F36" s="357" t="s">
        <v>591</v>
      </c>
      <c r="G36" s="357" t="s">
        <v>137</v>
      </c>
      <c r="H36" s="357" t="s">
        <v>1129</v>
      </c>
      <c r="I36" s="357"/>
      <c r="J36" s="537">
        <v>77.989999999999995</v>
      </c>
      <c r="K36" s="357">
        <v>14.010000000000005</v>
      </c>
      <c r="L36" s="538">
        <v>13.95</v>
      </c>
      <c r="M36" s="539">
        <v>14.35</v>
      </c>
      <c r="N36" s="357">
        <v>14.149999999999999</v>
      </c>
      <c r="O36" s="357">
        <v>14.149999999999999</v>
      </c>
      <c r="P36" s="536"/>
      <c r="Q36" s="550" t="s">
        <v>600</v>
      </c>
    </row>
    <row r="37" spans="1:17" hidden="1">
      <c r="A37" s="514">
        <v>46071</v>
      </c>
      <c r="B37" s="516" t="s">
        <v>758</v>
      </c>
      <c r="C37" s="527" t="s">
        <v>761</v>
      </c>
      <c r="D37" s="357" t="s">
        <v>726</v>
      </c>
      <c r="E37" s="358">
        <v>46101</v>
      </c>
      <c r="F37" s="357" t="s">
        <v>591</v>
      </c>
      <c r="G37" s="357" t="s">
        <v>137</v>
      </c>
      <c r="H37" s="357" t="s">
        <v>1130</v>
      </c>
      <c r="I37" s="357"/>
      <c r="J37" s="537">
        <v>79.09</v>
      </c>
      <c r="K37" s="357">
        <v>0</v>
      </c>
      <c r="L37" s="538">
        <v>4.3</v>
      </c>
      <c r="M37" s="539">
        <v>4.45</v>
      </c>
      <c r="N37" s="357">
        <v>4.375</v>
      </c>
      <c r="O37" s="357">
        <v>4.375</v>
      </c>
      <c r="P37" s="536"/>
      <c r="Q37" s="550" t="s">
        <v>600</v>
      </c>
    </row>
    <row r="38" spans="1:17" hidden="1">
      <c r="A38" s="514">
        <v>46071</v>
      </c>
      <c r="B38" s="516" t="s">
        <v>757</v>
      </c>
      <c r="C38" s="527" t="s">
        <v>762</v>
      </c>
      <c r="D38" s="357" t="s">
        <v>726</v>
      </c>
      <c r="E38" s="358">
        <v>46101</v>
      </c>
      <c r="F38" s="357" t="s">
        <v>591</v>
      </c>
      <c r="G38" s="357" t="s">
        <v>137</v>
      </c>
      <c r="H38" s="357" t="s">
        <v>1131</v>
      </c>
      <c r="I38" s="357"/>
      <c r="J38" s="537">
        <v>79.09</v>
      </c>
      <c r="K38" s="357">
        <v>5.9099999999999966</v>
      </c>
      <c r="L38" s="538">
        <v>9.6</v>
      </c>
      <c r="M38" s="539">
        <v>9.9</v>
      </c>
      <c r="N38" s="357">
        <v>9.75</v>
      </c>
      <c r="O38" s="357">
        <v>9.75</v>
      </c>
      <c r="P38" s="536"/>
      <c r="Q38" s="550" t="s">
        <v>600</v>
      </c>
    </row>
    <row r="39" spans="1:17" hidden="1">
      <c r="A39" s="514">
        <v>46071</v>
      </c>
      <c r="B39" s="516" t="s">
        <v>765</v>
      </c>
      <c r="C39" s="527" t="s">
        <v>771</v>
      </c>
      <c r="D39" s="357" t="s">
        <v>772</v>
      </c>
      <c r="E39" s="358">
        <v>46191</v>
      </c>
      <c r="F39" s="357" t="s">
        <v>596</v>
      </c>
      <c r="G39" s="357" t="s">
        <v>137</v>
      </c>
      <c r="H39" s="357" t="s">
        <v>1132</v>
      </c>
      <c r="I39" s="357"/>
      <c r="J39" s="537">
        <v>333.51</v>
      </c>
      <c r="K39" s="357">
        <v>0</v>
      </c>
      <c r="L39" s="538">
        <v>34.299999999999997</v>
      </c>
      <c r="M39" s="539">
        <v>35.25</v>
      </c>
      <c r="N39" s="357">
        <v>34.774999999999999</v>
      </c>
      <c r="O39" s="357">
        <v>34.774999999999999</v>
      </c>
      <c r="P39" s="536"/>
      <c r="Q39" s="550" t="s">
        <v>600</v>
      </c>
    </row>
    <row r="40" spans="1:17" hidden="1">
      <c r="A40" s="514">
        <v>46071</v>
      </c>
      <c r="B40" s="516" t="s">
        <v>767</v>
      </c>
      <c r="C40" s="527" t="s">
        <v>773</v>
      </c>
      <c r="D40" s="357" t="s">
        <v>772</v>
      </c>
      <c r="E40" s="358">
        <v>46191</v>
      </c>
      <c r="F40" s="357" t="s">
        <v>596</v>
      </c>
      <c r="G40" s="357" t="s">
        <v>137</v>
      </c>
      <c r="H40" s="357" t="s">
        <v>1133</v>
      </c>
      <c r="I40" s="357"/>
      <c r="J40" s="537">
        <v>333.51</v>
      </c>
      <c r="K40" s="357">
        <v>0</v>
      </c>
      <c r="L40" s="538">
        <v>15.95</v>
      </c>
      <c r="M40" s="539">
        <v>16.55</v>
      </c>
      <c r="N40" s="357">
        <v>16.25</v>
      </c>
      <c r="O40" s="357">
        <v>16.25</v>
      </c>
      <c r="P40" s="536"/>
      <c r="Q40" s="550" t="s">
        <v>600</v>
      </c>
    </row>
    <row r="41" spans="1:17" hidden="1">
      <c r="A41" s="514">
        <v>46071</v>
      </c>
      <c r="B41" s="516" t="s">
        <v>766</v>
      </c>
      <c r="C41" s="527" t="s">
        <v>774</v>
      </c>
      <c r="D41" s="357" t="s">
        <v>772</v>
      </c>
      <c r="E41" s="358">
        <v>46191</v>
      </c>
      <c r="F41" s="357" t="s">
        <v>591</v>
      </c>
      <c r="G41" s="357" t="s">
        <v>137</v>
      </c>
      <c r="H41" s="357" t="s">
        <v>1134</v>
      </c>
      <c r="I41" s="357"/>
      <c r="J41" s="537">
        <v>333.51</v>
      </c>
      <c r="K41" s="357">
        <v>0</v>
      </c>
      <c r="L41" s="538">
        <v>14.15</v>
      </c>
      <c r="M41" s="539">
        <v>14.65</v>
      </c>
      <c r="N41" s="357">
        <v>14.4</v>
      </c>
      <c r="O41" s="357">
        <v>14.4</v>
      </c>
      <c r="P41" s="536"/>
      <c r="Q41" s="550" t="s">
        <v>600</v>
      </c>
    </row>
    <row r="42" spans="1:17" hidden="1">
      <c r="A42" s="514">
        <v>46071</v>
      </c>
      <c r="B42" s="516" t="s">
        <v>764</v>
      </c>
      <c r="C42" s="527" t="s">
        <v>775</v>
      </c>
      <c r="D42" s="357" t="s">
        <v>772</v>
      </c>
      <c r="E42" s="358">
        <v>46191</v>
      </c>
      <c r="F42" s="357" t="s">
        <v>591</v>
      </c>
      <c r="G42" s="357" t="s">
        <v>137</v>
      </c>
      <c r="H42" s="357" t="s">
        <v>1106</v>
      </c>
      <c r="I42" s="357"/>
      <c r="J42" s="537">
        <v>333.51</v>
      </c>
      <c r="K42" s="357">
        <v>0</v>
      </c>
      <c r="L42" s="538">
        <v>23.45</v>
      </c>
      <c r="M42" s="539">
        <v>24.25</v>
      </c>
      <c r="N42" s="357">
        <v>23.85</v>
      </c>
      <c r="O42" s="357">
        <v>23.85</v>
      </c>
      <c r="P42" s="536"/>
      <c r="Q42" s="550" t="s">
        <v>600</v>
      </c>
    </row>
    <row r="43" spans="1:17" hidden="1">
      <c r="A43" s="514">
        <v>46071</v>
      </c>
      <c r="B43" s="516" t="s">
        <v>768</v>
      </c>
      <c r="C43" s="527" t="s">
        <v>776</v>
      </c>
      <c r="D43" s="357" t="s">
        <v>734</v>
      </c>
      <c r="E43" s="358">
        <v>46129</v>
      </c>
      <c r="F43" s="357" t="s">
        <v>591</v>
      </c>
      <c r="G43" s="357" t="s">
        <v>137</v>
      </c>
      <c r="H43" s="357" t="s">
        <v>1135</v>
      </c>
      <c r="I43" s="357"/>
      <c r="J43" s="537">
        <v>643.22</v>
      </c>
      <c r="K43" s="357">
        <v>0</v>
      </c>
      <c r="L43" s="538">
        <v>15.5</v>
      </c>
      <c r="M43" s="539">
        <v>15.7</v>
      </c>
      <c r="N43" s="357">
        <v>15.6</v>
      </c>
      <c r="O43" s="357">
        <v>15.6</v>
      </c>
      <c r="P43" s="536"/>
      <c r="Q43" s="550" t="s">
        <v>600</v>
      </c>
    </row>
    <row r="44" spans="1:17" hidden="1">
      <c r="A44" s="514">
        <v>46071</v>
      </c>
      <c r="B44" s="516" t="s">
        <v>760</v>
      </c>
      <c r="C44" s="527" t="s">
        <v>777</v>
      </c>
      <c r="D44" s="357" t="s">
        <v>603</v>
      </c>
      <c r="E44" s="358">
        <v>46101</v>
      </c>
      <c r="F44" s="357" t="s">
        <v>596</v>
      </c>
      <c r="G44" s="357" t="s">
        <v>137</v>
      </c>
      <c r="H44" s="357" t="s">
        <v>1136</v>
      </c>
      <c r="I44" s="357"/>
      <c r="J44" s="537">
        <v>362.26</v>
      </c>
      <c r="K44" s="357">
        <v>32.259999999999991</v>
      </c>
      <c r="L44" s="538">
        <v>37.85</v>
      </c>
      <c r="M44" s="539">
        <v>40.5</v>
      </c>
      <c r="N44" s="357">
        <v>39.174999999999997</v>
      </c>
      <c r="O44" s="357">
        <v>39.174999999999997</v>
      </c>
      <c r="P44" s="536"/>
      <c r="Q44" s="550" t="s">
        <v>600</v>
      </c>
    </row>
    <row r="45" spans="1:17" hidden="1">
      <c r="A45" s="514">
        <v>46071</v>
      </c>
      <c r="B45" s="516" t="s">
        <v>759</v>
      </c>
      <c r="C45" s="527" t="s">
        <v>778</v>
      </c>
      <c r="D45" s="357" t="s">
        <v>603</v>
      </c>
      <c r="E45" s="358">
        <v>46101</v>
      </c>
      <c r="F45" s="357" t="s">
        <v>596</v>
      </c>
      <c r="G45" s="357" t="s">
        <v>137</v>
      </c>
      <c r="H45" s="357" t="s">
        <v>1106</v>
      </c>
      <c r="I45" s="357"/>
      <c r="J45" s="537">
        <v>362.26</v>
      </c>
      <c r="K45" s="357">
        <v>62.259999999999991</v>
      </c>
      <c r="L45" s="538">
        <v>64.099999999999994</v>
      </c>
      <c r="M45" s="539">
        <v>66.900000000000006</v>
      </c>
      <c r="N45" s="357">
        <v>65.5</v>
      </c>
      <c r="O45" s="357">
        <v>65.5</v>
      </c>
      <c r="P45" s="536"/>
      <c r="Q45" s="550" t="s">
        <v>600</v>
      </c>
    </row>
    <row r="46" spans="1:17" hidden="1">
      <c r="A46" s="514">
        <v>46071</v>
      </c>
      <c r="B46" s="516" t="s">
        <v>769</v>
      </c>
      <c r="C46" s="527" t="s">
        <v>779</v>
      </c>
      <c r="D46" s="357" t="s">
        <v>734</v>
      </c>
      <c r="E46" s="358">
        <v>46129</v>
      </c>
      <c r="F46" s="357" t="s">
        <v>591</v>
      </c>
      <c r="G46" s="357" t="s">
        <v>137</v>
      </c>
      <c r="H46" s="357" t="s">
        <v>1137</v>
      </c>
      <c r="I46" s="357"/>
      <c r="J46" s="537">
        <v>643.22</v>
      </c>
      <c r="K46" s="357">
        <v>0</v>
      </c>
      <c r="L46" s="538">
        <v>9.1999999999999993</v>
      </c>
      <c r="M46" s="539">
        <v>9.35</v>
      </c>
      <c r="N46" s="357">
        <v>9.2749999999999986</v>
      </c>
      <c r="O46" s="357">
        <v>9.2749999999999986</v>
      </c>
      <c r="P46" s="536"/>
      <c r="Q46" s="550" t="s">
        <v>600</v>
      </c>
    </row>
    <row r="47" spans="1:17" hidden="1">
      <c r="A47" s="514">
        <v>46071</v>
      </c>
      <c r="B47" s="547" t="s">
        <v>820</v>
      </c>
      <c r="C47" s="527" t="s">
        <v>822</v>
      </c>
      <c r="D47" s="357" t="s">
        <v>603</v>
      </c>
      <c r="E47" s="358">
        <v>46191</v>
      </c>
      <c r="F47" s="357" t="s">
        <v>596</v>
      </c>
      <c r="G47" s="357" t="s">
        <v>137</v>
      </c>
      <c r="H47" s="357" t="s">
        <v>1138</v>
      </c>
      <c r="I47" s="357"/>
      <c r="J47" s="537">
        <v>362.26</v>
      </c>
      <c r="K47" s="357">
        <v>22.259999999999991</v>
      </c>
      <c r="L47" s="538">
        <v>49.7</v>
      </c>
      <c r="M47" s="539">
        <v>50.75</v>
      </c>
      <c r="N47" s="357">
        <v>50.225000000000001</v>
      </c>
      <c r="O47" s="357">
        <v>50.225000000000001</v>
      </c>
      <c r="P47" s="536"/>
      <c r="Q47" s="550" t="s">
        <v>600</v>
      </c>
    </row>
    <row r="48" spans="1:17" hidden="1">
      <c r="A48" s="514">
        <v>46071</v>
      </c>
      <c r="B48" s="547" t="s">
        <v>821</v>
      </c>
      <c r="C48" s="527" t="s">
        <v>823</v>
      </c>
      <c r="D48" s="357" t="s">
        <v>603</v>
      </c>
      <c r="E48" s="358">
        <v>46191</v>
      </c>
      <c r="F48" s="357" t="s">
        <v>596</v>
      </c>
      <c r="G48" s="357" t="s">
        <v>137</v>
      </c>
      <c r="H48" s="357" t="s">
        <v>1139</v>
      </c>
      <c r="I48" s="357"/>
      <c r="J48" s="537">
        <v>362.26</v>
      </c>
      <c r="K48" s="357">
        <v>0</v>
      </c>
      <c r="L48" s="538">
        <v>30.1</v>
      </c>
      <c r="M48" s="539">
        <v>31.05</v>
      </c>
      <c r="N48" s="357">
        <v>30.575000000000003</v>
      </c>
      <c r="O48" s="357">
        <v>30.575000000000003</v>
      </c>
      <c r="P48" s="536"/>
      <c r="Q48" s="550" t="s">
        <v>600</v>
      </c>
    </row>
    <row r="49" spans="1:17" hidden="1">
      <c r="A49" s="514">
        <v>46071</v>
      </c>
      <c r="B49" s="547" t="s">
        <v>819</v>
      </c>
      <c r="C49" s="527" t="s">
        <v>824</v>
      </c>
      <c r="D49" s="357" t="s">
        <v>825</v>
      </c>
      <c r="E49" s="358">
        <v>46073</v>
      </c>
      <c r="F49" s="357" t="s">
        <v>596</v>
      </c>
      <c r="G49" s="357" t="s">
        <v>137</v>
      </c>
      <c r="H49" s="357" t="s">
        <v>1140</v>
      </c>
      <c r="I49" s="357"/>
      <c r="J49" s="532">
        <v>34.01</v>
      </c>
      <c r="K49" s="357">
        <v>0</v>
      </c>
      <c r="L49" s="533">
        <v>3.6286544665634218E-3</v>
      </c>
      <c r="M49" s="534">
        <v>3.6286544665634218E-3</v>
      </c>
      <c r="N49" s="357">
        <v>3.6286544665634218E-3</v>
      </c>
      <c r="O49" s="357">
        <v>4.8130979466514106E-3</v>
      </c>
      <c r="P49" s="536">
        <v>18.919454991319569</v>
      </c>
      <c r="Q49" s="550" t="s">
        <v>593</v>
      </c>
    </row>
    <row r="50" spans="1:17" hidden="1">
      <c r="A50" s="514">
        <v>46071</v>
      </c>
      <c r="B50" s="547" t="s">
        <v>837</v>
      </c>
      <c r="C50" s="527" t="s">
        <v>838</v>
      </c>
      <c r="D50" s="357" t="s">
        <v>839</v>
      </c>
      <c r="E50" s="358">
        <v>46283</v>
      </c>
      <c r="F50" s="357" t="s">
        <v>596</v>
      </c>
      <c r="G50" s="357" t="s">
        <v>137</v>
      </c>
      <c r="H50" s="357" t="s">
        <v>1141</v>
      </c>
      <c r="I50" s="357"/>
      <c r="J50" s="537">
        <v>102.56</v>
      </c>
      <c r="K50" s="357">
        <v>0</v>
      </c>
      <c r="L50" s="538">
        <v>9.3000000000000007</v>
      </c>
      <c r="M50" s="539">
        <v>10.3</v>
      </c>
      <c r="N50" s="357">
        <v>9.8000000000000007</v>
      </c>
      <c r="O50" s="357">
        <v>9.8000000000000007</v>
      </c>
      <c r="P50" s="536"/>
      <c r="Q50" s="550" t="s">
        <v>600</v>
      </c>
    </row>
    <row r="51" spans="1:17" hidden="1">
      <c r="A51" s="514">
        <v>46071</v>
      </c>
      <c r="B51" s="547" t="s">
        <v>836</v>
      </c>
      <c r="C51" s="527" t="s">
        <v>840</v>
      </c>
      <c r="D51" s="357" t="s">
        <v>839</v>
      </c>
      <c r="E51" s="358">
        <v>46283</v>
      </c>
      <c r="F51" s="357" t="s">
        <v>596</v>
      </c>
      <c r="G51" s="357" t="s">
        <v>137</v>
      </c>
      <c r="H51" s="357" t="s">
        <v>1142</v>
      </c>
      <c r="I51" s="357"/>
      <c r="J51" s="537">
        <v>102.56</v>
      </c>
      <c r="K51" s="357">
        <v>0</v>
      </c>
      <c r="L51" s="538">
        <v>12.75</v>
      </c>
      <c r="M51" s="539">
        <v>13.9</v>
      </c>
      <c r="N51" s="357">
        <v>13.324999999999999</v>
      </c>
      <c r="O51" s="357">
        <v>13.324999999999999</v>
      </c>
      <c r="P51" s="536"/>
      <c r="Q51" s="550" t="s">
        <v>600</v>
      </c>
    </row>
    <row r="52" spans="1:17" hidden="1">
      <c r="A52" s="514">
        <v>46071</v>
      </c>
      <c r="B52" s="547" t="s">
        <v>842</v>
      </c>
      <c r="C52" s="527" t="s">
        <v>846</v>
      </c>
      <c r="D52" s="357" t="s">
        <v>847</v>
      </c>
      <c r="E52" s="358">
        <v>46073</v>
      </c>
      <c r="F52" s="357" t="s">
        <v>596</v>
      </c>
      <c r="G52" s="357" t="s">
        <v>137</v>
      </c>
      <c r="H52" s="357" t="s">
        <v>1143</v>
      </c>
      <c r="I52" s="357"/>
      <c r="J52" s="537">
        <v>600.4</v>
      </c>
      <c r="K52" s="357">
        <v>100.39999999999998</v>
      </c>
      <c r="L52" s="538">
        <v>99.1</v>
      </c>
      <c r="M52" s="539">
        <v>104.1</v>
      </c>
      <c r="N52" s="357">
        <v>101.6</v>
      </c>
      <c r="O52" s="357">
        <v>101.6</v>
      </c>
      <c r="P52" s="536"/>
      <c r="Q52" s="550" t="s">
        <v>600</v>
      </c>
    </row>
    <row r="53" spans="1:17" hidden="1">
      <c r="A53" s="514">
        <v>46071</v>
      </c>
      <c r="B53" s="547" t="s">
        <v>848</v>
      </c>
      <c r="C53" s="527" t="s">
        <v>849</v>
      </c>
      <c r="D53" s="357" t="s">
        <v>601</v>
      </c>
      <c r="E53" s="358">
        <v>46073</v>
      </c>
      <c r="F53" s="357" t="s">
        <v>596</v>
      </c>
      <c r="G53" s="357" t="s">
        <v>137</v>
      </c>
      <c r="H53" s="357" t="s">
        <v>1140</v>
      </c>
      <c r="I53" s="357"/>
      <c r="J53" s="532">
        <v>38.03</v>
      </c>
      <c r="K53" s="357">
        <v>3.0300000000000011</v>
      </c>
      <c r="L53" s="533">
        <v>3.0563660781765463</v>
      </c>
      <c r="M53" s="534">
        <v>3.0563660781765463</v>
      </c>
      <c r="N53" s="357">
        <v>3.0563660781765463</v>
      </c>
      <c r="O53" s="357">
        <v>3.0618092963164272</v>
      </c>
      <c r="P53" s="536">
        <v>58.832432861441774</v>
      </c>
      <c r="Q53" s="550" t="s">
        <v>593</v>
      </c>
    </row>
    <row r="54" spans="1:17" hidden="1">
      <c r="A54" s="514">
        <v>46071</v>
      </c>
      <c r="B54" t="s">
        <v>843</v>
      </c>
      <c r="C54" s="527" t="s">
        <v>850</v>
      </c>
      <c r="D54" s="357" t="s">
        <v>726</v>
      </c>
      <c r="E54" s="358">
        <v>46101</v>
      </c>
      <c r="F54" s="357" t="s">
        <v>591</v>
      </c>
      <c r="G54" s="357" t="s">
        <v>137</v>
      </c>
      <c r="H54" s="357" t="s">
        <v>1144</v>
      </c>
      <c r="I54" s="357"/>
      <c r="J54" s="537">
        <v>79.09</v>
      </c>
      <c r="K54" s="357">
        <v>0</v>
      </c>
      <c r="L54" s="538">
        <v>2.4500000000000002</v>
      </c>
      <c r="M54" s="539">
        <v>2.68</v>
      </c>
      <c r="N54" s="357">
        <v>2.5650000000000004</v>
      </c>
      <c r="O54" s="357">
        <v>2.5650000000000004</v>
      </c>
      <c r="P54" s="536"/>
      <c r="Q54" s="550" t="s">
        <v>600</v>
      </c>
    </row>
    <row r="55" spans="1:17" hidden="1">
      <c r="A55" s="514">
        <v>46071</v>
      </c>
      <c r="B55" t="s">
        <v>851</v>
      </c>
      <c r="C55" s="527" t="s">
        <v>857</v>
      </c>
      <c r="D55" s="357" t="s">
        <v>847</v>
      </c>
      <c r="E55" s="358">
        <v>46073</v>
      </c>
      <c r="F55" s="357" t="s">
        <v>596</v>
      </c>
      <c r="G55" s="357" t="s">
        <v>137</v>
      </c>
      <c r="H55" s="357" t="s">
        <v>1113</v>
      </c>
      <c r="I55" s="357"/>
      <c r="J55" s="537">
        <v>600.4</v>
      </c>
      <c r="K55" s="357">
        <v>50.399999999999977</v>
      </c>
      <c r="L55" s="538">
        <v>52.7</v>
      </c>
      <c r="M55" s="539">
        <v>56.9</v>
      </c>
      <c r="N55" s="357">
        <v>54.8</v>
      </c>
      <c r="O55" s="357">
        <v>54.8</v>
      </c>
      <c r="P55" s="536"/>
      <c r="Q55" s="550" t="s">
        <v>600</v>
      </c>
    </row>
    <row r="56" spans="1:17" hidden="1">
      <c r="A56" s="514">
        <v>46071</v>
      </c>
      <c r="B56" t="s">
        <v>854</v>
      </c>
      <c r="C56" s="527" t="s">
        <v>858</v>
      </c>
      <c r="D56" s="357" t="s">
        <v>734</v>
      </c>
      <c r="E56" s="358">
        <v>46220</v>
      </c>
      <c r="F56" s="357" t="s">
        <v>596</v>
      </c>
      <c r="G56" s="357" t="s">
        <v>137</v>
      </c>
      <c r="H56" s="357" t="s">
        <v>1145</v>
      </c>
      <c r="I56" s="357"/>
      <c r="J56" s="537">
        <v>643.22</v>
      </c>
      <c r="K56" s="357">
        <v>0</v>
      </c>
      <c r="L56" s="538">
        <v>49.75</v>
      </c>
      <c r="M56" s="539">
        <v>50.2</v>
      </c>
      <c r="N56" s="357">
        <v>49.975000000000001</v>
      </c>
      <c r="O56" s="357">
        <v>49.975000000000001</v>
      </c>
      <c r="P56" s="536"/>
      <c r="Q56" s="550" t="s">
        <v>600</v>
      </c>
    </row>
    <row r="57" spans="1:17" hidden="1">
      <c r="A57" s="514">
        <v>46071</v>
      </c>
      <c r="B57" t="s">
        <v>853</v>
      </c>
      <c r="C57" s="527" t="s">
        <v>859</v>
      </c>
      <c r="D57" s="357" t="s">
        <v>698</v>
      </c>
      <c r="E57" s="358">
        <v>46220</v>
      </c>
      <c r="F57" s="357" t="s">
        <v>596</v>
      </c>
      <c r="G57" s="357" t="s">
        <v>137</v>
      </c>
      <c r="H57" s="357" t="s">
        <v>1146</v>
      </c>
      <c r="I57" s="357"/>
      <c r="J57" s="537">
        <v>204.79</v>
      </c>
      <c r="K57" s="357">
        <v>0</v>
      </c>
      <c r="L57" s="538">
        <v>6.5</v>
      </c>
      <c r="M57" s="539">
        <v>6.65</v>
      </c>
      <c r="N57" s="357">
        <v>6.5750000000000002</v>
      </c>
      <c r="O57" s="357">
        <v>6.5750000000000002</v>
      </c>
      <c r="P57" s="536"/>
      <c r="Q57" s="550" t="s">
        <v>600</v>
      </c>
    </row>
    <row r="58" spans="1:17">
      <c r="A58" s="514">
        <v>46071</v>
      </c>
      <c r="B58" s="536" t="s">
        <v>860</v>
      </c>
      <c r="C58" s="527" t="s">
        <v>861</v>
      </c>
      <c r="D58" s="357" t="s">
        <v>862</v>
      </c>
      <c r="E58" s="358">
        <v>46366</v>
      </c>
      <c r="F58" s="357" t="s">
        <v>596</v>
      </c>
      <c r="G58" s="357" t="s">
        <v>770</v>
      </c>
      <c r="H58" s="357" t="s">
        <v>1147</v>
      </c>
      <c r="I58" s="357"/>
      <c r="J58" s="532" t="s">
        <v>1101</v>
      </c>
      <c r="K58" s="357" t="e">
        <v>#VALUE!</v>
      </c>
      <c r="L58" s="532">
        <v>45.297886678887792</v>
      </c>
      <c r="M58" s="532">
        <v>45.297886678887792</v>
      </c>
      <c r="N58" s="532">
        <v>45.297886678887792</v>
      </c>
      <c r="O58" s="532">
        <v>45.331513735407164</v>
      </c>
      <c r="P58" s="357">
        <v>32.167540922992778</v>
      </c>
      <c r="Q58" s="550" t="s">
        <v>593</v>
      </c>
    </row>
    <row r="59" spans="1:17" hidden="1">
      <c r="A59" s="514">
        <v>46071</v>
      </c>
      <c r="B59" t="s">
        <v>852</v>
      </c>
      <c r="C59" s="527" t="s">
        <v>863</v>
      </c>
      <c r="D59" s="357" t="s">
        <v>744</v>
      </c>
      <c r="E59" s="358">
        <v>46101</v>
      </c>
      <c r="F59" s="357" t="s">
        <v>596</v>
      </c>
      <c r="G59" s="357" t="s">
        <v>137</v>
      </c>
      <c r="H59" s="357" t="s">
        <v>1148</v>
      </c>
      <c r="I59" s="357"/>
      <c r="J59" s="537">
        <v>594.26</v>
      </c>
      <c r="K59" s="357">
        <v>174.26</v>
      </c>
      <c r="L59" s="538">
        <v>187.1</v>
      </c>
      <c r="M59" s="539">
        <v>190.7</v>
      </c>
      <c r="N59" s="357">
        <v>188.89999999999998</v>
      </c>
      <c r="O59" s="357">
        <v>188.89999999999998</v>
      </c>
      <c r="P59" s="536"/>
      <c r="Q59" s="550" t="s">
        <v>600</v>
      </c>
    </row>
    <row r="60" spans="1:17" hidden="1">
      <c r="A60" s="514">
        <v>46071</v>
      </c>
      <c r="B60" t="s">
        <v>855</v>
      </c>
      <c r="C60" s="527" t="s">
        <v>864</v>
      </c>
      <c r="D60" s="357" t="s">
        <v>602</v>
      </c>
      <c r="E60" s="358">
        <v>46220</v>
      </c>
      <c r="F60" s="357" t="s">
        <v>596</v>
      </c>
      <c r="G60" s="357" t="s">
        <v>137</v>
      </c>
      <c r="H60" s="357" t="s">
        <v>1120</v>
      </c>
      <c r="I60" s="357"/>
      <c r="J60" s="537">
        <v>399.6</v>
      </c>
      <c r="K60" s="357">
        <v>0</v>
      </c>
      <c r="L60" s="538">
        <v>10</v>
      </c>
      <c r="M60" s="539">
        <v>10.25</v>
      </c>
      <c r="N60" s="357">
        <v>10.125</v>
      </c>
      <c r="O60" s="357">
        <v>10.125</v>
      </c>
      <c r="P60" s="536"/>
      <c r="Q60" s="550" t="s">
        <v>600</v>
      </c>
    </row>
    <row r="61" spans="1:17" hidden="1">
      <c r="A61" s="514">
        <v>46071</v>
      </c>
      <c r="B61" s="526" t="s">
        <v>880</v>
      </c>
      <c r="C61" s="527" t="s">
        <v>881</v>
      </c>
      <c r="D61" s="357" t="s">
        <v>601</v>
      </c>
      <c r="E61" s="358">
        <v>46073</v>
      </c>
      <c r="F61" s="357" t="s">
        <v>596</v>
      </c>
      <c r="G61" s="357" t="s">
        <v>137</v>
      </c>
      <c r="H61" s="357" t="s">
        <v>1149</v>
      </c>
      <c r="I61" s="357"/>
      <c r="J61" s="532">
        <v>38.03</v>
      </c>
      <c r="K61" s="357">
        <v>1.0300000000000011</v>
      </c>
      <c r="L61" s="532">
        <v>1.1629154481913002</v>
      </c>
      <c r="M61" s="532">
        <v>1.1629154481913002</v>
      </c>
      <c r="N61" s="532">
        <v>1.1629154481913002</v>
      </c>
      <c r="O61" s="532">
        <v>1.1781917876505972</v>
      </c>
      <c r="P61" s="357">
        <v>42.57301272134508</v>
      </c>
      <c r="Q61" s="550" t="s">
        <v>593</v>
      </c>
    </row>
    <row r="62" spans="1:17" hidden="1">
      <c r="A62" s="514">
        <v>46071</v>
      </c>
      <c r="B62" s="526" t="s">
        <v>877</v>
      </c>
      <c r="C62" s="527" t="s">
        <v>882</v>
      </c>
      <c r="D62" s="357" t="s">
        <v>883</v>
      </c>
      <c r="E62" s="358">
        <v>46220</v>
      </c>
      <c r="F62" s="357" t="s">
        <v>596</v>
      </c>
      <c r="G62" s="357" t="s">
        <v>137</v>
      </c>
      <c r="H62" s="357" t="s">
        <v>1150</v>
      </c>
      <c r="I62" s="357"/>
      <c r="J62" s="537">
        <v>45.46</v>
      </c>
      <c r="K62" s="357">
        <v>0</v>
      </c>
      <c r="L62" s="538">
        <v>5.15</v>
      </c>
      <c r="M62" s="539">
        <v>5.6</v>
      </c>
      <c r="N62" s="357">
        <v>5.375</v>
      </c>
      <c r="O62" s="357">
        <v>5.375</v>
      </c>
      <c r="P62" s="536"/>
      <c r="Q62" s="550" t="s">
        <v>600</v>
      </c>
    </row>
    <row r="63" spans="1:17" hidden="1">
      <c r="A63" s="514">
        <v>46071</v>
      </c>
      <c r="B63" s="526" t="s">
        <v>878</v>
      </c>
      <c r="C63" s="527" t="s">
        <v>884</v>
      </c>
      <c r="D63" s="357" t="s">
        <v>883</v>
      </c>
      <c r="E63" s="358">
        <v>46220</v>
      </c>
      <c r="F63" s="357" t="s">
        <v>596</v>
      </c>
      <c r="G63" s="357" t="s">
        <v>137</v>
      </c>
      <c r="H63" s="357" t="s">
        <v>1151</v>
      </c>
      <c r="I63" s="357"/>
      <c r="J63" s="537">
        <v>45.46</v>
      </c>
      <c r="K63" s="357">
        <v>0</v>
      </c>
      <c r="L63" s="538">
        <v>2.65</v>
      </c>
      <c r="M63" s="539">
        <v>2.84</v>
      </c>
      <c r="N63" s="357">
        <v>2.7450000000000001</v>
      </c>
      <c r="O63" s="357">
        <v>2.7450000000000001</v>
      </c>
      <c r="P63" s="536"/>
      <c r="Q63" s="550" t="s">
        <v>600</v>
      </c>
    </row>
    <row r="64" spans="1:17" hidden="1">
      <c r="A64" s="514">
        <v>46071</v>
      </c>
      <c r="B64" s="526" t="s">
        <v>876</v>
      </c>
      <c r="C64" s="527" t="s">
        <v>885</v>
      </c>
      <c r="D64" s="357" t="s">
        <v>883</v>
      </c>
      <c r="E64" s="358">
        <v>46220</v>
      </c>
      <c r="F64" s="357" t="s">
        <v>591</v>
      </c>
      <c r="G64" s="357" t="s">
        <v>137</v>
      </c>
      <c r="H64" s="357" t="s">
        <v>1152</v>
      </c>
      <c r="I64" s="357"/>
      <c r="J64" s="537">
        <v>45.46</v>
      </c>
      <c r="K64" s="357">
        <v>0</v>
      </c>
      <c r="L64" s="538">
        <v>3.6</v>
      </c>
      <c r="M64" s="539">
        <v>3.95</v>
      </c>
      <c r="N64" s="357">
        <v>3.7750000000000004</v>
      </c>
      <c r="O64" s="357">
        <v>3.7750000000000004</v>
      </c>
      <c r="P64" s="536"/>
      <c r="Q64" s="550" t="s">
        <v>600</v>
      </c>
    </row>
    <row r="65" spans="1:17" hidden="1">
      <c r="A65" s="514">
        <v>46071</v>
      </c>
      <c r="B65" s="526" t="s">
        <v>879</v>
      </c>
      <c r="C65" s="527" t="s">
        <v>886</v>
      </c>
      <c r="D65" s="357" t="s">
        <v>602</v>
      </c>
      <c r="E65" s="358">
        <v>46220</v>
      </c>
      <c r="F65" s="357" t="s">
        <v>596</v>
      </c>
      <c r="G65" s="357" t="s">
        <v>137</v>
      </c>
      <c r="H65" s="357" t="s">
        <v>1153</v>
      </c>
      <c r="I65" s="357"/>
      <c r="J65" s="537">
        <v>399.6</v>
      </c>
      <c r="K65" s="357">
        <v>0</v>
      </c>
      <c r="L65" s="538">
        <v>8.25</v>
      </c>
      <c r="M65" s="539">
        <v>8.4499999999999993</v>
      </c>
      <c r="N65" s="357">
        <v>8.35</v>
      </c>
      <c r="O65" s="357">
        <v>8.35</v>
      </c>
      <c r="P65" s="536"/>
      <c r="Q65" s="550" t="s">
        <v>600</v>
      </c>
    </row>
    <row r="66" spans="1:17" hidden="1">
      <c r="A66" s="514">
        <v>46071</v>
      </c>
      <c r="B66" s="547" t="s">
        <v>896</v>
      </c>
      <c r="C66" s="527" t="s">
        <v>909</v>
      </c>
      <c r="D66" s="357" t="s">
        <v>602</v>
      </c>
      <c r="E66" s="358">
        <v>46220</v>
      </c>
      <c r="F66" s="357" t="s">
        <v>596</v>
      </c>
      <c r="G66" s="357" t="s">
        <v>137</v>
      </c>
      <c r="H66" s="357" t="s">
        <v>1143</v>
      </c>
      <c r="I66" s="357"/>
      <c r="J66" s="537">
        <v>399.6</v>
      </c>
      <c r="K66" s="357">
        <v>0</v>
      </c>
      <c r="L66" s="538">
        <v>5.0999999999999996</v>
      </c>
      <c r="M66" s="539">
        <v>5.25</v>
      </c>
      <c r="N66" s="357">
        <v>5.1749999999999998</v>
      </c>
      <c r="O66" s="357">
        <v>5.1749999999999998</v>
      </c>
      <c r="P66" s="536"/>
      <c r="Q66" s="550" t="s">
        <v>600</v>
      </c>
    </row>
    <row r="67" spans="1:17" hidden="1">
      <c r="A67" s="514">
        <v>46071</v>
      </c>
      <c r="B67" s="547" t="s">
        <v>910</v>
      </c>
      <c r="C67" s="527" t="s">
        <v>911</v>
      </c>
      <c r="D67" s="357" t="s">
        <v>912</v>
      </c>
      <c r="E67" s="358">
        <v>46129</v>
      </c>
      <c r="F67" s="357" t="s">
        <v>596</v>
      </c>
      <c r="G67" s="357" t="s">
        <v>137</v>
      </c>
      <c r="H67" s="357" t="s">
        <v>1154</v>
      </c>
      <c r="I67" s="357"/>
      <c r="J67" s="537">
        <v>61.19</v>
      </c>
      <c r="K67" s="357">
        <v>0.18999999999999773</v>
      </c>
      <c r="L67" s="538">
        <v>2.13</v>
      </c>
      <c r="M67" s="539">
        <v>2.36</v>
      </c>
      <c r="N67" s="357">
        <v>2.2450000000000001</v>
      </c>
      <c r="O67" s="357">
        <v>2.2450000000000001</v>
      </c>
      <c r="P67" s="536"/>
      <c r="Q67" s="550" t="s">
        <v>600</v>
      </c>
    </row>
    <row r="68" spans="1:17" hidden="1">
      <c r="A68" s="514">
        <v>46071</v>
      </c>
      <c r="B68" s="547" t="s">
        <v>913</v>
      </c>
      <c r="C68" s="527" t="s">
        <v>914</v>
      </c>
      <c r="D68" s="357" t="s">
        <v>912</v>
      </c>
      <c r="E68" s="358">
        <v>46129</v>
      </c>
      <c r="F68" s="357" t="s">
        <v>596</v>
      </c>
      <c r="G68" s="357" t="s">
        <v>137</v>
      </c>
      <c r="H68" s="357" t="s">
        <v>1155</v>
      </c>
      <c r="I68" s="357"/>
      <c r="J68" s="537">
        <v>61.19</v>
      </c>
      <c r="K68" s="357">
        <v>0</v>
      </c>
      <c r="L68" s="538">
        <v>0.61</v>
      </c>
      <c r="M68" s="539">
        <v>0.65</v>
      </c>
      <c r="N68" s="357">
        <v>0.63</v>
      </c>
      <c r="O68" s="357">
        <v>0.63</v>
      </c>
      <c r="P68" s="536"/>
      <c r="Q68" s="550" t="s">
        <v>600</v>
      </c>
    </row>
    <row r="69" spans="1:17" hidden="1">
      <c r="A69" s="514">
        <v>46071</v>
      </c>
      <c r="B69" t="s">
        <v>915</v>
      </c>
      <c r="C69" s="527" t="s">
        <v>916</v>
      </c>
      <c r="D69" s="357" t="s">
        <v>912</v>
      </c>
      <c r="E69" s="358">
        <v>46073</v>
      </c>
      <c r="F69" s="357" t="s">
        <v>596</v>
      </c>
      <c r="G69" s="357" t="s">
        <v>137</v>
      </c>
      <c r="H69" s="357" t="s">
        <v>1154</v>
      </c>
      <c r="I69" s="357"/>
      <c r="J69" s="532">
        <v>61.19</v>
      </c>
      <c r="K69" s="357">
        <v>0.18999999999999773</v>
      </c>
      <c r="L69" s="532">
        <v>0.50477587080923592</v>
      </c>
      <c r="M69" s="532">
        <v>0.50477587080923592</v>
      </c>
      <c r="N69" s="532">
        <v>0.50477587080923592</v>
      </c>
      <c r="O69" s="532">
        <v>0.52323575231659936</v>
      </c>
      <c r="P69" s="357">
        <v>22.24609191041559</v>
      </c>
      <c r="Q69" s="550" t="s">
        <v>593</v>
      </c>
    </row>
    <row r="70" spans="1:17" hidden="1">
      <c r="A70" s="514">
        <v>46071</v>
      </c>
      <c r="B70" t="s">
        <v>921</v>
      </c>
      <c r="C70" s="527" t="s">
        <v>938</v>
      </c>
      <c r="D70" s="357" t="s">
        <v>937</v>
      </c>
      <c r="E70" s="358">
        <v>46157</v>
      </c>
      <c r="F70" s="357" t="s">
        <v>596</v>
      </c>
      <c r="G70" s="357" t="s">
        <v>137</v>
      </c>
      <c r="H70" s="357" t="s">
        <v>1117</v>
      </c>
      <c r="I70" s="357"/>
      <c r="J70" s="537">
        <v>187.98</v>
      </c>
      <c r="K70" s="357">
        <v>0</v>
      </c>
      <c r="L70" s="538">
        <v>11.95</v>
      </c>
      <c r="M70" s="539">
        <v>12.05</v>
      </c>
      <c r="N70" s="357">
        <v>12</v>
      </c>
      <c r="O70" s="357">
        <v>12</v>
      </c>
      <c r="P70" s="536"/>
      <c r="Q70" s="550" t="s">
        <v>600</v>
      </c>
    </row>
    <row r="71" spans="1:17" hidden="1">
      <c r="A71" s="514">
        <v>46071</v>
      </c>
      <c r="B71" t="s">
        <v>932</v>
      </c>
      <c r="C71" s="527" t="s">
        <v>939</v>
      </c>
      <c r="D71" s="357" t="s">
        <v>734</v>
      </c>
      <c r="E71" s="358">
        <v>46220</v>
      </c>
      <c r="F71" s="357" t="s">
        <v>596</v>
      </c>
      <c r="G71" s="357" t="s">
        <v>137</v>
      </c>
      <c r="H71" s="357" t="s">
        <v>1156</v>
      </c>
      <c r="I71" s="357"/>
      <c r="J71" s="537">
        <v>643.22</v>
      </c>
      <c r="K71" s="357">
        <v>0</v>
      </c>
      <c r="L71" s="538">
        <v>37.85</v>
      </c>
      <c r="M71" s="539">
        <v>38.299999999999997</v>
      </c>
      <c r="N71" s="357">
        <v>38.075000000000003</v>
      </c>
      <c r="O71" s="357">
        <v>38.075000000000003</v>
      </c>
      <c r="P71" s="536"/>
      <c r="Q71" s="550" t="s">
        <v>600</v>
      </c>
    </row>
    <row r="72" spans="1:17" hidden="1">
      <c r="A72" s="514">
        <v>46071</v>
      </c>
      <c r="B72" t="s">
        <v>954</v>
      </c>
      <c r="C72" s="527" t="s">
        <v>960</v>
      </c>
      <c r="D72" s="357" t="s">
        <v>961</v>
      </c>
      <c r="E72" s="358">
        <v>46129</v>
      </c>
      <c r="F72" s="357" t="s">
        <v>596</v>
      </c>
      <c r="G72" s="357" t="s">
        <v>137</v>
      </c>
      <c r="H72" s="357" t="s">
        <v>1116</v>
      </c>
      <c r="I72" s="357"/>
      <c r="J72" s="537">
        <v>264.35000000000002</v>
      </c>
      <c r="K72" s="357">
        <v>4.3500000000000227</v>
      </c>
      <c r="L72" s="538">
        <v>14.05</v>
      </c>
      <c r="M72" s="539">
        <v>14.85</v>
      </c>
      <c r="N72" s="357">
        <v>14.45</v>
      </c>
      <c r="O72" s="357">
        <v>14.45</v>
      </c>
      <c r="P72" s="536"/>
      <c r="Q72" s="550" t="s">
        <v>600</v>
      </c>
    </row>
    <row r="73" spans="1:17" hidden="1">
      <c r="A73" s="514">
        <v>46071</v>
      </c>
      <c r="B73" t="s">
        <v>955</v>
      </c>
      <c r="C73" s="527" t="s">
        <v>962</v>
      </c>
      <c r="D73" s="357" t="s">
        <v>961</v>
      </c>
      <c r="E73" s="358">
        <v>46129</v>
      </c>
      <c r="F73" s="357" t="s">
        <v>596</v>
      </c>
      <c r="G73" s="357" t="s">
        <v>137</v>
      </c>
      <c r="H73" s="357" t="s">
        <v>1157</v>
      </c>
      <c r="I73" s="357"/>
      <c r="J73" s="537">
        <v>264.35000000000002</v>
      </c>
      <c r="K73" s="357">
        <v>0</v>
      </c>
      <c r="L73" s="538">
        <v>4.5999999999999996</v>
      </c>
      <c r="M73" s="539">
        <v>4.75</v>
      </c>
      <c r="N73" s="357">
        <v>4.6749999999999998</v>
      </c>
      <c r="O73" s="357">
        <v>4.6749999999999998</v>
      </c>
      <c r="P73" s="536"/>
      <c r="Q73" s="550" t="s">
        <v>600</v>
      </c>
    </row>
    <row r="74" spans="1:17" hidden="1">
      <c r="A74" s="514">
        <v>46071</v>
      </c>
      <c r="B74" t="s">
        <v>953</v>
      </c>
      <c r="C74" s="527" t="s">
        <v>963</v>
      </c>
      <c r="D74" s="357" t="s">
        <v>734</v>
      </c>
      <c r="E74" s="358">
        <v>46220</v>
      </c>
      <c r="F74" s="357" t="s">
        <v>596</v>
      </c>
      <c r="G74" s="357" t="s">
        <v>137</v>
      </c>
      <c r="H74" s="357" t="s">
        <v>1124</v>
      </c>
      <c r="I74" s="357"/>
      <c r="J74" s="537">
        <v>643.22</v>
      </c>
      <c r="K74" s="357">
        <v>0</v>
      </c>
      <c r="L74" s="538">
        <v>23.2</v>
      </c>
      <c r="M74" s="539">
        <v>23.6</v>
      </c>
      <c r="N74" s="357">
        <v>23.4</v>
      </c>
      <c r="O74" s="357">
        <v>23.4</v>
      </c>
      <c r="P74" s="536"/>
      <c r="Q74" s="550" t="s">
        <v>600</v>
      </c>
    </row>
    <row r="75" spans="1:17" hidden="1">
      <c r="A75" s="514">
        <v>46071</v>
      </c>
      <c r="B75" t="s">
        <v>975</v>
      </c>
      <c r="C75" s="527" t="s">
        <v>984</v>
      </c>
      <c r="D75" s="357" t="s">
        <v>726</v>
      </c>
      <c r="E75" s="358">
        <v>46101</v>
      </c>
      <c r="F75" s="357" t="s">
        <v>591</v>
      </c>
      <c r="G75" s="357" t="s">
        <v>137</v>
      </c>
      <c r="H75" s="357" t="s">
        <v>1151</v>
      </c>
      <c r="I75" s="357"/>
      <c r="J75" s="537">
        <v>79.09</v>
      </c>
      <c r="K75" s="357">
        <v>0</v>
      </c>
      <c r="L75" s="538">
        <v>0.77</v>
      </c>
      <c r="M75" s="539">
        <v>0.94</v>
      </c>
      <c r="N75" s="357">
        <v>0.85499999999999998</v>
      </c>
      <c r="O75" s="357">
        <v>0.85499999999999998</v>
      </c>
      <c r="P75" s="536"/>
      <c r="Q75" s="550" t="s">
        <v>600</v>
      </c>
    </row>
    <row r="76" spans="1:17" hidden="1">
      <c r="A76" s="514">
        <v>46071</v>
      </c>
      <c r="B76" t="s">
        <v>976</v>
      </c>
      <c r="C76" s="527" t="s">
        <v>985</v>
      </c>
      <c r="D76" s="357" t="s">
        <v>754</v>
      </c>
      <c r="E76" s="358">
        <v>46157</v>
      </c>
      <c r="F76" s="357" t="s">
        <v>596</v>
      </c>
      <c r="G76" s="357" t="s">
        <v>137</v>
      </c>
      <c r="H76" s="357" t="s">
        <v>1122</v>
      </c>
      <c r="I76" s="357"/>
      <c r="J76" s="537">
        <v>77.989999999999995</v>
      </c>
      <c r="K76" s="357">
        <v>0</v>
      </c>
      <c r="L76" s="538">
        <v>2.17</v>
      </c>
      <c r="M76" s="539">
        <v>2.41</v>
      </c>
      <c r="N76" s="357">
        <v>2.29</v>
      </c>
      <c r="O76" s="357">
        <v>2.29</v>
      </c>
      <c r="P76" s="536"/>
      <c r="Q76" s="550" t="s">
        <v>600</v>
      </c>
    </row>
    <row r="77" spans="1:17" hidden="1">
      <c r="A77" s="514">
        <v>46071</v>
      </c>
      <c r="B77" t="s">
        <v>977</v>
      </c>
      <c r="C77" s="527" t="s">
        <v>986</v>
      </c>
      <c r="D77" s="357" t="s">
        <v>754</v>
      </c>
      <c r="E77" s="358">
        <v>46157</v>
      </c>
      <c r="F77" s="357" t="s">
        <v>591</v>
      </c>
      <c r="G77" s="357" t="s">
        <v>137</v>
      </c>
      <c r="H77" s="357" t="s">
        <v>1144</v>
      </c>
      <c r="I77" s="357"/>
      <c r="J77" s="537">
        <v>77.989999999999995</v>
      </c>
      <c r="K77" s="357">
        <v>0</v>
      </c>
      <c r="L77" s="538">
        <v>2.58</v>
      </c>
      <c r="M77" s="539">
        <v>2.86</v>
      </c>
      <c r="N77" s="357">
        <v>2.7199999999999998</v>
      </c>
      <c r="O77" s="357">
        <v>2.7199999999999998</v>
      </c>
      <c r="P77" s="536"/>
      <c r="Q77" s="550" t="s">
        <v>600</v>
      </c>
    </row>
    <row r="78" spans="1:17" hidden="1">
      <c r="A78" s="514">
        <v>46071</v>
      </c>
      <c r="B78" t="s">
        <v>993</v>
      </c>
      <c r="C78" s="527" t="s">
        <v>994</v>
      </c>
      <c r="D78" s="357" t="s">
        <v>995</v>
      </c>
      <c r="E78" s="358">
        <v>46073</v>
      </c>
      <c r="F78" s="357" t="s">
        <v>596</v>
      </c>
      <c r="G78" s="357" t="s">
        <v>137</v>
      </c>
      <c r="H78" s="357" t="s">
        <v>1158</v>
      </c>
      <c r="I78" s="357"/>
      <c r="J78" s="532">
        <v>2009.05</v>
      </c>
      <c r="K78" s="357">
        <v>0</v>
      </c>
      <c r="L78" s="532">
        <v>1.0527972981083209</v>
      </c>
      <c r="M78" s="532">
        <v>1.0527972981083209</v>
      </c>
      <c r="N78" s="532">
        <v>1.0527972981083209</v>
      </c>
      <c r="O78" s="532">
        <v>1.3454460981572505</v>
      </c>
      <c r="P78" s="357">
        <v>50.513638214431012</v>
      </c>
      <c r="Q78" s="550" t="s">
        <v>593</v>
      </c>
    </row>
    <row r="79" spans="1:17" hidden="1">
      <c r="A79" s="514">
        <v>46071</v>
      </c>
      <c r="B79" t="s">
        <v>1004</v>
      </c>
      <c r="C79" s="527" t="s">
        <v>1010</v>
      </c>
      <c r="D79" s="357" t="s">
        <v>698</v>
      </c>
      <c r="E79" s="358">
        <v>46129</v>
      </c>
      <c r="F79" s="357" t="s">
        <v>596</v>
      </c>
      <c r="G79" s="357" t="s">
        <v>137</v>
      </c>
      <c r="H79" s="357" t="s">
        <v>1159</v>
      </c>
      <c r="I79" s="357"/>
      <c r="J79" s="537">
        <v>204.79</v>
      </c>
      <c r="K79" s="357">
        <v>0</v>
      </c>
      <c r="L79" s="538">
        <v>1.93</v>
      </c>
      <c r="M79" s="539">
        <v>1.98</v>
      </c>
      <c r="N79" s="357">
        <v>1.9550000000000001</v>
      </c>
      <c r="O79" s="357">
        <v>1.9550000000000001</v>
      </c>
      <c r="P79" s="536"/>
      <c r="Q79" s="550" t="s">
        <v>600</v>
      </c>
    </row>
    <row r="80" spans="1:17" hidden="1">
      <c r="A80" s="514">
        <v>46071</v>
      </c>
      <c r="B80" t="s">
        <v>1005</v>
      </c>
      <c r="C80" s="527" t="s">
        <v>1011</v>
      </c>
      <c r="D80" s="357" t="s">
        <v>698</v>
      </c>
      <c r="E80" s="358">
        <v>46129</v>
      </c>
      <c r="F80" s="357" t="s">
        <v>596</v>
      </c>
      <c r="G80" s="357" t="s">
        <v>137</v>
      </c>
      <c r="H80" s="357" t="s">
        <v>1108</v>
      </c>
      <c r="I80" s="357"/>
      <c r="J80" s="537">
        <v>204.79</v>
      </c>
      <c r="K80" s="357">
        <v>0</v>
      </c>
      <c r="L80" s="538">
        <v>0.79</v>
      </c>
      <c r="M80" s="539">
        <v>0.81</v>
      </c>
      <c r="N80" s="357">
        <v>0.8</v>
      </c>
      <c r="O80" s="357">
        <v>0.8</v>
      </c>
      <c r="P80" s="536"/>
      <c r="Q80" s="550" t="s">
        <v>600</v>
      </c>
    </row>
    <row r="81" spans="1:17" hidden="1">
      <c r="A81" s="514">
        <v>46071</v>
      </c>
      <c r="B81" t="s">
        <v>1043</v>
      </c>
      <c r="C81" s="527" t="s">
        <v>1050</v>
      </c>
      <c r="D81" s="357" t="s">
        <v>825</v>
      </c>
      <c r="E81" s="358">
        <v>46080</v>
      </c>
      <c r="F81" s="357" t="s">
        <v>596</v>
      </c>
      <c r="G81" s="357" t="s">
        <v>137</v>
      </c>
      <c r="H81" s="357" t="s">
        <v>1140</v>
      </c>
      <c r="I81" s="357"/>
      <c r="J81" s="532">
        <v>34.01</v>
      </c>
      <c r="K81" s="357">
        <v>0</v>
      </c>
      <c r="L81" s="532">
        <v>0.11303696979721431</v>
      </c>
      <c r="M81" s="532">
        <v>0.11303696979721431</v>
      </c>
      <c r="N81" s="532">
        <v>0.11303696979721431</v>
      </c>
      <c r="O81" s="532">
        <v>0.11621779838368697</v>
      </c>
      <c r="P81" s="357">
        <v>20.303176566147798</v>
      </c>
      <c r="Q81" s="550" t="s">
        <v>593</v>
      </c>
    </row>
    <row r="82" spans="1:17" hidden="1">
      <c r="A82" s="514">
        <v>46071</v>
      </c>
      <c r="B82" t="s">
        <v>1039</v>
      </c>
      <c r="C82" s="527" t="s">
        <v>1051</v>
      </c>
      <c r="D82" s="357" t="s">
        <v>744</v>
      </c>
      <c r="E82" s="358">
        <v>46191</v>
      </c>
      <c r="F82" s="357" t="s">
        <v>596</v>
      </c>
      <c r="G82" s="357" t="s">
        <v>137</v>
      </c>
      <c r="H82" s="357" t="s">
        <v>1135</v>
      </c>
      <c r="I82" s="357"/>
      <c r="J82" s="537">
        <v>594.26</v>
      </c>
      <c r="K82" s="357">
        <v>0</v>
      </c>
      <c r="L82" s="538">
        <v>139.6</v>
      </c>
      <c r="M82" s="539">
        <v>143.6</v>
      </c>
      <c r="N82" s="357">
        <v>141.6</v>
      </c>
      <c r="O82" s="357">
        <v>141.6</v>
      </c>
      <c r="P82" s="536"/>
      <c r="Q82" s="550" t="s">
        <v>600</v>
      </c>
    </row>
    <row r="83" spans="1:17" hidden="1">
      <c r="A83" s="514">
        <v>46071</v>
      </c>
      <c r="B83" t="s">
        <v>1040</v>
      </c>
      <c r="C83" s="527" t="s">
        <v>1052</v>
      </c>
      <c r="D83" s="357" t="s">
        <v>744</v>
      </c>
      <c r="E83" s="358">
        <v>46191</v>
      </c>
      <c r="F83" s="357" t="s">
        <v>596</v>
      </c>
      <c r="G83" s="357" t="s">
        <v>137</v>
      </c>
      <c r="H83" s="357" t="s">
        <v>1160</v>
      </c>
      <c r="I83" s="357"/>
      <c r="J83" s="537">
        <v>594.26</v>
      </c>
      <c r="K83" s="357">
        <v>0</v>
      </c>
      <c r="L83" s="538">
        <v>99.8</v>
      </c>
      <c r="M83" s="539">
        <v>104</v>
      </c>
      <c r="N83" s="357">
        <v>101.9</v>
      </c>
      <c r="O83" s="357">
        <v>101.9</v>
      </c>
      <c r="P83" s="536"/>
      <c r="Q83" s="550" t="s">
        <v>600</v>
      </c>
    </row>
    <row r="84" spans="1:17" hidden="1">
      <c r="A84" s="514">
        <v>46071</v>
      </c>
      <c r="B84" t="s">
        <v>1044</v>
      </c>
      <c r="C84" s="527" t="s">
        <v>1053</v>
      </c>
      <c r="D84" s="357" t="s">
        <v>1054</v>
      </c>
      <c r="E84" s="358">
        <v>46129</v>
      </c>
      <c r="F84" s="357" t="s">
        <v>596</v>
      </c>
      <c r="G84" s="357" t="s">
        <v>137</v>
      </c>
      <c r="H84" s="357" t="s">
        <v>1161</v>
      </c>
      <c r="I84" s="357"/>
      <c r="J84" s="532">
        <v>78.180000000000007</v>
      </c>
      <c r="K84" s="357">
        <v>0</v>
      </c>
      <c r="L84" s="532">
        <v>4.5110451960328576E-2</v>
      </c>
      <c r="M84" s="532">
        <v>4.5110451960328576E-2</v>
      </c>
      <c r="N84" s="532">
        <v>4.5110451960328576E-2</v>
      </c>
      <c r="O84" s="532">
        <v>4.5666564037905373E-2</v>
      </c>
      <c r="P84" s="357">
        <v>27.687058188876872</v>
      </c>
      <c r="Q84" s="550" t="s">
        <v>593</v>
      </c>
    </row>
    <row r="85" spans="1:17" hidden="1">
      <c r="A85" s="514">
        <v>46071</v>
      </c>
      <c r="B85" t="s">
        <v>1045</v>
      </c>
      <c r="C85" s="527" t="s">
        <v>1055</v>
      </c>
      <c r="D85" s="357" t="s">
        <v>1054</v>
      </c>
      <c r="E85" s="358">
        <v>46129</v>
      </c>
      <c r="F85" s="357" t="s">
        <v>596</v>
      </c>
      <c r="G85" s="357" t="s">
        <v>137</v>
      </c>
      <c r="H85" s="357" t="s">
        <v>1162</v>
      </c>
      <c r="I85" s="357"/>
      <c r="J85" s="537">
        <v>78.180000000000007</v>
      </c>
      <c r="K85" s="357">
        <v>0</v>
      </c>
      <c r="L85" s="538">
        <v>0.09</v>
      </c>
      <c r="M85" s="539">
        <v>0.11</v>
      </c>
      <c r="N85" s="357">
        <v>0.1</v>
      </c>
      <c r="O85" s="357">
        <v>0.1</v>
      </c>
      <c r="P85" s="536"/>
      <c r="Q85" s="550" t="s">
        <v>600</v>
      </c>
    </row>
    <row r="86" spans="1:17" hidden="1">
      <c r="A86" s="514">
        <v>46071</v>
      </c>
      <c r="B86" t="s">
        <v>1059</v>
      </c>
      <c r="C86" s="527" t="s">
        <v>1067</v>
      </c>
      <c r="D86" s="357" t="s">
        <v>616</v>
      </c>
      <c r="E86" s="358">
        <v>46073</v>
      </c>
      <c r="F86" s="357" t="s">
        <v>591</v>
      </c>
      <c r="G86" s="357" t="s">
        <v>137</v>
      </c>
      <c r="H86" s="357" t="s">
        <v>1125</v>
      </c>
      <c r="I86" s="357"/>
      <c r="J86" s="537">
        <v>605.79</v>
      </c>
      <c r="K86" s="357">
        <v>0</v>
      </c>
      <c r="L86" s="538">
        <v>0.75</v>
      </c>
      <c r="M86" s="539">
        <v>0.77</v>
      </c>
      <c r="N86" s="357">
        <v>0.76</v>
      </c>
      <c r="O86" s="357">
        <v>0.76</v>
      </c>
      <c r="P86" s="536"/>
      <c r="Q86" s="550" t="s">
        <v>600</v>
      </c>
    </row>
    <row r="87" spans="1:17" hidden="1">
      <c r="A87" s="514">
        <v>46071</v>
      </c>
      <c r="B87" t="s">
        <v>1058</v>
      </c>
      <c r="C87" s="527" t="s">
        <v>1068</v>
      </c>
      <c r="D87" s="357" t="s">
        <v>616</v>
      </c>
      <c r="E87" s="358">
        <v>46073</v>
      </c>
      <c r="F87" s="357" t="s">
        <v>591</v>
      </c>
      <c r="G87" s="357" t="s">
        <v>137</v>
      </c>
      <c r="H87" s="357" t="s">
        <v>1163</v>
      </c>
      <c r="I87" s="357"/>
      <c r="J87" s="537">
        <v>605.79</v>
      </c>
      <c r="K87" s="357">
        <v>0</v>
      </c>
      <c r="L87" s="538">
        <v>3.98</v>
      </c>
      <c r="M87" s="539">
        <v>4.01</v>
      </c>
      <c r="N87" s="357">
        <v>3.9950000000000001</v>
      </c>
      <c r="O87" s="357">
        <v>3.9950000000000001</v>
      </c>
      <c r="P87" s="536"/>
      <c r="Q87" s="550" t="s">
        <v>600</v>
      </c>
    </row>
    <row r="88" spans="1:17" hidden="1">
      <c r="A88" s="514">
        <v>46071</v>
      </c>
      <c r="B88" t="s">
        <v>1060</v>
      </c>
      <c r="C88" s="527" t="s">
        <v>1069</v>
      </c>
      <c r="D88" s="357" t="s">
        <v>937</v>
      </c>
      <c r="E88" s="358">
        <v>46101</v>
      </c>
      <c r="F88" s="357" t="s">
        <v>596</v>
      </c>
      <c r="G88" s="357" t="s">
        <v>137</v>
      </c>
      <c r="H88" s="357" t="s">
        <v>1117</v>
      </c>
      <c r="I88" s="357"/>
      <c r="J88" s="537">
        <v>187.98</v>
      </c>
      <c r="K88" s="357">
        <v>0</v>
      </c>
      <c r="L88" s="538">
        <v>5.7</v>
      </c>
      <c r="M88" s="539">
        <v>5.8</v>
      </c>
      <c r="N88" s="357">
        <v>5.75</v>
      </c>
      <c r="O88" s="357">
        <v>5.75</v>
      </c>
      <c r="P88" s="536"/>
      <c r="Q88" s="550" t="s">
        <v>600</v>
      </c>
    </row>
    <row r="89" spans="1:17" hidden="1">
      <c r="A89" s="514">
        <v>46071</v>
      </c>
      <c r="B89" t="s">
        <v>1063</v>
      </c>
      <c r="C89" s="527" t="s">
        <v>1070</v>
      </c>
      <c r="D89" s="357" t="s">
        <v>698</v>
      </c>
      <c r="E89" s="358">
        <v>46220</v>
      </c>
      <c r="F89" s="357" t="s">
        <v>596</v>
      </c>
      <c r="G89" s="357" t="s">
        <v>137</v>
      </c>
      <c r="H89" s="357" t="s">
        <v>1164</v>
      </c>
      <c r="I89" s="357"/>
      <c r="J89" s="537">
        <v>204.79</v>
      </c>
      <c r="K89" s="357">
        <v>0</v>
      </c>
      <c r="L89" s="538">
        <v>7.6</v>
      </c>
      <c r="M89" s="539">
        <v>7.7</v>
      </c>
      <c r="N89" s="357">
        <v>7.65</v>
      </c>
      <c r="O89" s="357">
        <v>7.65</v>
      </c>
      <c r="P89" s="536"/>
      <c r="Q89" s="550" t="s">
        <v>600</v>
      </c>
    </row>
    <row r="90" spans="1:17" hidden="1">
      <c r="A90" s="514">
        <v>46071</v>
      </c>
      <c r="B90" t="s">
        <v>1062</v>
      </c>
      <c r="C90" s="527" t="s">
        <v>1071</v>
      </c>
      <c r="D90" s="357" t="s">
        <v>698</v>
      </c>
      <c r="E90" s="358">
        <v>46220</v>
      </c>
      <c r="F90" s="357" t="s">
        <v>591</v>
      </c>
      <c r="G90" s="357" t="s">
        <v>137</v>
      </c>
      <c r="H90" s="357" t="s">
        <v>1165</v>
      </c>
      <c r="I90" s="357"/>
      <c r="J90" s="537">
        <v>204.79</v>
      </c>
      <c r="K90" s="357">
        <v>0</v>
      </c>
      <c r="L90" s="538">
        <v>7.85</v>
      </c>
      <c r="M90" s="539">
        <v>7.95</v>
      </c>
      <c r="N90" s="357">
        <v>7.9</v>
      </c>
      <c r="O90" s="357">
        <v>7.9</v>
      </c>
      <c r="P90" s="536"/>
      <c r="Q90" s="550" t="s">
        <v>600</v>
      </c>
    </row>
    <row r="91" spans="1:17" hidden="1">
      <c r="A91" s="514">
        <v>46071</v>
      </c>
      <c r="B91" t="s">
        <v>1065</v>
      </c>
      <c r="C91" s="527" t="s">
        <v>1072</v>
      </c>
      <c r="D91" s="357" t="s">
        <v>1054</v>
      </c>
      <c r="E91" s="358">
        <v>46220</v>
      </c>
      <c r="F91" s="357" t="s">
        <v>596</v>
      </c>
      <c r="G91" s="357" t="s">
        <v>137</v>
      </c>
      <c r="H91" s="357" t="s">
        <v>1161</v>
      </c>
      <c r="I91" s="357"/>
      <c r="J91" s="532">
        <v>78.180000000000007</v>
      </c>
      <c r="K91" s="357">
        <v>0</v>
      </c>
      <c r="L91" s="532">
        <v>0.44061110926240366</v>
      </c>
      <c r="M91" s="532">
        <v>0.44061110926240366</v>
      </c>
      <c r="N91" s="532">
        <v>0.44061110926240366</v>
      </c>
      <c r="O91" s="532">
        <v>0.44193561222450994</v>
      </c>
      <c r="P91" s="357">
        <v>25.479958741108998</v>
      </c>
      <c r="Q91" s="550" t="s">
        <v>593</v>
      </c>
    </row>
    <row r="92" spans="1:17" hidden="1">
      <c r="A92" s="514">
        <v>46071</v>
      </c>
      <c r="B92" t="s">
        <v>1064</v>
      </c>
      <c r="C92" s="527" t="s">
        <v>1073</v>
      </c>
      <c r="D92" s="357" t="s">
        <v>1054</v>
      </c>
      <c r="E92" s="358">
        <v>46220</v>
      </c>
      <c r="F92" s="357" t="s">
        <v>596</v>
      </c>
      <c r="G92" s="357" t="s">
        <v>137</v>
      </c>
      <c r="H92" s="357" t="s">
        <v>1162</v>
      </c>
      <c r="I92" s="357"/>
      <c r="J92" s="532">
        <v>78.180000000000007</v>
      </c>
      <c r="K92" s="357">
        <v>0</v>
      </c>
      <c r="L92" s="532">
        <v>0.82448940539527837</v>
      </c>
      <c r="M92" s="532">
        <v>0.82448940539527837</v>
      </c>
      <c r="N92" s="532">
        <v>0.82448940539527837</v>
      </c>
      <c r="O92" s="532">
        <v>0.82643950921272691</v>
      </c>
      <c r="P92" s="357">
        <v>25.320825056753776</v>
      </c>
      <c r="Q92" s="550" t="s">
        <v>593</v>
      </c>
    </row>
    <row r="93" spans="1:17" hidden="1">
      <c r="A93" s="514">
        <v>46071</v>
      </c>
      <c r="B93" t="s">
        <v>1061</v>
      </c>
      <c r="C93" s="527" t="s">
        <v>1074</v>
      </c>
      <c r="D93" s="357" t="s">
        <v>937</v>
      </c>
      <c r="E93" s="358">
        <v>46101</v>
      </c>
      <c r="F93" s="357" t="s">
        <v>596</v>
      </c>
      <c r="G93" s="357" t="s">
        <v>137</v>
      </c>
      <c r="H93" s="357" t="s">
        <v>1166</v>
      </c>
      <c r="I93" s="357"/>
      <c r="J93" s="537">
        <v>187.98</v>
      </c>
      <c r="K93" s="357">
        <v>0</v>
      </c>
      <c r="L93" s="538">
        <v>1.59</v>
      </c>
      <c r="M93" s="539">
        <v>1.62</v>
      </c>
      <c r="N93" s="357">
        <v>1.605</v>
      </c>
      <c r="O93" s="357">
        <v>1.605</v>
      </c>
      <c r="P93" s="536"/>
      <c r="Q93" s="550" t="s">
        <v>600</v>
      </c>
    </row>
    <row r="94" spans="1:17" hidden="1">
      <c r="A94" s="514">
        <v>46071</v>
      </c>
      <c r="B94" t="s">
        <v>1081</v>
      </c>
      <c r="C94" s="527" t="s">
        <v>1088</v>
      </c>
      <c r="D94" s="357" t="s">
        <v>616</v>
      </c>
      <c r="E94" s="358">
        <v>46073</v>
      </c>
      <c r="F94" s="357" t="s">
        <v>591</v>
      </c>
      <c r="G94" s="357" t="s">
        <v>137</v>
      </c>
      <c r="H94" s="357" t="s">
        <v>1135</v>
      </c>
      <c r="I94" s="357"/>
      <c r="J94" s="537">
        <v>605.79</v>
      </c>
      <c r="K94" s="357">
        <v>0</v>
      </c>
      <c r="L94" s="538">
        <v>2.39</v>
      </c>
      <c r="M94" s="539">
        <v>2.41</v>
      </c>
      <c r="N94" s="357">
        <v>2.4000000000000004</v>
      </c>
      <c r="O94" s="357">
        <v>2.4000000000000004</v>
      </c>
      <c r="P94" s="536"/>
      <c r="Q94" s="550" t="s">
        <v>600</v>
      </c>
    </row>
    <row r="95" spans="1:17" hidden="1">
      <c r="A95" s="514">
        <v>46071</v>
      </c>
      <c r="B95" t="s">
        <v>1080</v>
      </c>
      <c r="C95" s="527" t="s">
        <v>1089</v>
      </c>
      <c r="D95" s="357" t="s">
        <v>616</v>
      </c>
      <c r="E95" s="358">
        <v>46080</v>
      </c>
      <c r="F95" s="357" t="s">
        <v>591</v>
      </c>
      <c r="G95" s="357" t="s">
        <v>137</v>
      </c>
      <c r="H95" s="357" t="s">
        <v>1125</v>
      </c>
      <c r="I95" s="357"/>
      <c r="J95" s="537">
        <v>605.79</v>
      </c>
      <c r="K95" s="357">
        <v>0</v>
      </c>
      <c r="L95" s="538">
        <v>4.4800000000000004</v>
      </c>
      <c r="M95" s="539">
        <v>4.53</v>
      </c>
      <c r="N95" s="357">
        <v>4.5050000000000008</v>
      </c>
      <c r="O95" s="357">
        <v>4.5050000000000008</v>
      </c>
      <c r="P95" s="536"/>
      <c r="Q95" s="550" t="s">
        <v>600</v>
      </c>
    </row>
    <row r="96" spans="1:17" hidden="1">
      <c r="A96" s="514">
        <v>46071</v>
      </c>
      <c r="B96" t="s">
        <v>1082</v>
      </c>
      <c r="C96" s="527" t="s">
        <v>1090</v>
      </c>
      <c r="D96" s="357" t="s">
        <v>616</v>
      </c>
      <c r="E96" s="358">
        <v>46080</v>
      </c>
      <c r="F96" s="357" t="s">
        <v>591</v>
      </c>
      <c r="G96" s="357" t="s">
        <v>137</v>
      </c>
      <c r="H96" s="357" t="s">
        <v>1114</v>
      </c>
      <c r="I96" s="357"/>
      <c r="J96" s="537">
        <v>605.79</v>
      </c>
      <c r="K96" s="357">
        <v>0</v>
      </c>
      <c r="L96" s="538">
        <v>2.78</v>
      </c>
      <c r="M96" s="539">
        <v>2.81</v>
      </c>
      <c r="N96" s="357">
        <v>2.7949999999999999</v>
      </c>
      <c r="O96" s="357">
        <v>2.7949999999999999</v>
      </c>
      <c r="P96" s="536"/>
      <c r="Q96" s="550" t="s">
        <v>600</v>
      </c>
    </row>
    <row r="97" spans="1:17" hidden="1">
      <c r="A97" s="514">
        <v>46071</v>
      </c>
      <c r="B97" t="s">
        <v>1095</v>
      </c>
      <c r="C97" s="527" t="s">
        <v>1167</v>
      </c>
      <c r="D97" s="357" t="s">
        <v>772</v>
      </c>
      <c r="E97" s="358">
        <v>46080</v>
      </c>
      <c r="F97" s="357" t="s">
        <v>596</v>
      </c>
      <c r="G97" s="357" t="s">
        <v>137</v>
      </c>
      <c r="H97" s="357" t="s">
        <v>1132</v>
      </c>
      <c r="I97" s="357"/>
      <c r="J97" s="537">
        <v>333.51</v>
      </c>
      <c r="K97" s="357">
        <v>0</v>
      </c>
      <c r="L97" s="538">
        <v>4.3</v>
      </c>
      <c r="M97" s="539">
        <v>4.6500000000000004</v>
      </c>
      <c r="N97" s="357">
        <v>4.4749999999999996</v>
      </c>
      <c r="O97" s="357">
        <v>4.4749999999999996</v>
      </c>
      <c r="P97" s="536"/>
      <c r="Q97" s="550" t="s">
        <v>600</v>
      </c>
    </row>
    <row r="98" spans="1:17" hidden="1">
      <c r="A98" s="514">
        <v>46071</v>
      </c>
      <c r="B98" s="536" t="s">
        <v>706</v>
      </c>
      <c r="C98" s="527" t="s">
        <v>706</v>
      </c>
      <c r="D98" s="357" t="s">
        <v>617</v>
      </c>
      <c r="E98" s="358">
        <v>46073</v>
      </c>
      <c r="F98" s="357" t="s">
        <v>596</v>
      </c>
      <c r="G98" s="357" t="s">
        <v>137</v>
      </c>
      <c r="H98" s="357" t="s">
        <v>1168</v>
      </c>
      <c r="I98" s="357" t="s">
        <v>592</v>
      </c>
      <c r="J98" s="537">
        <v>0.05</v>
      </c>
      <c r="K98" s="357">
        <v>0</v>
      </c>
      <c r="L98" s="538">
        <v>0</v>
      </c>
      <c r="M98" s="539">
        <v>0</v>
      </c>
      <c r="N98" s="357">
        <v>0</v>
      </c>
      <c r="O98" s="357">
        <v>1.9067958203035619E-8</v>
      </c>
      <c r="P98" s="536">
        <v>17.743250468913701</v>
      </c>
      <c r="Q98" s="550" t="s">
        <v>618</v>
      </c>
    </row>
    <row r="99" spans="1:17" hidden="1">
      <c r="A99" s="514">
        <v>46071</v>
      </c>
      <c r="B99" s="536" t="s">
        <v>707</v>
      </c>
      <c r="C99" s="527" t="s">
        <v>707</v>
      </c>
      <c r="D99" s="357" t="s">
        <v>617</v>
      </c>
      <c r="E99" s="358">
        <v>46073</v>
      </c>
      <c r="F99" s="357" t="s">
        <v>591</v>
      </c>
      <c r="G99" s="357" t="s">
        <v>137</v>
      </c>
      <c r="H99" s="357" t="s">
        <v>1169</v>
      </c>
      <c r="I99" s="357" t="s">
        <v>592</v>
      </c>
      <c r="J99" s="537">
        <v>0.27</v>
      </c>
      <c r="K99" s="357">
        <v>21.3</v>
      </c>
      <c r="L99" s="538">
        <v>0</v>
      </c>
      <c r="M99" s="539">
        <v>0</v>
      </c>
      <c r="N99" s="357">
        <v>0</v>
      </c>
      <c r="O99" s="357">
        <v>2.8234251848864387E-2</v>
      </c>
      <c r="P99" s="536">
        <v>30.846088977888801</v>
      </c>
      <c r="Q99" s="550" t="s">
        <v>618</v>
      </c>
    </row>
    <row r="100" spans="1:17" hidden="1">
      <c r="A100" s="514">
        <v>46071</v>
      </c>
      <c r="B100" s="536" t="s">
        <v>708</v>
      </c>
      <c r="C100" s="527" t="s">
        <v>708</v>
      </c>
      <c r="D100" s="357" t="s">
        <v>617</v>
      </c>
      <c r="E100" s="358">
        <v>46073</v>
      </c>
      <c r="F100" s="357" t="s">
        <v>591</v>
      </c>
      <c r="G100" s="357" t="s">
        <v>137</v>
      </c>
      <c r="H100" s="357" t="s">
        <v>1170</v>
      </c>
      <c r="I100" s="357" t="s">
        <v>592</v>
      </c>
      <c r="J100" s="537">
        <v>2.46</v>
      </c>
      <c r="K100" s="357">
        <v>21.61</v>
      </c>
      <c r="L100" s="538">
        <v>0</v>
      </c>
      <c r="M100" s="539">
        <v>0</v>
      </c>
      <c r="N100" s="357">
        <v>0</v>
      </c>
      <c r="O100" s="357">
        <v>0.44132155634181713</v>
      </c>
      <c r="P100" s="536">
        <v>21.2556875012333</v>
      </c>
      <c r="Q100" s="550" t="s">
        <v>618</v>
      </c>
    </row>
    <row r="101" spans="1:17" hidden="1">
      <c r="A101" s="514">
        <v>46071</v>
      </c>
      <c r="B101" s="536" t="s">
        <v>709</v>
      </c>
      <c r="C101" s="527" t="s">
        <v>709</v>
      </c>
      <c r="D101" s="357" t="s">
        <v>617</v>
      </c>
      <c r="E101" s="358">
        <v>46073</v>
      </c>
      <c r="F101" s="357" t="s">
        <v>596</v>
      </c>
      <c r="G101" s="357" t="s">
        <v>137</v>
      </c>
      <c r="H101" s="357" t="s">
        <v>1171</v>
      </c>
      <c r="I101" s="357" t="s">
        <v>592</v>
      </c>
      <c r="J101" s="537">
        <v>0.04</v>
      </c>
      <c r="K101" s="357">
        <v>0</v>
      </c>
      <c r="L101" s="538">
        <v>0</v>
      </c>
      <c r="M101" s="539">
        <v>0</v>
      </c>
      <c r="N101" s="357">
        <v>0</v>
      </c>
      <c r="O101" s="357">
        <v>1.9067958203035619E-8</v>
      </c>
      <c r="P101" s="536">
        <v>17.417095716320599</v>
      </c>
      <c r="Q101" s="550" t="s">
        <v>618</v>
      </c>
    </row>
    <row r="102" spans="1:17" hidden="1">
      <c r="A102" s="514">
        <v>46071</v>
      </c>
      <c r="B102" s="536" t="s">
        <v>710</v>
      </c>
      <c r="C102" s="527" t="s">
        <v>710</v>
      </c>
      <c r="D102" s="357" t="s">
        <v>617</v>
      </c>
      <c r="E102" s="358">
        <v>46073</v>
      </c>
      <c r="F102" s="357" t="s">
        <v>591</v>
      </c>
      <c r="G102" s="357" t="s">
        <v>137</v>
      </c>
      <c r="H102" s="357" t="s">
        <v>1172</v>
      </c>
      <c r="I102" s="357" t="s">
        <v>592</v>
      </c>
      <c r="J102" s="537">
        <v>2</v>
      </c>
      <c r="K102" s="357">
        <v>21.82</v>
      </c>
      <c r="L102" s="538">
        <v>0</v>
      </c>
      <c r="M102" s="539">
        <v>0</v>
      </c>
      <c r="N102" s="357">
        <v>0</v>
      </c>
      <c r="O102" s="357">
        <v>0.39370419076202778</v>
      </c>
      <c r="P102" s="536">
        <v>21.788869502441699</v>
      </c>
      <c r="Q102" s="550" t="s">
        <v>618</v>
      </c>
    </row>
    <row r="103" spans="1:17" hidden="1">
      <c r="A103" s="514">
        <v>46071</v>
      </c>
      <c r="B103" s="536" t="s">
        <v>711</v>
      </c>
      <c r="C103" s="527" t="s">
        <v>711</v>
      </c>
      <c r="D103" s="357" t="s">
        <v>617</v>
      </c>
      <c r="E103" s="358">
        <v>46073</v>
      </c>
      <c r="F103" s="357" t="s">
        <v>591</v>
      </c>
      <c r="G103" s="357" t="s">
        <v>137</v>
      </c>
      <c r="H103" s="357" t="s">
        <v>1173</v>
      </c>
      <c r="I103" s="357" t="s">
        <v>592</v>
      </c>
      <c r="J103" s="537">
        <v>2.61</v>
      </c>
      <c r="K103" s="357">
        <v>23.71</v>
      </c>
      <c r="L103" s="538">
        <v>0</v>
      </c>
      <c r="M103" s="539">
        <v>0</v>
      </c>
      <c r="N103" s="357">
        <v>0</v>
      </c>
      <c r="O103" s="357">
        <v>0.86987792735957103</v>
      </c>
      <c r="P103" s="536">
        <v>18.4914261327887</v>
      </c>
      <c r="Q103" s="550" t="s">
        <v>618</v>
      </c>
    </row>
    <row r="104" spans="1:17" hidden="1">
      <c r="A104" s="514">
        <v>46071</v>
      </c>
      <c r="B104" s="536" t="s">
        <v>720</v>
      </c>
      <c r="C104" s="527" t="s">
        <v>720</v>
      </c>
      <c r="D104" s="357" t="s">
        <v>721</v>
      </c>
      <c r="E104" s="358">
        <v>46073</v>
      </c>
      <c r="F104" s="357" t="s">
        <v>591</v>
      </c>
      <c r="G104" s="357" t="s">
        <v>137</v>
      </c>
      <c r="H104" s="357" t="s">
        <v>1174</v>
      </c>
      <c r="I104" s="357" t="s">
        <v>592</v>
      </c>
      <c r="J104" s="537">
        <v>0.03</v>
      </c>
      <c r="K104" s="357">
        <v>18.97</v>
      </c>
      <c r="L104" s="538">
        <v>0</v>
      </c>
      <c r="M104" s="539">
        <v>0</v>
      </c>
      <c r="N104" s="357">
        <v>0</v>
      </c>
      <c r="O104" s="357">
        <v>1.1792530541673404E-3</v>
      </c>
      <c r="P104" s="536">
        <v>60.156311037770301</v>
      </c>
      <c r="Q104" s="550" t="s">
        <v>618</v>
      </c>
    </row>
    <row r="105" spans="1:17" hidden="1">
      <c r="A105" s="514">
        <v>46071</v>
      </c>
      <c r="B105" s="536" t="s">
        <v>722</v>
      </c>
      <c r="C105" s="527" t="s">
        <v>722</v>
      </c>
      <c r="D105" s="357" t="s">
        <v>721</v>
      </c>
      <c r="E105" s="358">
        <v>46073</v>
      </c>
      <c r="F105" s="357" t="s">
        <v>591</v>
      </c>
      <c r="G105" s="357" t="s">
        <v>137</v>
      </c>
      <c r="H105" s="357" t="s">
        <v>1175</v>
      </c>
      <c r="I105" s="357" t="s">
        <v>592</v>
      </c>
      <c r="J105" s="537">
        <v>0.06</v>
      </c>
      <c r="K105" s="357">
        <v>20.440000000000001</v>
      </c>
      <c r="L105" s="538">
        <v>0</v>
      </c>
      <c r="M105" s="539">
        <v>0</v>
      </c>
      <c r="N105" s="357">
        <v>0</v>
      </c>
      <c r="O105" s="357">
        <v>2.3847665936948252E-2</v>
      </c>
      <c r="P105" s="536">
        <v>55.104308812295301</v>
      </c>
      <c r="Q105" s="550" t="s">
        <v>618</v>
      </c>
    </row>
    <row r="106" spans="1:17" hidden="1">
      <c r="A106" s="514">
        <v>46071</v>
      </c>
      <c r="B106" s="536" t="s">
        <v>739</v>
      </c>
      <c r="C106" s="527" t="s">
        <v>739</v>
      </c>
      <c r="D106" s="357" t="s">
        <v>619</v>
      </c>
      <c r="E106" s="358">
        <v>46073</v>
      </c>
      <c r="F106" s="357" t="s">
        <v>591</v>
      </c>
      <c r="G106" s="357" t="s">
        <v>137</v>
      </c>
      <c r="H106" s="357" t="s">
        <v>1176</v>
      </c>
      <c r="I106" s="357" t="s">
        <v>592</v>
      </c>
      <c r="J106" s="537">
        <v>0.01</v>
      </c>
      <c r="K106" s="357">
        <v>12.1</v>
      </c>
      <c r="L106" s="538">
        <v>0</v>
      </c>
      <c r="M106" s="539">
        <v>0</v>
      </c>
      <c r="N106" s="357">
        <v>0</v>
      </c>
      <c r="O106" s="357">
        <v>1.9067958203035619E-8</v>
      </c>
      <c r="P106" s="536">
        <v>45.249816620782006</v>
      </c>
      <c r="Q106" s="550" t="s">
        <v>618</v>
      </c>
    </row>
    <row r="107" spans="1:17" hidden="1">
      <c r="A107" s="514">
        <v>46071</v>
      </c>
      <c r="B107" s="536" t="s">
        <v>740</v>
      </c>
      <c r="C107" s="527" t="s">
        <v>740</v>
      </c>
      <c r="D107" s="357" t="s">
        <v>619</v>
      </c>
      <c r="E107" s="358">
        <v>46073</v>
      </c>
      <c r="F107" s="357" t="s">
        <v>591</v>
      </c>
      <c r="G107" s="357" t="s">
        <v>137</v>
      </c>
      <c r="H107" s="357" t="s">
        <v>1177</v>
      </c>
      <c r="I107" s="357" t="s">
        <v>592</v>
      </c>
      <c r="J107" s="537">
        <v>0.01</v>
      </c>
      <c r="K107" s="357">
        <v>13.35</v>
      </c>
      <c r="L107" s="538">
        <v>0</v>
      </c>
      <c r="M107" s="539">
        <v>0</v>
      </c>
      <c r="N107" s="357">
        <v>0</v>
      </c>
      <c r="O107" s="357">
        <v>5.084509190755854E-12</v>
      </c>
      <c r="P107" s="536">
        <v>43.990861318568498</v>
      </c>
      <c r="Q107" s="550" t="s">
        <v>618</v>
      </c>
    </row>
    <row r="108" spans="1:17" hidden="1">
      <c r="A108" s="514">
        <v>46071</v>
      </c>
      <c r="B108" s="536" t="s">
        <v>780</v>
      </c>
      <c r="C108" s="527" t="s">
        <v>780</v>
      </c>
      <c r="D108" s="357" t="s">
        <v>781</v>
      </c>
      <c r="E108" s="358">
        <v>46073</v>
      </c>
      <c r="F108" s="357" t="s">
        <v>596</v>
      </c>
      <c r="G108" s="357" t="s">
        <v>137</v>
      </c>
      <c r="H108" s="357" t="s">
        <v>1178</v>
      </c>
      <c r="I108" s="357" t="s">
        <v>592</v>
      </c>
      <c r="J108" s="537">
        <v>2.92</v>
      </c>
      <c r="K108" s="357">
        <v>0</v>
      </c>
      <c r="L108" s="538">
        <v>0</v>
      </c>
      <c r="M108" s="539">
        <v>0</v>
      </c>
      <c r="N108" s="357">
        <v>0</v>
      </c>
      <c r="O108" s="357">
        <v>0.62777246058705105</v>
      </c>
      <c r="P108" s="536">
        <v>45.561448272972797</v>
      </c>
      <c r="Q108" s="550" t="s">
        <v>618</v>
      </c>
    </row>
    <row r="109" spans="1:17" hidden="1">
      <c r="A109" s="514">
        <v>46071</v>
      </c>
      <c r="B109" s="536" t="s">
        <v>782</v>
      </c>
      <c r="C109" s="527" t="s">
        <v>782</v>
      </c>
      <c r="D109" s="357" t="s">
        <v>781</v>
      </c>
      <c r="E109" s="358">
        <v>46073</v>
      </c>
      <c r="F109" s="357" t="s">
        <v>591</v>
      </c>
      <c r="G109" s="357" t="s">
        <v>137</v>
      </c>
      <c r="H109" s="357" t="s">
        <v>1179</v>
      </c>
      <c r="I109" s="357" t="s">
        <v>592</v>
      </c>
      <c r="J109" s="537">
        <v>0.05</v>
      </c>
      <c r="K109" s="357">
        <v>47.77</v>
      </c>
      <c r="L109" s="538">
        <v>0</v>
      </c>
      <c r="M109" s="539">
        <v>0</v>
      </c>
      <c r="N109" s="357">
        <v>0</v>
      </c>
      <c r="O109" s="357">
        <v>2.3691951407876972E-4</v>
      </c>
      <c r="P109" s="536">
        <v>86.396679587560598</v>
      </c>
      <c r="Q109" s="550" t="s">
        <v>618</v>
      </c>
    </row>
    <row r="110" spans="1:17" hidden="1">
      <c r="A110" s="514">
        <v>46071</v>
      </c>
      <c r="B110" s="536" t="s">
        <v>783</v>
      </c>
      <c r="C110" s="527" t="s">
        <v>783</v>
      </c>
      <c r="D110" s="357" t="s">
        <v>781</v>
      </c>
      <c r="E110" s="358">
        <v>46073</v>
      </c>
      <c r="F110" s="357" t="s">
        <v>591</v>
      </c>
      <c r="G110" s="357" t="s">
        <v>137</v>
      </c>
      <c r="H110" s="357" t="s">
        <v>1180</v>
      </c>
      <c r="I110" s="357" t="s">
        <v>592</v>
      </c>
      <c r="J110" s="537">
        <v>0.03</v>
      </c>
      <c r="K110" s="357">
        <v>51.79</v>
      </c>
      <c r="L110" s="538">
        <v>0</v>
      </c>
      <c r="M110" s="539">
        <v>0</v>
      </c>
      <c r="N110" s="357">
        <v>0</v>
      </c>
      <c r="O110" s="357">
        <v>2.1249288690741745E-3</v>
      </c>
      <c r="P110" s="536">
        <v>73.854358045625006</v>
      </c>
      <c r="Q110" s="550" t="s">
        <v>618</v>
      </c>
    </row>
    <row r="111" spans="1:17" hidden="1">
      <c r="A111" s="514">
        <v>46071</v>
      </c>
      <c r="B111" s="536" t="s">
        <v>788</v>
      </c>
      <c r="C111" s="527" t="s">
        <v>788</v>
      </c>
      <c r="D111" s="357" t="s">
        <v>749</v>
      </c>
      <c r="E111" s="358">
        <v>46073</v>
      </c>
      <c r="F111" s="357" t="s">
        <v>591</v>
      </c>
      <c r="G111" s="357" t="s">
        <v>137</v>
      </c>
      <c r="H111" s="357" t="s">
        <v>1181</v>
      </c>
      <c r="I111" s="357" t="s">
        <v>592</v>
      </c>
      <c r="J111" s="537">
        <v>0.1</v>
      </c>
      <c r="K111" s="357">
        <v>42.9</v>
      </c>
      <c r="L111" s="538">
        <v>0</v>
      </c>
      <c r="M111" s="539">
        <v>0</v>
      </c>
      <c r="N111" s="357">
        <v>0</v>
      </c>
      <c r="O111" s="357">
        <v>1.9067958203035619E-8</v>
      </c>
      <c r="P111" s="536">
        <v>38.902669795207999</v>
      </c>
      <c r="Q111" s="550" t="s">
        <v>618</v>
      </c>
    </row>
    <row r="112" spans="1:17" hidden="1">
      <c r="A112" s="514">
        <v>46071</v>
      </c>
      <c r="B112" s="536" t="s">
        <v>789</v>
      </c>
      <c r="C112" s="527" t="s">
        <v>789</v>
      </c>
      <c r="D112" s="357" t="s">
        <v>749</v>
      </c>
      <c r="E112" s="358">
        <v>46073</v>
      </c>
      <c r="F112" s="357" t="s">
        <v>591</v>
      </c>
      <c r="G112" s="357" t="s">
        <v>137</v>
      </c>
      <c r="H112" s="357" t="s">
        <v>1182</v>
      </c>
      <c r="I112" s="357" t="s">
        <v>592</v>
      </c>
      <c r="J112" s="537">
        <v>0.02</v>
      </c>
      <c r="K112" s="357">
        <v>47.98</v>
      </c>
      <c r="L112" s="538">
        <v>0</v>
      </c>
      <c r="M112" s="539">
        <v>0</v>
      </c>
      <c r="N112" s="357">
        <v>0</v>
      </c>
      <c r="O112" s="357">
        <v>5.4475173518419649E-11</v>
      </c>
      <c r="P112" s="536">
        <v>37.502387214367005</v>
      </c>
      <c r="Q112" s="550" t="s">
        <v>618</v>
      </c>
    </row>
    <row r="113" spans="1:17" hidden="1">
      <c r="A113" s="514">
        <v>46071</v>
      </c>
      <c r="B113" s="526" t="s">
        <v>794</v>
      </c>
      <c r="C113" s="526" t="s">
        <v>794</v>
      </c>
      <c r="D113" s="357" t="s">
        <v>795</v>
      </c>
      <c r="E113" s="358">
        <v>46073</v>
      </c>
      <c r="F113" s="357" t="s">
        <v>591</v>
      </c>
      <c r="G113" s="357" t="s">
        <v>137</v>
      </c>
      <c r="H113" s="357" t="s">
        <v>1183</v>
      </c>
      <c r="I113" s="357" t="s">
        <v>592</v>
      </c>
      <c r="J113" s="537">
        <v>0.01</v>
      </c>
      <c r="K113" s="357">
        <v>50.370000000000005</v>
      </c>
      <c r="L113" s="538">
        <v>0</v>
      </c>
      <c r="M113" s="539">
        <v>0</v>
      </c>
      <c r="N113" s="357">
        <v>0</v>
      </c>
      <c r="O113" s="357">
        <v>2.1080162633699373E-3</v>
      </c>
      <c r="P113" s="536">
        <v>62.586994437691303</v>
      </c>
      <c r="Q113" s="550" t="s">
        <v>618</v>
      </c>
    </row>
    <row r="114" spans="1:17" hidden="1">
      <c r="A114" s="514">
        <v>46071</v>
      </c>
      <c r="B114" s="526" t="s">
        <v>801</v>
      </c>
      <c r="C114" s="526" t="s">
        <v>801</v>
      </c>
      <c r="D114" s="357" t="s">
        <v>619</v>
      </c>
      <c r="E114" s="358">
        <v>46073</v>
      </c>
      <c r="F114" s="357" t="s">
        <v>591</v>
      </c>
      <c r="G114" s="357" t="s">
        <v>137</v>
      </c>
      <c r="H114" s="357" t="s">
        <v>1184</v>
      </c>
      <c r="I114" s="357" t="s">
        <v>592</v>
      </c>
      <c r="J114" s="537">
        <v>0.01</v>
      </c>
      <c r="K114" s="357">
        <v>11.41</v>
      </c>
      <c r="L114" s="538">
        <v>0</v>
      </c>
      <c r="M114" s="539">
        <v>0</v>
      </c>
      <c r="N114" s="357">
        <v>0</v>
      </c>
      <c r="O114" s="357">
        <v>1.9067958203035619E-8</v>
      </c>
      <c r="P114" s="536">
        <v>45.249816620782006</v>
      </c>
      <c r="Q114" s="550" t="s">
        <v>618</v>
      </c>
    </row>
    <row r="115" spans="1:17" hidden="1">
      <c r="A115" s="514">
        <v>46071</v>
      </c>
      <c r="B115" s="526" t="s">
        <v>802</v>
      </c>
      <c r="C115" s="526" t="s">
        <v>802</v>
      </c>
      <c r="D115" s="357" t="s">
        <v>619</v>
      </c>
      <c r="E115" s="358">
        <v>46073</v>
      </c>
      <c r="F115" s="357" t="s">
        <v>591</v>
      </c>
      <c r="G115" s="357" t="s">
        <v>137</v>
      </c>
      <c r="H115" s="357" t="s">
        <v>1185</v>
      </c>
      <c r="I115" s="357" t="s">
        <v>592</v>
      </c>
      <c r="J115" s="537">
        <v>0.01</v>
      </c>
      <c r="K115" s="357">
        <v>12.66</v>
      </c>
      <c r="L115" s="538">
        <v>0</v>
      </c>
      <c r="M115" s="539">
        <v>0</v>
      </c>
      <c r="N115" s="357">
        <v>0</v>
      </c>
      <c r="O115" s="357">
        <v>5.084509190755854E-12</v>
      </c>
      <c r="P115" s="536">
        <v>43.990861318568498</v>
      </c>
      <c r="Q115" s="550" t="s">
        <v>618</v>
      </c>
    </row>
    <row r="116" spans="1:17" hidden="1">
      <c r="A116" s="514">
        <v>46071</v>
      </c>
      <c r="B116" s="526" t="s">
        <v>803</v>
      </c>
      <c r="C116" s="526" t="s">
        <v>803</v>
      </c>
      <c r="D116" s="357" t="s">
        <v>619</v>
      </c>
      <c r="E116" s="358">
        <v>46073</v>
      </c>
      <c r="F116" s="357" t="s">
        <v>591</v>
      </c>
      <c r="G116" s="357" t="s">
        <v>137</v>
      </c>
      <c r="H116" s="357" t="s">
        <v>1186</v>
      </c>
      <c r="I116" s="357" t="s">
        <v>592</v>
      </c>
      <c r="J116" s="537">
        <v>0.01</v>
      </c>
      <c r="K116" s="357">
        <v>13.66</v>
      </c>
      <c r="L116" s="538">
        <v>0</v>
      </c>
      <c r="M116" s="539">
        <v>0</v>
      </c>
      <c r="N116" s="357">
        <v>0</v>
      </c>
      <c r="O116" s="357">
        <v>1.0527748074136222E-7</v>
      </c>
      <c r="P116" s="536">
        <v>42.2052551365854</v>
      </c>
      <c r="Q116" s="550" t="s">
        <v>618</v>
      </c>
    </row>
    <row r="117" spans="1:17" hidden="1">
      <c r="A117" s="514">
        <v>46071</v>
      </c>
      <c r="B117" s="526" t="s">
        <v>804</v>
      </c>
      <c r="C117" s="526" t="s">
        <v>804</v>
      </c>
      <c r="D117" s="357" t="s">
        <v>805</v>
      </c>
      <c r="E117" s="358">
        <v>46073</v>
      </c>
      <c r="F117" s="357" t="s">
        <v>591</v>
      </c>
      <c r="G117" s="357" t="s">
        <v>137</v>
      </c>
      <c r="H117" s="357" t="s">
        <v>1187</v>
      </c>
      <c r="I117" s="357" t="s">
        <v>592</v>
      </c>
      <c r="J117" s="537">
        <v>0.01</v>
      </c>
      <c r="K117" s="357">
        <v>12.03</v>
      </c>
      <c r="L117" s="538">
        <v>0</v>
      </c>
      <c r="M117" s="539">
        <v>0</v>
      </c>
      <c r="N117" s="357">
        <v>0</v>
      </c>
      <c r="O117" s="357">
        <v>4.9752848572057814E-4</v>
      </c>
      <c r="P117" s="536">
        <v>113.12349151103601</v>
      </c>
      <c r="Q117" s="550" t="s">
        <v>618</v>
      </c>
    </row>
    <row r="118" spans="1:17" hidden="1">
      <c r="A118" s="514">
        <v>46071</v>
      </c>
      <c r="B118" s="526" t="s">
        <v>806</v>
      </c>
      <c r="C118" s="526" t="s">
        <v>806</v>
      </c>
      <c r="D118" s="357" t="s">
        <v>805</v>
      </c>
      <c r="E118" s="358">
        <v>46073</v>
      </c>
      <c r="F118" s="357" t="s">
        <v>591</v>
      </c>
      <c r="G118" s="357" t="s">
        <v>137</v>
      </c>
      <c r="H118" s="357" t="s">
        <v>1188</v>
      </c>
      <c r="I118" s="357" t="s">
        <v>592</v>
      </c>
      <c r="J118" s="537">
        <v>0.01</v>
      </c>
      <c r="K118" s="357">
        <v>13.03</v>
      </c>
      <c r="L118" s="538">
        <v>0</v>
      </c>
      <c r="M118" s="539">
        <v>0</v>
      </c>
      <c r="N118" s="357">
        <v>0</v>
      </c>
      <c r="O118" s="357">
        <v>8.3092964955293271E-4</v>
      </c>
      <c r="P118" s="536">
        <v>86.026985539897098</v>
      </c>
      <c r="Q118" s="550" t="s">
        <v>618</v>
      </c>
    </row>
    <row r="119" spans="1:17" hidden="1">
      <c r="A119" s="514">
        <v>46071</v>
      </c>
      <c r="B119" s="527" t="s">
        <v>810</v>
      </c>
      <c r="C119" s="527" t="s">
        <v>810</v>
      </c>
      <c r="D119" s="357" t="s">
        <v>749</v>
      </c>
      <c r="E119" s="358">
        <v>46073</v>
      </c>
      <c r="F119" s="357" t="s">
        <v>596</v>
      </c>
      <c r="G119" s="357" t="s">
        <v>137</v>
      </c>
      <c r="H119" s="357" t="s">
        <v>1189</v>
      </c>
      <c r="I119" s="357" t="s">
        <v>592</v>
      </c>
      <c r="J119" s="537">
        <v>4.0999999999999996</v>
      </c>
      <c r="K119" s="357">
        <v>0</v>
      </c>
      <c r="L119" s="538">
        <v>0</v>
      </c>
      <c r="M119" s="539">
        <v>0</v>
      </c>
      <c r="N119" s="357">
        <v>0</v>
      </c>
      <c r="O119" s="357">
        <v>0.79000314901564239</v>
      </c>
      <c r="P119" s="536">
        <v>32.8102639285582</v>
      </c>
      <c r="Q119" s="550" t="s">
        <v>618</v>
      </c>
    </row>
    <row r="120" spans="1:17" hidden="1">
      <c r="A120" s="514">
        <v>46071</v>
      </c>
      <c r="B120" s="527" t="s">
        <v>811</v>
      </c>
      <c r="C120" s="527" t="s">
        <v>811</v>
      </c>
      <c r="D120" s="357" t="s">
        <v>749</v>
      </c>
      <c r="E120" s="358">
        <v>46073</v>
      </c>
      <c r="F120" s="357" t="s">
        <v>591</v>
      </c>
      <c r="G120" s="357" t="s">
        <v>137</v>
      </c>
      <c r="H120" s="357" t="s">
        <v>1190</v>
      </c>
      <c r="I120" s="357" t="s">
        <v>592</v>
      </c>
      <c r="J120" s="537">
        <v>0.03</v>
      </c>
      <c r="K120" s="357">
        <v>46.97</v>
      </c>
      <c r="L120" s="538">
        <v>0</v>
      </c>
      <c r="M120" s="539">
        <v>0</v>
      </c>
      <c r="N120" s="357">
        <v>0</v>
      </c>
      <c r="O120" s="357">
        <v>1.3087674471817559E-12</v>
      </c>
      <c r="P120" s="536">
        <v>37.8642572571055</v>
      </c>
      <c r="Q120" s="550" t="s">
        <v>618</v>
      </c>
    </row>
    <row r="121" spans="1:17" hidden="1">
      <c r="A121" s="514">
        <v>46071</v>
      </c>
      <c r="B121" s="527" t="s">
        <v>812</v>
      </c>
      <c r="C121" s="527" t="s">
        <v>812</v>
      </c>
      <c r="D121" s="357" t="s">
        <v>749</v>
      </c>
      <c r="E121" s="358">
        <v>46073</v>
      </c>
      <c r="F121" s="357" t="s">
        <v>591</v>
      </c>
      <c r="G121" s="357" t="s">
        <v>137</v>
      </c>
      <c r="H121" s="357" t="s">
        <v>1191</v>
      </c>
      <c r="I121" s="357" t="s">
        <v>592</v>
      </c>
      <c r="J121" s="537">
        <v>0.01</v>
      </c>
      <c r="K121" s="357">
        <v>50.49</v>
      </c>
      <c r="L121" s="538">
        <v>0</v>
      </c>
      <c r="M121" s="539">
        <v>0</v>
      </c>
      <c r="N121" s="357">
        <v>0</v>
      </c>
      <c r="O121" s="357">
        <v>1.2636675400427123E-7</v>
      </c>
      <c r="P121" s="536">
        <v>36.302030653186499</v>
      </c>
      <c r="Q121" s="550" t="s">
        <v>618</v>
      </c>
    </row>
    <row r="122" spans="1:17" hidden="1">
      <c r="A122" s="514">
        <v>46071</v>
      </c>
      <c r="B122" s="526" t="s">
        <v>813</v>
      </c>
      <c r="C122" s="526" t="s">
        <v>813</v>
      </c>
      <c r="D122" s="357" t="s">
        <v>617</v>
      </c>
      <c r="E122" s="358">
        <v>46101</v>
      </c>
      <c r="F122" s="357" t="s">
        <v>596</v>
      </c>
      <c r="G122" s="357" t="s">
        <v>137</v>
      </c>
      <c r="H122" s="357" t="s">
        <v>1192</v>
      </c>
      <c r="I122" s="357" t="s">
        <v>592</v>
      </c>
      <c r="J122" s="537">
        <v>0.52</v>
      </c>
      <c r="K122" s="357">
        <v>0</v>
      </c>
      <c r="L122" s="538">
        <v>0</v>
      </c>
      <c r="M122" s="539">
        <v>0</v>
      </c>
      <c r="N122" s="357">
        <v>0</v>
      </c>
      <c r="O122" s="357">
        <v>5.6137674937510487E-4</v>
      </c>
      <c r="P122" s="536">
        <v>24.212607330183602</v>
      </c>
      <c r="Q122" s="550" t="s">
        <v>618</v>
      </c>
    </row>
    <row r="123" spans="1:17" hidden="1">
      <c r="A123" s="514">
        <v>46071</v>
      </c>
      <c r="B123" s="526" t="s">
        <v>814</v>
      </c>
      <c r="C123" s="526" t="s">
        <v>814</v>
      </c>
      <c r="D123" s="357" t="s">
        <v>617</v>
      </c>
      <c r="E123" s="358">
        <v>46101</v>
      </c>
      <c r="F123" s="357" t="s">
        <v>591</v>
      </c>
      <c r="G123" s="357" t="s">
        <v>137</v>
      </c>
      <c r="H123" s="357" t="s">
        <v>1193</v>
      </c>
      <c r="I123" s="357" t="s">
        <v>592</v>
      </c>
      <c r="J123" s="537">
        <v>1.03</v>
      </c>
      <c r="K123" s="357">
        <v>20.279999999999998</v>
      </c>
      <c r="L123" s="538">
        <v>0</v>
      </c>
      <c r="M123" s="539">
        <v>0</v>
      </c>
      <c r="N123" s="357">
        <v>0</v>
      </c>
      <c r="O123" s="357">
        <v>0.15532465503475995</v>
      </c>
      <c r="P123" s="536">
        <v>29.295942449587898</v>
      </c>
      <c r="Q123" s="550" t="s">
        <v>618</v>
      </c>
    </row>
    <row r="124" spans="1:17" hidden="1">
      <c r="A124" s="514">
        <v>46071</v>
      </c>
      <c r="B124" s="526" t="s">
        <v>815</v>
      </c>
      <c r="C124" s="526" t="s">
        <v>815</v>
      </c>
      <c r="D124" s="357" t="s">
        <v>617</v>
      </c>
      <c r="E124" s="358">
        <v>46101</v>
      </c>
      <c r="F124" s="357" t="s">
        <v>591</v>
      </c>
      <c r="G124" s="357" t="s">
        <v>137</v>
      </c>
      <c r="H124" s="357" t="s">
        <v>1194</v>
      </c>
      <c r="I124" s="357" t="s">
        <v>592</v>
      </c>
      <c r="J124" s="537">
        <v>1.78</v>
      </c>
      <c r="K124" s="357">
        <v>21.529999999999998</v>
      </c>
      <c r="L124" s="538">
        <v>0</v>
      </c>
      <c r="M124" s="539">
        <v>0</v>
      </c>
      <c r="N124" s="357">
        <v>0</v>
      </c>
      <c r="O124" s="357">
        <v>0.42641466299349079</v>
      </c>
      <c r="P124" s="536">
        <v>26.418137721285298</v>
      </c>
      <c r="Q124" s="550" t="s">
        <v>618</v>
      </c>
    </row>
    <row r="125" spans="1:17" hidden="1">
      <c r="A125" s="514">
        <v>46071</v>
      </c>
      <c r="B125" s="526" t="s">
        <v>816</v>
      </c>
      <c r="C125" s="526" t="s">
        <v>816</v>
      </c>
      <c r="D125" s="357" t="s">
        <v>817</v>
      </c>
      <c r="E125" s="358">
        <v>46073</v>
      </c>
      <c r="F125" s="357" t="s">
        <v>596</v>
      </c>
      <c r="G125" s="357" t="s">
        <v>137</v>
      </c>
      <c r="H125" s="357" t="s">
        <v>1195</v>
      </c>
      <c r="I125" s="357" t="s">
        <v>592</v>
      </c>
      <c r="J125" s="537">
        <v>7.78</v>
      </c>
      <c r="K125" s="357">
        <v>0</v>
      </c>
      <c r="L125" s="538">
        <v>0</v>
      </c>
      <c r="M125" s="539">
        <v>0</v>
      </c>
      <c r="N125" s="357">
        <v>0</v>
      </c>
      <c r="O125" s="357">
        <v>1.5479596509042377</v>
      </c>
      <c r="P125" s="536">
        <v>50.492931341278499</v>
      </c>
      <c r="Q125" s="550" t="s">
        <v>618</v>
      </c>
    </row>
    <row r="126" spans="1:17" hidden="1">
      <c r="A126" s="514">
        <v>46071</v>
      </c>
      <c r="B126" s="526" t="s">
        <v>818</v>
      </c>
      <c r="C126" s="526" t="s">
        <v>818</v>
      </c>
      <c r="D126" s="357" t="s">
        <v>817</v>
      </c>
      <c r="E126" s="358">
        <v>46073</v>
      </c>
      <c r="F126" s="357" t="s">
        <v>596</v>
      </c>
      <c r="G126" s="357" t="s">
        <v>137</v>
      </c>
      <c r="H126" s="357" t="s">
        <v>1196</v>
      </c>
      <c r="I126" s="357" t="s">
        <v>592</v>
      </c>
      <c r="J126" s="537">
        <v>3.24</v>
      </c>
      <c r="K126" s="357">
        <v>0</v>
      </c>
      <c r="L126" s="538">
        <v>0</v>
      </c>
      <c r="M126" s="539">
        <v>0</v>
      </c>
      <c r="N126" s="357">
        <v>0</v>
      </c>
      <c r="O126" s="357">
        <v>0.6232805828510517</v>
      </c>
      <c r="P126" s="536">
        <v>36.371185605284303</v>
      </c>
      <c r="Q126" s="550" t="s">
        <v>618</v>
      </c>
    </row>
    <row r="127" spans="1:17" hidden="1">
      <c r="A127" s="514">
        <v>46071</v>
      </c>
      <c r="B127" s="548" t="s">
        <v>826</v>
      </c>
      <c r="C127" s="548" t="s">
        <v>826</v>
      </c>
      <c r="D127" s="357" t="s">
        <v>619</v>
      </c>
      <c r="E127" s="358">
        <v>46073</v>
      </c>
      <c r="F127" s="357" t="s">
        <v>596</v>
      </c>
      <c r="G127" s="357" t="s">
        <v>137</v>
      </c>
      <c r="H127" s="357" t="s">
        <v>1197</v>
      </c>
      <c r="I127" s="357" t="s">
        <v>592</v>
      </c>
      <c r="J127" s="537">
        <v>1.1499999999999999</v>
      </c>
      <c r="K127" s="357">
        <v>0</v>
      </c>
      <c r="L127" s="538">
        <v>0</v>
      </c>
      <c r="M127" s="539">
        <v>0</v>
      </c>
      <c r="N127" s="357">
        <v>0</v>
      </c>
      <c r="O127" s="357">
        <v>0.23375080963180089</v>
      </c>
      <c r="P127" s="536">
        <v>37.211995377565799</v>
      </c>
      <c r="Q127" s="550" t="s">
        <v>618</v>
      </c>
    </row>
    <row r="128" spans="1:17" hidden="1">
      <c r="A128" s="514">
        <v>46071</v>
      </c>
      <c r="B128" s="548" t="s">
        <v>827</v>
      </c>
      <c r="C128" s="548" t="s">
        <v>827</v>
      </c>
      <c r="D128" s="357" t="s">
        <v>680</v>
      </c>
      <c r="E128" s="358">
        <v>46071</v>
      </c>
      <c r="F128" s="357" t="s">
        <v>591</v>
      </c>
      <c r="G128" s="357" t="s">
        <v>137</v>
      </c>
      <c r="H128" s="357" t="s">
        <v>1198</v>
      </c>
      <c r="I128" s="357" t="s">
        <v>592</v>
      </c>
      <c r="J128" s="537">
        <v>55</v>
      </c>
      <c r="K128" s="357">
        <v>160945</v>
      </c>
      <c r="L128" s="538">
        <v>0</v>
      </c>
      <c r="M128" s="539">
        <v>0</v>
      </c>
      <c r="N128" s="357">
        <v>0</v>
      </c>
      <c r="O128" s="357">
        <v>1.9067958203035619E-8</v>
      </c>
      <c r="P128" s="536" t="s">
        <v>1199</v>
      </c>
      <c r="Q128" s="550" t="s">
        <v>618</v>
      </c>
    </row>
    <row r="129" spans="1:17" hidden="1">
      <c r="A129" s="514">
        <v>46071</v>
      </c>
      <c r="B129" s="548" t="s">
        <v>828</v>
      </c>
      <c r="C129" s="548" t="s">
        <v>828</v>
      </c>
      <c r="D129" s="357" t="s">
        <v>763</v>
      </c>
      <c r="E129" s="358">
        <v>46073</v>
      </c>
      <c r="F129" s="357" t="s">
        <v>591</v>
      </c>
      <c r="G129" s="357" t="s">
        <v>137</v>
      </c>
      <c r="H129" s="357" t="s">
        <v>1200</v>
      </c>
      <c r="I129" s="357" t="s">
        <v>592</v>
      </c>
      <c r="J129" s="537">
        <v>0.02</v>
      </c>
      <c r="K129" s="357">
        <v>107.98</v>
      </c>
      <c r="L129" s="538">
        <v>0</v>
      </c>
      <c r="M129" s="539">
        <v>0</v>
      </c>
      <c r="N129" s="357">
        <v>0</v>
      </c>
      <c r="O129" s="357">
        <v>2.3001348223424798E-3</v>
      </c>
      <c r="P129" s="536">
        <v>67.428562853491499</v>
      </c>
      <c r="Q129" s="550" t="s">
        <v>618</v>
      </c>
    </row>
    <row r="130" spans="1:17" hidden="1">
      <c r="A130" s="514">
        <v>46071</v>
      </c>
      <c r="B130" s="548" t="s">
        <v>829</v>
      </c>
      <c r="C130" s="548" t="s">
        <v>829</v>
      </c>
      <c r="D130" s="357" t="s">
        <v>763</v>
      </c>
      <c r="E130" s="358">
        <v>46073</v>
      </c>
      <c r="F130" s="357" t="s">
        <v>591</v>
      </c>
      <c r="G130" s="357" t="s">
        <v>137</v>
      </c>
      <c r="H130" s="357" t="s">
        <v>1201</v>
      </c>
      <c r="I130" s="357" t="s">
        <v>592</v>
      </c>
      <c r="J130" s="537">
        <v>0.05</v>
      </c>
      <c r="K130" s="357">
        <v>112.95</v>
      </c>
      <c r="L130" s="538">
        <v>0</v>
      </c>
      <c r="M130" s="539">
        <v>0</v>
      </c>
      <c r="N130" s="357">
        <v>0</v>
      </c>
      <c r="O130" s="357">
        <v>7.2350368443519376E-3</v>
      </c>
      <c r="P130" s="536">
        <v>57.277508497184002</v>
      </c>
      <c r="Q130" s="550" t="s">
        <v>618</v>
      </c>
    </row>
    <row r="131" spans="1:17" hidden="1">
      <c r="A131" s="514">
        <v>46071</v>
      </c>
      <c r="B131" s="526" t="s">
        <v>831</v>
      </c>
      <c r="C131" s="526" t="s">
        <v>831</v>
      </c>
      <c r="D131" s="357" t="s">
        <v>763</v>
      </c>
      <c r="E131" s="358">
        <v>46073</v>
      </c>
      <c r="F131" s="357" t="s">
        <v>591</v>
      </c>
      <c r="G131" s="357" t="s">
        <v>137</v>
      </c>
      <c r="H131" s="357" t="s">
        <v>1202</v>
      </c>
      <c r="I131" s="357" t="s">
        <v>592</v>
      </c>
      <c r="J131" s="537">
        <v>0.05</v>
      </c>
      <c r="K131" s="357">
        <v>113.95</v>
      </c>
      <c r="L131" s="538">
        <v>0</v>
      </c>
      <c r="M131" s="539">
        <v>0</v>
      </c>
      <c r="N131" s="357">
        <v>0</v>
      </c>
      <c r="O131" s="357">
        <v>8.7626930590454215E-3</v>
      </c>
      <c r="P131" s="536">
        <v>54.789942269955702</v>
      </c>
      <c r="Q131" s="550" t="s">
        <v>618</v>
      </c>
    </row>
    <row r="132" spans="1:17" hidden="1">
      <c r="A132" s="514">
        <v>46071</v>
      </c>
      <c r="B132" s="526" t="s">
        <v>832</v>
      </c>
      <c r="C132" s="526" t="s">
        <v>832</v>
      </c>
      <c r="D132" s="357" t="s">
        <v>833</v>
      </c>
      <c r="E132" s="358">
        <v>46073</v>
      </c>
      <c r="F132" s="357" t="s">
        <v>596</v>
      </c>
      <c r="G132" s="357" t="s">
        <v>137</v>
      </c>
      <c r="H132" s="357" t="s">
        <v>1203</v>
      </c>
      <c r="I132" s="357" t="s">
        <v>592</v>
      </c>
      <c r="J132" s="537">
        <v>0.56999999999999995</v>
      </c>
      <c r="K132" s="357">
        <v>0</v>
      </c>
      <c r="L132" s="538">
        <v>0</v>
      </c>
      <c r="M132" s="539">
        <v>0</v>
      </c>
      <c r="N132" s="357">
        <v>0</v>
      </c>
      <c r="O132" s="357">
        <v>9.782634917982487E-2</v>
      </c>
      <c r="P132" s="536">
        <v>32.368988850537598</v>
      </c>
      <c r="Q132" s="550" t="s">
        <v>618</v>
      </c>
    </row>
    <row r="133" spans="1:17" hidden="1">
      <c r="A133" s="514">
        <v>46071</v>
      </c>
      <c r="B133" s="526" t="s">
        <v>834</v>
      </c>
      <c r="C133" s="526" t="s">
        <v>834</v>
      </c>
      <c r="D133" s="357" t="s">
        <v>833</v>
      </c>
      <c r="E133" s="358">
        <v>46073</v>
      </c>
      <c r="F133" s="357" t="s">
        <v>591</v>
      </c>
      <c r="G133" s="357" t="s">
        <v>137</v>
      </c>
      <c r="H133" s="357" t="s">
        <v>1204</v>
      </c>
      <c r="I133" s="357" t="s">
        <v>592</v>
      </c>
      <c r="J133" s="537">
        <v>0.04</v>
      </c>
      <c r="K133" s="357">
        <v>25.85</v>
      </c>
      <c r="L133" s="538">
        <v>0</v>
      </c>
      <c r="M133" s="539">
        <v>0</v>
      </c>
      <c r="N133" s="357">
        <v>0</v>
      </c>
      <c r="O133" s="357">
        <v>3.3875082863625968E-7</v>
      </c>
      <c r="P133" s="536">
        <v>42.050836444657705</v>
      </c>
      <c r="Q133" s="550" t="s">
        <v>618</v>
      </c>
    </row>
    <row r="134" spans="1:17" hidden="1">
      <c r="A134" s="514">
        <v>46071</v>
      </c>
      <c r="B134" s="526" t="s">
        <v>835</v>
      </c>
      <c r="C134" s="526" t="s">
        <v>835</v>
      </c>
      <c r="D134" s="357" t="s">
        <v>833</v>
      </c>
      <c r="E134" s="358">
        <v>46073</v>
      </c>
      <c r="F134" s="357" t="s">
        <v>591</v>
      </c>
      <c r="G134" s="357" t="s">
        <v>137</v>
      </c>
      <c r="H134" s="357" t="s">
        <v>1205</v>
      </c>
      <c r="I134" s="357" t="s">
        <v>592</v>
      </c>
      <c r="J134" s="537">
        <v>0.08</v>
      </c>
      <c r="K134" s="357">
        <v>28.060000000000002</v>
      </c>
      <c r="L134" s="538">
        <v>0</v>
      </c>
      <c r="M134" s="539">
        <v>0</v>
      </c>
      <c r="N134" s="357">
        <v>0</v>
      </c>
      <c r="O134" s="357">
        <v>7.4307526434964921E-4</v>
      </c>
      <c r="P134" s="536">
        <v>38.551383298651899</v>
      </c>
      <c r="Q134" s="550" t="s">
        <v>618</v>
      </c>
    </row>
    <row r="135" spans="1:17" hidden="1">
      <c r="A135" s="514">
        <v>46071</v>
      </c>
      <c r="B135" s="548" t="s">
        <v>841</v>
      </c>
      <c r="C135" s="548" t="s">
        <v>841</v>
      </c>
      <c r="D135" s="357" t="s">
        <v>680</v>
      </c>
      <c r="E135" s="358">
        <v>46071</v>
      </c>
      <c r="F135" s="357" t="s">
        <v>591</v>
      </c>
      <c r="G135" s="357" t="s">
        <v>137</v>
      </c>
      <c r="H135" s="357" t="s">
        <v>1206</v>
      </c>
      <c r="I135" s="357" t="s">
        <v>592</v>
      </c>
      <c r="J135" s="537">
        <v>200</v>
      </c>
      <c r="K135" s="357">
        <v>162800</v>
      </c>
      <c r="L135" s="538">
        <v>0</v>
      </c>
      <c r="M135" s="539">
        <v>0</v>
      </c>
      <c r="N135" s="357">
        <v>0</v>
      </c>
      <c r="O135" s="357">
        <v>1.9067958203035619E-8</v>
      </c>
      <c r="P135" s="536" t="s">
        <v>1199</v>
      </c>
      <c r="Q135" s="550" t="s">
        <v>618</v>
      </c>
    </row>
    <row r="136" spans="1:17" hidden="1">
      <c r="A136" s="514">
        <v>46071</v>
      </c>
      <c r="B136" s="526" t="s">
        <v>865</v>
      </c>
      <c r="C136" s="526" t="s">
        <v>865</v>
      </c>
      <c r="D136" s="357" t="s">
        <v>799</v>
      </c>
      <c r="E136" s="358">
        <v>46073</v>
      </c>
      <c r="F136" s="357" t="s">
        <v>591</v>
      </c>
      <c r="G136" s="357" t="s">
        <v>137</v>
      </c>
      <c r="H136" s="357" t="s">
        <v>1207</v>
      </c>
      <c r="I136" s="357" t="s">
        <v>592</v>
      </c>
      <c r="J136" s="537">
        <v>0.01</v>
      </c>
      <c r="K136" s="357">
        <v>34.14</v>
      </c>
      <c r="L136" s="538">
        <v>0</v>
      </c>
      <c r="M136" s="539">
        <v>0</v>
      </c>
      <c r="N136" s="357">
        <v>0</v>
      </c>
      <c r="O136" s="357">
        <v>1.8197223014220882E-3</v>
      </c>
      <c r="P136" s="536">
        <v>46.219679989710698</v>
      </c>
      <c r="Q136" s="550" t="s">
        <v>618</v>
      </c>
    </row>
    <row r="137" spans="1:17" hidden="1">
      <c r="A137" s="514">
        <v>46071</v>
      </c>
      <c r="B137" s="526" t="s">
        <v>866</v>
      </c>
      <c r="C137" s="526" t="s">
        <v>866</v>
      </c>
      <c r="D137" s="357" t="s">
        <v>867</v>
      </c>
      <c r="E137" s="358">
        <v>46073</v>
      </c>
      <c r="F137" s="357" t="s">
        <v>591</v>
      </c>
      <c r="G137" s="357" t="s">
        <v>137</v>
      </c>
      <c r="H137" s="357" t="s">
        <v>1208</v>
      </c>
      <c r="I137" s="357" t="s">
        <v>592</v>
      </c>
      <c r="J137" s="537">
        <v>0.01</v>
      </c>
      <c r="K137" s="357">
        <v>43.24</v>
      </c>
      <c r="L137" s="538">
        <v>0</v>
      </c>
      <c r="M137" s="539">
        <v>0</v>
      </c>
      <c r="N137" s="357">
        <v>0</v>
      </c>
      <c r="O137" s="357">
        <v>1.6307894917077074E-3</v>
      </c>
      <c r="P137" s="536">
        <v>98.4604483043898</v>
      </c>
      <c r="Q137" s="550" t="s">
        <v>618</v>
      </c>
    </row>
    <row r="138" spans="1:17" hidden="1">
      <c r="A138" s="514">
        <v>46071</v>
      </c>
      <c r="B138" s="526" t="s">
        <v>868</v>
      </c>
      <c r="C138" s="526" t="s">
        <v>868</v>
      </c>
      <c r="D138" s="357" t="s">
        <v>867</v>
      </c>
      <c r="E138" s="358">
        <v>46073</v>
      </c>
      <c r="F138" s="357" t="s">
        <v>591</v>
      </c>
      <c r="G138" s="357" t="s">
        <v>137</v>
      </c>
      <c r="H138" s="357" t="s">
        <v>1209</v>
      </c>
      <c r="I138" s="357" t="s">
        <v>592</v>
      </c>
      <c r="J138" s="537">
        <v>0.02</v>
      </c>
      <c r="K138" s="357">
        <v>46.23</v>
      </c>
      <c r="L138" s="538">
        <v>0</v>
      </c>
      <c r="M138" s="539">
        <v>0</v>
      </c>
      <c r="N138" s="357">
        <v>0</v>
      </c>
      <c r="O138" s="357">
        <v>2.6147345875990394E-3</v>
      </c>
      <c r="P138" s="536">
        <v>75.416449654339701</v>
      </c>
      <c r="Q138" s="550" t="s">
        <v>618</v>
      </c>
    </row>
    <row r="139" spans="1:17" hidden="1">
      <c r="A139" s="514">
        <v>46071</v>
      </c>
      <c r="B139" s="526" t="s">
        <v>869</v>
      </c>
      <c r="C139" s="526" t="s">
        <v>869</v>
      </c>
      <c r="D139" s="357" t="s">
        <v>867</v>
      </c>
      <c r="E139" s="358">
        <v>46101</v>
      </c>
      <c r="F139" s="357" t="s">
        <v>596</v>
      </c>
      <c r="G139" s="357" t="s">
        <v>137</v>
      </c>
      <c r="H139" s="357" t="s">
        <v>1191</v>
      </c>
      <c r="I139" s="357" t="s">
        <v>592</v>
      </c>
      <c r="J139" s="537">
        <v>4.57</v>
      </c>
      <c r="K139" s="357">
        <v>0</v>
      </c>
      <c r="L139" s="538">
        <v>0</v>
      </c>
      <c r="M139" s="539">
        <v>0</v>
      </c>
      <c r="N139" s="357">
        <v>0</v>
      </c>
      <c r="O139" s="357">
        <v>0.89715578452082667</v>
      </c>
      <c r="P139" s="536">
        <v>36.850032708179</v>
      </c>
      <c r="Q139" s="550" t="s">
        <v>618</v>
      </c>
    </row>
    <row r="140" spans="1:17" hidden="1">
      <c r="A140" s="514">
        <v>46071</v>
      </c>
      <c r="B140" s="526" t="s">
        <v>870</v>
      </c>
      <c r="C140" s="526" t="s">
        <v>870</v>
      </c>
      <c r="D140" s="357" t="s">
        <v>867</v>
      </c>
      <c r="E140" s="358">
        <v>46101</v>
      </c>
      <c r="F140" s="357" t="s">
        <v>591</v>
      </c>
      <c r="G140" s="357" t="s">
        <v>137</v>
      </c>
      <c r="H140" s="357" t="s">
        <v>1210</v>
      </c>
      <c r="I140" s="357" t="s">
        <v>592</v>
      </c>
      <c r="J140" s="537">
        <v>0.09</v>
      </c>
      <c r="K140" s="357">
        <v>42.41</v>
      </c>
      <c r="L140" s="538">
        <v>0</v>
      </c>
      <c r="M140" s="539">
        <v>0</v>
      </c>
      <c r="N140" s="357">
        <v>0</v>
      </c>
      <c r="O140" s="357">
        <v>2.1399796715219778E-2</v>
      </c>
      <c r="P140" s="536">
        <v>48.161768085448799</v>
      </c>
      <c r="Q140" s="550" t="s">
        <v>618</v>
      </c>
    </row>
    <row r="141" spans="1:17" hidden="1">
      <c r="A141" s="514">
        <v>46071</v>
      </c>
      <c r="B141" s="526" t="s">
        <v>871</v>
      </c>
      <c r="C141" s="526" t="s">
        <v>871</v>
      </c>
      <c r="D141" s="357" t="s">
        <v>867</v>
      </c>
      <c r="E141" s="358">
        <v>46101</v>
      </c>
      <c r="F141" s="357" t="s">
        <v>591</v>
      </c>
      <c r="G141" s="357" t="s">
        <v>137</v>
      </c>
      <c r="H141" s="357" t="s">
        <v>1211</v>
      </c>
      <c r="I141" s="357" t="s">
        <v>592</v>
      </c>
      <c r="J141" s="537">
        <v>0.41</v>
      </c>
      <c r="K141" s="357">
        <v>46.09</v>
      </c>
      <c r="L141" s="538">
        <v>0</v>
      </c>
      <c r="M141" s="539">
        <v>0</v>
      </c>
      <c r="N141" s="357">
        <v>0</v>
      </c>
      <c r="O141" s="357">
        <v>5.0107345386737626E-2</v>
      </c>
      <c r="P141" s="536">
        <v>40.557865535353102</v>
      </c>
      <c r="Q141" s="550" t="s">
        <v>618</v>
      </c>
    </row>
    <row r="142" spans="1:17" hidden="1">
      <c r="A142" s="514">
        <v>46071</v>
      </c>
      <c r="B142" s="526" t="s">
        <v>887</v>
      </c>
      <c r="C142" s="526" t="s">
        <v>887</v>
      </c>
      <c r="D142" s="357" t="s">
        <v>888</v>
      </c>
      <c r="E142" s="358">
        <v>46073</v>
      </c>
      <c r="F142" s="357" t="s">
        <v>591</v>
      </c>
      <c r="G142" s="357" t="s">
        <v>137</v>
      </c>
      <c r="H142" s="357" t="s">
        <v>1212</v>
      </c>
      <c r="I142" s="357" t="s">
        <v>592</v>
      </c>
      <c r="J142" s="537">
        <v>0.02</v>
      </c>
      <c r="K142" s="357">
        <v>40.919999999999995</v>
      </c>
      <c r="L142" s="538">
        <v>0</v>
      </c>
      <c r="M142" s="539">
        <v>0</v>
      </c>
      <c r="N142" s="357">
        <v>0</v>
      </c>
      <c r="O142" s="357">
        <v>1.6713510822740447E-4</v>
      </c>
      <c r="P142" s="536">
        <v>59.876707146534002</v>
      </c>
      <c r="Q142" s="550" t="s">
        <v>618</v>
      </c>
    </row>
    <row r="143" spans="1:17" hidden="1">
      <c r="A143" s="514">
        <v>46071</v>
      </c>
      <c r="B143" s="526" t="s">
        <v>889</v>
      </c>
      <c r="C143" s="526" t="s">
        <v>889</v>
      </c>
      <c r="D143" s="357" t="s">
        <v>888</v>
      </c>
      <c r="E143" s="358">
        <v>46073</v>
      </c>
      <c r="F143" s="357" t="s">
        <v>591</v>
      </c>
      <c r="G143" s="357" t="s">
        <v>137</v>
      </c>
      <c r="H143" s="357" t="s">
        <v>1213</v>
      </c>
      <c r="I143" s="357" t="s">
        <v>592</v>
      </c>
      <c r="J143" s="537">
        <v>0.01</v>
      </c>
      <c r="K143" s="357">
        <v>42.870000000000005</v>
      </c>
      <c r="L143" s="538">
        <v>0</v>
      </c>
      <c r="M143" s="539">
        <v>0</v>
      </c>
      <c r="N143" s="357">
        <v>0</v>
      </c>
      <c r="O143" s="357">
        <v>8.0865982194769663E-4</v>
      </c>
      <c r="P143" s="536">
        <v>51.384528387340801</v>
      </c>
      <c r="Q143" s="550" t="s">
        <v>618</v>
      </c>
    </row>
    <row r="144" spans="1:17" hidden="1">
      <c r="A144" s="514">
        <v>46071</v>
      </c>
      <c r="B144" s="548" t="s">
        <v>893</v>
      </c>
      <c r="C144" s="548" t="s">
        <v>893</v>
      </c>
      <c r="D144" s="357" t="s">
        <v>763</v>
      </c>
      <c r="E144" s="358">
        <v>46073</v>
      </c>
      <c r="F144" s="357" t="s">
        <v>591</v>
      </c>
      <c r="G144" s="357" t="s">
        <v>137</v>
      </c>
      <c r="H144" s="357" t="s">
        <v>1214</v>
      </c>
      <c r="I144" s="357" t="s">
        <v>592</v>
      </c>
      <c r="J144" s="537">
        <v>0.18</v>
      </c>
      <c r="K144" s="357">
        <v>119.82</v>
      </c>
      <c r="L144" s="538">
        <v>0</v>
      </c>
      <c r="M144" s="539">
        <v>0</v>
      </c>
      <c r="N144" s="357">
        <v>0</v>
      </c>
      <c r="O144" s="357">
        <v>2.6201529939763556E-2</v>
      </c>
      <c r="P144" s="536">
        <v>37.248028684952196</v>
      </c>
      <c r="Q144" s="550" t="s">
        <v>618</v>
      </c>
    </row>
    <row r="145" spans="1:17" hidden="1">
      <c r="A145" s="514">
        <v>46071</v>
      </c>
      <c r="B145" s="548" t="s">
        <v>894</v>
      </c>
      <c r="C145" s="548" t="s">
        <v>894</v>
      </c>
      <c r="D145" s="357" t="s">
        <v>817</v>
      </c>
      <c r="E145" s="358">
        <v>46073</v>
      </c>
      <c r="F145" s="357" t="s">
        <v>591</v>
      </c>
      <c r="G145" s="357" t="s">
        <v>137</v>
      </c>
      <c r="H145" s="357" t="s">
        <v>1215</v>
      </c>
      <c r="I145" s="357" t="s">
        <v>592</v>
      </c>
      <c r="J145" s="537">
        <v>0.06</v>
      </c>
      <c r="K145" s="357">
        <v>77.84</v>
      </c>
      <c r="L145" s="538">
        <v>0</v>
      </c>
      <c r="M145" s="539">
        <v>0</v>
      </c>
      <c r="N145" s="357">
        <v>0</v>
      </c>
      <c r="O145" s="357">
        <v>6.895718895042484E-3</v>
      </c>
      <c r="P145" s="536">
        <v>44.764815296164699</v>
      </c>
      <c r="Q145" s="550" t="s">
        <v>618</v>
      </c>
    </row>
    <row r="146" spans="1:17" hidden="1">
      <c r="A146" s="514">
        <v>46071</v>
      </c>
      <c r="B146" s="548" t="s">
        <v>895</v>
      </c>
      <c r="C146" s="548" t="s">
        <v>895</v>
      </c>
      <c r="D146" s="357" t="s">
        <v>817</v>
      </c>
      <c r="E146" s="358">
        <v>46073</v>
      </c>
      <c r="F146" s="357" t="s">
        <v>591</v>
      </c>
      <c r="G146" s="357" t="s">
        <v>137</v>
      </c>
      <c r="H146" s="357" t="s">
        <v>1216</v>
      </c>
      <c r="I146" s="357" t="s">
        <v>592</v>
      </c>
      <c r="J146" s="537">
        <v>0.52</v>
      </c>
      <c r="K146" s="357">
        <v>82.38000000000001</v>
      </c>
      <c r="L146" s="538">
        <v>0</v>
      </c>
      <c r="M146" s="539">
        <v>0</v>
      </c>
      <c r="N146" s="357">
        <v>0</v>
      </c>
      <c r="O146" s="357">
        <v>9.8323516665993774E-2</v>
      </c>
      <c r="P146" s="536">
        <v>32.802810068055095</v>
      </c>
      <c r="Q146" s="550" t="s">
        <v>618</v>
      </c>
    </row>
    <row r="147" spans="1:17" hidden="1">
      <c r="A147" s="514">
        <v>46071</v>
      </c>
      <c r="B147" s="526" t="s">
        <v>917</v>
      </c>
      <c r="C147" s="526" t="s">
        <v>917</v>
      </c>
      <c r="D147" s="357" t="s">
        <v>619</v>
      </c>
      <c r="E147" s="358">
        <v>46073</v>
      </c>
      <c r="F147" s="357" t="s">
        <v>591</v>
      </c>
      <c r="G147" s="357" t="s">
        <v>137</v>
      </c>
      <c r="H147" s="357" t="s">
        <v>1217</v>
      </c>
      <c r="I147" s="357" t="s">
        <v>592</v>
      </c>
      <c r="J147" s="537">
        <v>0.01</v>
      </c>
      <c r="K147" s="357">
        <v>14.66</v>
      </c>
      <c r="L147" s="538">
        <v>0</v>
      </c>
      <c r="M147" s="539">
        <v>0</v>
      </c>
      <c r="N147" s="357">
        <v>0</v>
      </c>
      <c r="O147" s="357">
        <v>8.1323300820932814E-5</v>
      </c>
      <c r="P147" s="536">
        <v>38.661086096394797</v>
      </c>
      <c r="Q147" s="550" t="s">
        <v>618</v>
      </c>
    </row>
    <row r="148" spans="1:17" hidden="1">
      <c r="A148" s="514">
        <v>46071</v>
      </c>
      <c r="B148" s="526" t="s">
        <v>918</v>
      </c>
      <c r="C148" s="526" t="s">
        <v>918</v>
      </c>
      <c r="D148" s="357" t="s">
        <v>919</v>
      </c>
      <c r="E148" s="358">
        <v>46101</v>
      </c>
      <c r="F148" s="357" t="s">
        <v>591</v>
      </c>
      <c r="G148" s="357" t="s">
        <v>137</v>
      </c>
      <c r="H148" s="357" t="s">
        <v>1193</v>
      </c>
      <c r="I148" s="357" t="s">
        <v>592</v>
      </c>
      <c r="J148" s="537">
        <v>0.73</v>
      </c>
      <c r="K148" s="357">
        <v>20.58</v>
      </c>
      <c r="L148" s="538">
        <v>0</v>
      </c>
      <c r="M148" s="539">
        <v>0</v>
      </c>
      <c r="N148" s="357">
        <v>0</v>
      </c>
      <c r="O148" s="357">
        <v>0.11792681905932557</v>
      </c>
      <c r="P148" s="536">
        <v>34.672202226181703</v>
      </c>
      <c r="Q148" s="550" t="s">
        <v>618</v>
      </c>
    </row>
    <row r="149" spans="1:17" hidden="1">
      <c r="A149" s="514">
        <v>46071</v>
      </c>
      <c r="B149" s="526" t="s">
        <v>920</v>
      </c>
      <c r="C149" s="526" t="s">
        <v>920</v>
      </c>
      <c r="D149" s="357" t="s">
        <v>919</v>
      </c>
      <c r="E149" s="358">
        <v>46101</v>
      </c>
      <c r="F149" s="357" t="s">
        <v>591</v>
      </c>
      <c r="G149" s="357" t="s">
        <v>137</v>
      </c>
      <c r="H149" s="357" t="s">
        <v>1218</v>
      </c>
      <c r="I149" s="357" t="s">
        <v>592</v>
      </c>
      <c r="J149" s="537">
        <v>1.62</v>
      </c>
      <c r="K149" s="357">
        <v>21.189999999999998</v>
      </c>
      <c r="L149" s="538">
        <v>0</v>
      </c>
      <c r="M149" s="539">
        <v>0</v>
      </c>
      <c r="N149" s="357">
        <v>0</v>
      </c>
      <c r="O149" s="357">
        <v>0.27801470362832209</v>
      </c>
      <c r="P149" s="536">
        <v>35.668639939549898</v>
      </c>
      <c r="Q149" s="550" t="s">
        <v>618</v>
      </c>
    </row>
    <row r="150" spans="1:17" hidden="1">
      <c r="A150" s="514">
        <v>46071</v>
      </c>
      <c r="B150" s="526" t="s">
        <v>940</v>
      </c>
      <c r="C150" s="526" t="s">
        <v>940</v>
      </c>
      <c r="D150" s="357" t="s">
        <v>941</v>
      </c>
      <c r="E150" s="358">
        <v>46073</v>
      </c>
      <c r="F150" s="357" t="s">
        <v>591</v>
      </c>
      <c r="G150" s="357" t="s">
        <v>137</v>
      </c>
      <c r="H150" s="357" t="s">
        <v>1219</v>
      </c>
      <c r="I150" s="357" t="s">
        <v>592</v>
      </c>
      <c r="J150" s="537">
        <v>0.02</v>
      </c>
      <c r="K150" s="357">
        <v>12.46</v>
      </c>
      <c r="L150" s="538">
        <v>0</v>
      </c>
      <c r="M150" s="539">
        <v>0</v>
      </c>
      <c r="N150" s="357">
        <v>0</v>
      </c>
      <c r="O150" s="357">
        <v>1.7723720806955994E-8</v>
      </c>
      <c r="P150" s="536">
        <v>29.138412509142203</v>
      </c>
      <c r="Q150" s="550" t="s">
        <v>618</v>
      </c>
    </row>
    <row r="151" spans="1:17" hidden="1">
      <c r="A151" s="514">
        <v>46071</v>
      </c>
      <c r="B151" s="526" t="s">
        <v>942</v>
      </c>
      <c r="C151" s="526" t="s">
        <v>942</v>
      </c>
      <c r="D151" s="357" t="s">
        <v>941</v>
      </c>
      <c r="E151" s="358">
        <v>46073</v>
      </c>
      <c r="F151" s="357" t="s">
        <v>591</v>
      </c>
      <c r="G151" s="357" t="s">
        <v>137</v>
      </c>
      <c r="H151" s="357" t="s">
        <v>1220</v>
      </c>
      <c r="I151" s="357" t="s">
        <v>592</v>
      </c>
      <c r="J151" s="537">
        <v>0.02</v>
      </c>
      <c r="K151" s="357">
        <v>13.21</v>
      </c>
      <c r="L151" s="538">
        <v>0</v>
      </c>
      <c r="M151" s="539">
        <v>0</v>
      </c>
      <c r="N151" s="357">
        <v>0</v>
      </c>
      <c r="O151" s="357">
        <v>5.4445292022786206E-5</v>
      </c>
      <c r="P151" s="536">
        <v>25.891912197867299</v>
      </c>
      <c r="Q151" s="550" t="s">
        <v>618</v>
      </c>
    </row>
    <row r="152" spans="1:17" hidden="1">
      <c r="A152" s="514">
        <v>46071</v>
      </c>
      <c r="B152" s="526" t="s">
        <v>943</v>
      </c>
      <c r="C152" s="526" t="s">
        <v>943</v>
      </c>
      <c r="D152" s="357" t="s">
        <v>944</v>
      </c>
      <c r="E152" s="358">
        <v>46101</v>
      </c>
      <c r="F152" s="357" t="s">
        <v>596</v>
      </c>
      <c r="G152" s="357" t="s">
        <v>137</v>
      </c>
      <c r="H152" s="357" t="s">
        <v>1221</v>
      </c>
      <c r="I152" s="357" t="s">
        <v>592</v>
      </c>
      <c r="J152" s="537">
        <v>0.66</v>
      </c>
      <c r="K152" s="357">
        <v>0</v>
      </c>
      <c r="L152" s="538">
        <v>0</v>
      </c>
      <c r="M152" s="539">
        <v>0</v>
      </c>
      <c r="N152" s="357">
        <v>0</v>
      </c>
      <c r="O152" s="357">
        <v>0.13684062708029129</v>
      </c>
      <c r="P152" s="536">
        <v>29.891503721022005</v>
      </c>
      <c r="Q152" s="550" t="s">
        <v>618</v>
      </c>
    </row>
    <row r="153" spans="1:17" hidden="1">
      <c r="A153" s="514">
        <v>46071</v>
      </c>
      <c r="B153" s="526" t="s">
        <v>945</v>
      </c>
      <c r="C153" s="526" t="s">
        <v>945</v>
      </c>
      <c r="D153" s="357" t="s">
        <v>946</v>
      </c>
      <c r="E153" s="358">
        <v>46101</v>
      </c>
      <c r="F153" s="357" t="s">
        <v>596</v>
      </c>
      <c r="G153" s="357" t="s">
        <v>137</v>
      </c>
      <c r="H153" s="357" t="s">
        <v>1222</v>
      </c>
      <c r="I153" s="357" t="s">
        <v>592</v>
      </c>
      <c r="J153" s="537">
        <v>1.04</v>
      </c>
      <c r="K153" s="357">
        <v>0</v>
      </c>
      <c r="L153" s="538">
        <v>0</v>
      </c>
      <c r="M153" s="539">
        <v>0</v>
      </c>
      <c r="N153" s="357">
        <v>0</v>
      </c>
      <c r="O153" s="357">
        <v>0.13060985727949151</v>
      </c>
      <c r="P153" s="536">
        <v>33.613213160417899</v>
      </c>
      <c r="Q153" s="550" t="s">
        <v>618</v>
      </c>
    </row>
    <row r="154" spans="1:17" hidden="1">
      <c r="A154" s="514">
        <v>46071</v>
      </c>
      <c r="B154" s="526" t="s">
        <v>947</v>
      </c>
      <c r="C154" s="526" t="s">
        <v>947</v>
      </c>
      <c r="D154" s="357" t="s">
        <v>946</v>
      </c>
      <c r="E154" s="358">
        <v>46101</v>
      </c>
      <c r="F154" s="357" t="s">
        <v>591</v>
      </c>
      <c r="G154" s="357" t="s">
        <v>137</v>
      </c>
      <c r="H154" s="357" t="s">
        <v>1223</v>
      </c>
      <c r="I154" s="357" t="s">
        <v>592</v>
      </c>
      <c r="J154" s="537">
        <v>0.33</v>
      </c>
      <c r="K154" s="357">
        <v>22.060000000000002</v>
      </c>
      <c r="L154" s="538">
        <v>0</v>
      </c>
      <c r="M154" s="539">
        <v>0</v>
      </c>
      <c r="N154" s="357">
        <v>0</v>
      </c>
      <c r="O154" s="357">
        <v>2.1827657087591833E-2</v>
      </c>
      <c r="P154" s="536">
        <v>39.647813977965299</v>
      </c>
      <c r="Q154" s="550" t="s">
        <v>618</v>
      </c>
    </row>
    <row r="155" spans="1:17" hidden="1">
      <c r="A155" s="514">
        <v>46071</v>
      </c>
      <c r="B155" s="526" t="s">
        <v>948</v>
      </c>
      <c r="C155" s="526" t="s">
        <v>948</v>
      </c>
      <c r="D155" s="357" t="s">
        <v>946</v>
      </c>
      <c r="E155" s="358">
        <v>46101</v>
      </c>
      <c r="F155" s="357" t="s">
        <v>591</v>
      </c>
      <c r="G155" s="357" t="s">
        <v>137</v>
      </c>
      <c r="H155" s="357" t="s">
        <v>1224</v>
      </c>
      <c r="I155" s="357" t="s">
        <v>592</v>
      </c>
      <c r="J155" s="537">
        <v>0.89</v>
      </c>
      <c r="K155" s="357">
        <v>23.95</v>
      </c>
      <c r="L155" s="538">
        <v>0</v>
      </c>
      <c r="M155" s="539">
        <v>0</v>
      </c>
      <c r="N155" s="357">
        <v>0</v>
      </c>
      <c r="O155" s="357">
        <v>0.10175287689194493</v>
      </c>
      <c r="P155" s="536">
        <v>36.4780877247034</v>
      </c>
      <c r="Q155" s="550" t="s">
        <v>618</v>
      </c>
    </row>
    <row r="156" spans="1:17" hidden="1">
      <c r="A156" s="514">
        <v>46071</v>
      </c>
      <c r="B156" s="526" t="s">
        <v>949</v>
      </c>
      <c r="C156" s="526" t="s">
        <v>949</v>
      </c>
      <c r="D156" s="357" t="s">
        <v>950</v>
      </c>
      <c r="E156" s="358">
        <v>46073</v>
      </c>
      <c r="F156" s="357" t="s">
        <v>596</v>
      </c>
      <c r="G156" s="357" t="s">
        <v>137</v>
      </c>
      <c r="H156" s="357" t="s">
        <v>1225</v>
      </c>
      <c r="I156" s="357" t="s">
        <v>592</v>
      </c>
      <c r="J156" s="537">
        <v>0.01</v>
      </c>
      <c r="K156" s="357">
        <v>0</v>
      </c>
      <c r="L156" s="538">
        <v>0</v>
      </c>
      <c r="M156" s="539">
        <v>0</v>
      </c>
      <c r="N156" s="357">
        <v>0</v>
      </c>
      <c r="O156" s="357">
        <v>2.8765613749569068E-3</v>
      </c>
      <c r="P156" s="536">
        <v>80.574784420835002</v>
      </c>
      <c r="Q156" s="550" t="s">
        <v>618</v>
      </c>
    </row>
    <row r="157" spans="1:17" hidden="1">
      <c r="A157" s="514">
        <v>46071</v>
      </c>
      <c r="B157" s="526" t="s">
        <v>951</v>
      </c>
      <c r="C157" s="526" t="s">
        <v>951</v>
      </c>
      <c r="D157" s="357" t="s">
        <v>950</v>
      </c>
      <c r="E157" s="358">
        <v>46073</v>
      </c>
      <c r="F157" s="357" t="s">
        <v>596</v>
      </c>
      <c r="G157" s="357" t="s">
        <v>137</v>
      </c>
      <c r="H157" s="357" t="s">
        <v>1226</v>
      </c>
      <c r="I157" s="357" t="s">
        <v>592</v>
      </c>
      <c r="J157" s="537">
        <v>0.01</v>
      </c>
      <c r="K157" s="357">
        <v>0</v>
      </c>
      <c r="L157" s="538">
        <v>0</v>
      </c>
      <c r="M157" s="539">
        <v>0</v>
      </c>
      <c r="N157" s="357">
        <v>0</v>
      </c>
      <c r="O157" s="357">
        <v>4.9570438375137293E-4</v>
      </c>
      <c r="P157" s="536">
        <v>105.465510936058</v>
      </c>
      <c r="Q157" s="550" t="s">
        <v>618</v>
      </c>
    </row>
    <row r="158" spans="1:17" hidden="1">
      <c r="A158" s="514">
        <v>46071</v>
      </c>
      <c r="B158" s="548" t="s">
        <v>964</v>
      </c>
      <c r="C158" s="548" t="s">
        <v>964</v>
      </c>
      <c r="D158" s="357" t="s">
        <v>965</v>
      </c>
      <c r="E158" s="358">
        <v>46073</v>
      </c>
      <c r="F158" s="357" t="s">
        <v>596</v>
      </c>
      <c r="G158" s="357" t="s">
        <v>137</v>
      </c>
      <c r="H158" s="357" t="s">
        <v>1227</v>
      </c>
      <c r="I158" s="357" t="s">
        <v>592</v>
      </c>
      <c r="J158" s="537">
        <v>0.2</v>
      </c>
      <c r="K158" s="357">
        <v>0</v>
      </c>
      <c r="L158" s="538">
        <v>0</v>
      </c>
      <c r="M158" s="539">
        <v>0</v>
      </c>
      <c r="N158" s="357">
        <v>0</v>
      </c>
      <c r="O158" s="357">
        <v>4.1078125569030663E-2</v>
      </c>
      <c r="P158" s="536">
        <v>37.507659581692401</v>
      </c>
      <c r="Q158" s="550" t="s">
        <v>618</v>
      </c>
    </row>
    <row r="159" spans="1:17" hidden="1">
      <c r="A159" s="514">
        <v>46071</v>
      </c>
      <c r="B159" s="548" t="s">
        <v>966</v>
      </c>
      <c r="C159" s="548" t="s">
        <v>966</v>
      </c>
      <c r="D159" s="357" t="s">
        <v>967</v>
      </c>
      <c r="E159" s="358">
        <v>46073</v>
      </c>
      <c r="F159" s="357" t="s">
        <v>596</v>
      </c>
      <c r="G159" s="357" t="s">
        <v>137</v>
      </c>
      <c r="H159" s="357" t="s">
        <v>1228</v>
      </c>
      <c r="I159" s="357" t="s">
        <v>592</v>
      </c>
      <c r="J159" s="537">
        <v>0.01</v>
      </c>
      <c r="K159" s="357">
        <v>0</v>
      </c>
      <c r="L159" s="538">
        <v>0</v>
      </c>
      <c r="M159" s="539">
        <v>0</v>
      </c>
      <c r="N159" s="357">
        <v>0</v>
      </c>
      <c r="O159" s="357">
        <v>1.9067958203035619E-8</v>
      </c>
      <c r="P159" s="536">
        <v>12.435298248989</v>
      </c>
      <c r="Q159" s="550" t="s">
        <v>618</v>
      </c>
    </row>
    <row r="160" spans="1:17" hidden="1">
      <c r="A160" s="514">
        <v>46071</v>
      </c>
      <c r="B160" s="526" t="s">
        <v>968</v>
      </c>
      <c r="C160" s="526" t="s">
        <v>968</v>
      </c>
      <c r="D160" s="357" t="s">
        <v>867</v>
      </c>
      <c r="E160" s="358">
        <v>46129</v>
      </c>
      <c r="F160" s="357" t="s">
        <v>591</v>
      </c>
      <c r="G160" s="357" t="s">
        <v>137</v>
      </c>
      <c r="H160" s="357" t="s">
        <v>1229</v>
      </c>
      <c r="I160" s="357" t="s">
        <v>592</v>
      </c>
      <c r="J160" s="537">
        <v>0.41</v>
      </c>
      <c r="K160" s="357">
        <v>45.09</v>
      </c>
      <c r="L160" s="538">
        <v>0</v>
      </c>
      <c r="M160" s="539">
        <v>0</v>
      </c>
      <c r="N160" s="357">
        <v>0</v>
      </c>
      <c r="O160" s="357">
        <v>7.007001998359795E-2</v>
      </c>
      <c r="P160" s="536">
        <v>37.384161686181599</v>
      </c>
      <c r="Q160" s="550" t="s">
        <v>618</v>
      </c>
    </row>
    <row r="161" spans="1:17" hidden="1">
      <c r="A161" s="514">
        <v>46071</v>
      </c>
      <c r="B161" s="526" t="s">
        <v>969</v>
      </c>
      <c r="C161" s="526" t="s">
        <v>969</v>
      </c>
      <c r="D161" s="357" t="s">
        <v>867</v>
      </c>
      <c r="E161" s="358">
        <v>46129</v>
      </c>
      <c r="F161" s="357" t="s">
        <v>591</v>
      </c>
      <c r="G161" s="357" t="s">
        <v>137</v>
      </c>
      <c r="H161" s="357" t="s">
        <v>1230</v>
      </c>
      <c r="I161" s="357" t="s">
        <v>592</v>
      </c>
      <c r="J161" s="537">
        <v>1.03</v>
      </c>
      <c r="K161" s="357">
        <v>48.47</v>
      </c>
      <c r="L161" s="538">
        <v>0</v>
      </c>
      <c r="M161" s="539">
        <v>0</v>
      </c>
      <c r="N161" s="357">
        <v>0</v>
      </c>
      <c r="O161" s="357">
        <v>0.18150733922000123</v>
      </c>
      <c r="P161" s="536">
        <v>35.0078501459652</v>
      </c>
      <c r="Q161" s="550" t="s">
        <v>618</v>
      </c>
    </row>
    <row r="162" spans="1:17" hidden="1">
      <c r="A162" s="514">
        <v>46071</v>
      </c>
      <c r="B162" s="526" t="s">
        <v>987</v>
      </c>
      <c r="C162" s="526" t="s">
        <v>987</v>
      </c>
      <c r="D162" s="357" t="s">
        <v>988</v>
      </c>
      <c r="E162" s="358">
        <v>46101</v>
      </c>
      <c r="F162" s="357" t="s">
        <v>591</v>
      </c>
      <c r="G162" s="357" t="s">
        <v>137</v>
      </c>
      <c r="H162" s="357" t="s">
        <v>1231</v>
      </c>
      <c r="I162" s="357" t="s">
        <v>592</v>
      </c>
      <c r="J162" s="537">
        <v>0.14000000000000001</v>
      </c>
      <c r="K162" s="357">
        <v>18.73</v>
      </c>
      <c r="L162" s="538">
        <v>0</v>
      </c>
      <c r="M162" s="539">
        <v>0</v>
      </c>
      <c r="N162" s="357">
        <v>0</v>
      </c>
      <c r="O162" s="357">
        <v>2.4250949158678366E-2</v>
      </c>
      <c r="P162" s="536">
        <v>27.065421756261799</v>
      </c>
      <c r="Q162" s="550" t="s">
        <v>618</v>
      </c>
    </row>
    <row r="163" spans="1:17" hidden="1">
      <c r="A163" s="514">
        <v>46071</v>
      </c>
      <c r="B163" s="526" t="s">
        <v>989</v>
      </c>
      <c r="C163" s="526" t="s">
        <v>989</v>
      </c>
      <c r="D163" s="357" t="s">
        <v>833</v>
      </c>
      <c r="E163" s="358">
        <v>46073</v>
      </c>
      <c r="F163" s="357" t="s">
        <v>596</v>
      </c>
      <c r="G163" s="357" t="s">
        <v>137</v>
      </c>
      <c r="H163" s="357" t="s">
        <v>1232</v>
      </c>
      <c r="I163" s="357" t="s">
        <v>592</v>
      </c>
      <c r="J163" s="537">
        <v>0.26</v>
      </c>
      <c r="K163" s="357">
        <v>0</v>
      </c>
      <c r="L163" s="538">
        <v>0</v>
      </c>
      <c r="M163" s="539">
        <v>0</v>
      </c>
      <c r="N163" s="357">
        <v>0</v>
      </c>
      <c r="O163" s="357">
        <v>4.5210817701745711E-2</v>
      </c>
      <c r="P163" s="536">
        <v>30.527380126963202</v>
      </c>
      <c r="Q163" s="550" t="s">
        <v>618</v>
      </c>
    </row>
    <row r="164" spans="1:17" hidden="1">
      <c r="A164" s="514">
        <v>46071</v>
      </c>
      <c r="B164" s="526" t="s">
        <v>990</v>
      </c>
      <c r="C164" s="526" t="s">
        <v>990</v>
      </c>
      <c r="D164" s="357" t="s">
        <v>833</v>
      </c>
      <c r="E164" s="358">
        <v>46073</v>
      </c>
      <c r="F164" s="357" t="s">
        <v>591</v>
      </c>
      <c r="G164" s="357" t="s">
        <v>137</v>
      </c>
      <c r="H164" s="357" t="s">
        <v>1233</v>
      </c>
      <c r="I164" s="357" t="s">
        <v>592</v>
      </c>
      <c r="J164" s="537">
        <v>0.01</v>
      </c>
      <c r="K164" s="357">
        <v>26.63</v>
      </c>
      <c r="L164" s="538">
        <v>0</v>
      </c>
      <c r="M164" s="539">
        <v>0</v>
      </c>
      <c r="N164" s="357">
        <v>0</v>
      </c>
      <c r="O164" s="357">
        <v>6.9516038237929987E-6</v>
      </c>
      <c r="P164" s="536">
        <v>41.179949699949198</v>
      </c>
      <c r="Q164" s="550" t="s">
        <v>618</v>
      </c>
    </row>
    <row r="165" spans="1:17" hidden="1">
      <c r="A165" s="514">
        <v>46071</v>
      </c>
      <c r="B165" s="526" t="s">
        <v>991</v>
      </c>
      <c r="C165" s="526" t="s">
        <v>991</v>
      </c>
      <c r="D165" s="357" t="s">
        <v>833</v>
      </c>
      <c r="E165" s="358">
        <v>46073</v>
      </c>
      <c r="F165" s="357" t="s">
        <v>591</v>
      </c>
      <c r="G165" s="357" t="s">
        <v>137</v>
      </c>
      <c r="H165" s="357" t="s">
        <v>1234</v>
      </c>
      <c r="I165" s="357" t="s">
        <v>592</v>
      </c>
      <c r="J165" s="537">
        <v>0.04</v>
      </c>
      <c r="K165" s="357">
        <v>28.6</v>
      </c>
      <c r="L165" s="538">
        <v>0</v>
      </c>
      <c r="M165" s="539">
        <v>0</v>
      </c>
      <c r="N165" s="357">
        <v>0</v>
      </c>
      <c r="O165" s="357">
        <v>2.4973905809125164E-3</v>
      </c>
      <c r="P165" s="536">
        <v>37.3069872720597</v>
      </c>
      <c r="Q165" s="550" t="s">
        <v>618</v>
      </c>
    </row>
    <row r="166" spans="1:17" hidden="1">
      <c r="A166" s="514">
        <v>46071</v>
      </c>
      <c r="B166" s="526" t="s">
        <v>996</v>
      </c>
      <c r="C166" s="526" t="s">
        <v>996</v>
      </c>
      <c r="D166" s="357" t="s">
        <v>997</v>
      </c>
      <c r="E166" s="358">
        <v>46073</v>
      </c>
      <c r="F166" s="357" t="s">
        <v>596</v>
      </c>
      <c r="G166" s="357" t="s">
        <v>137</v>
      </c>
      <c r="H166" s="357" t="s">
        <v>1235</v>
      </c>
      <c r="I166" s="357" t="s">
        <v>592</v>
      </c>
      <c r="J166" s="537">
        <v>0.8</v>
      </c>
      <c r="K166" s="357">
        <v>0</v>
      </c>
      <c r="L166" s="538">
        <v>0</v>
      </c>
      <c r="M166" s="539">
        <v>0</v>
      </c>
      <c r="N166" s="357">
        <v>0</v>
      </c>
      <c r="O166" s="357">
        <v>1.7031118907787356E-12</v>
      </c>
      <c r="P166" s="536">
        <v>25.443348528311002</v>
      </c>
      <c r="Q166" s="550" t="s">
        <v>618</v>
      </c>
    </row>
    <row r="167" spans="1:17" hidden="1">
      <c r="A167" s="514">
        <v>46071</v>
      </c>
      <c r="B167" s="526" t="s">
        <v>998</v>
      </c>
      <c r="C167" s="526" t="s">
        <v>998</v>
      </c>
      <c r="D167" s="357" t="s">
        <v>997</v>
      </c>
      <c r="E167" s="358">
        <v>46073</v>
      </c>
      <c r="F167" s="357" t="s">
        <v>591</v>
      </c>
      <c r="G167" s="357" t="s">
        <v>137</v>
      </c>
      <c r="H167" s="357" t="s">
        <v>1236</v>
      </c>
      <c r="I167" s="357" t="s">
        <v>592</v>
      </c>
      <c r="J167" s="537">
        <v>0.52</v>
      </c>
      <c r="K167" s="357">
        <v>45.019999999999996</v>
      </c>
      <c r="L167" s="538">
        <v>0</v>
      </c>
      <c r="M167" s="539">
        <v>0</v>
      </c>
      <c r="N167" s="357">
        <v>0</v>
      </c>
      <c r="O167" s="357">
        <v>6.0606558829226699E-2</v>
      </c>
      <c r="P167" s="536">
        <v>37.317681807759399</v>
      </c>
      <c r="Q167" s="550" t="s">
        <v>618</v>
      </c>
    </row>
    <row r="168" spans="1:17" hidden="1">
      <c r="A168" s="514">
        <v>46071</v>
      </c>
      <c r="B168" s="526" t="s">
        <v>999</v>
      </c>
      <c r="C168" s="526" t="s">
        <v>999</v>
      </c>
      <c r="D168" s="357" t="s">
        <v>997</v>
      </c>
      <c r="E168" s="358">
        <v>46073</v>
      </c>
      <c r="F168" s="357" t="s">
        <v>591</v>
      </c>
      <c r="G168" s="357" t="s">
        <v>137</v>
      </c>
      <c r="H168" s="357" t="s">
        <v>1237</v>
      </c>
      <c r="I168" s="357" t="s">
        <v>592</v>
      </c>
      <c r="J168" s="537">
        <v>1.82</v>
      </c>
      <c r="K168" s="357">
        <v>47.47</v>
      </c>
      <c r="L168" s="538">
        <v>0</v>
      </c>
      <c r="M168" s="539">
        <v>0</v>
      </c>
      <c r="N168" s="357">
        <v>0</v>
      </c>
      <c r="O168" s="357">
        <v>0.5794979377207119</v>
      </c>
      <c r="P168" s="536">
        <v>29.4320274687439</v>
      </c>
      <c r="Q168" s="550" t="s">
        <v>618</v>
      </c>
    </row>
    <row r="169" spans="1:17" hidden="1">
      <c r="A169" s="514">
        <v>46071</v>
      </c>
      <c r="B169" s="548" t="s">
        <v>1000</v>
      </c>
      <c r="C169" s="548" t="s">
        <v>1000</v>
      </c>
      <c r="D169" s="357" t="s">
        <v>1001</v>
      </c>
      <c r="E169" s="358">
        <v>46101</v>
      </c>
      <c r="F169" s="357" t="s">
        <v>596</v>
      </c>
      <c r="G169" s="357" t="s">
        <v>137</v>
      </c>
      <c r="H169" s="357" t="s">
        <v>1238</v>
      </c>
      <c r="I169" s="357" t="s">
        <v>592</v>
      </c>
      <c r="J169" s="537">
        <v>0.19</v>
      </c>
      <c r="K169" s="357">
        <v>0</v>
      </c>
      <c r="L169" s="538">
        <v>0</v>
      </c>
      <c r="M169" s="539">
        <v>0</v>
      </c>
      <c r="N169" s="357">
        <v>0</v>
      </c>
      <c r="O169" s="357">
        <v>5.9621149645894191E-2</v>
      </c>
      <c r="P169" s="536">
        <v>38.550505630711001</v>
      </c>
      <c r="Q169" s="550" t="s">
        <v>618</v>
      </c>
    </row>
    <row r="170" spans="1:17" hidden="1">
      <c r="A170" s="514">
        <v>46071</v>
      </c>
      <c r="B170" s="548" t="s">
        <v>1002</v>
      </c>
      <c r="C170" s="548" t="s">
        <v>1002</v>
      </c>
      <c r="D170" s="357" t="s">
        <v>1001</v>
      </c>
      <c r="E170" s="358">
        <v>46101</v>
      </c>
      <c r="F170" s="357" t="s">
        <v>591</v>
      </c>
      <c r="G170" s="357" t="s">
        <v>137</v>
      </c>
      <c r="H170" s="357" t="s">
        <v>1239</v>
      </c>
      <c r="I170" s="357" t="s">
        <v>592</v>
      </c>
      <c r="J170" s="537">
        <v>0.14000000000000001</v>
      </c>
      <c r="K170" s="357">
        <v>6.03</v>
      </c>
      <c r="L170" s="538">
        <v>0</v>
      </c>
      <c r="M170" s="539">
        <v>0</v>
      </c>
      <c r="N170" s="357">
        <v>0</v>
      </c>
      <c r="O170" s="357">
        <v>7.0788472547249452E-3</v>
      </c>
      <c r="P170" s="536">
        <v>44.102602493130298</v>
      </c>
      <c r="Q170" s="550" t="s">
        <v>618</v>
      </c>
    </row>
    <row r="171" spans="1:17" hidden="1">
      <c r="A171" s="514">
        <v>46071</v>
      </c>
      <c r="B171" s="548" t="s">
        <v>1003</v>
      </c>
      <c r="C171" s="548" t="s">
        <v>1003</v>
      </c>
      <c r="D171" s="357" t="s">
        <v>1001</v>
      </c>
      <c r="E171" s="358">
        <v>46101</v>
      </c>
      <c r="F171" s="357" t="s">
        <v>591</v>
      </c>
      <c r="G171" s="357" t="s">
        <v>137</v>
      </c>
      <c r="H171" s="357" t="s">
        <v>1240</v>
      </c>
      <c r="I171" s="357" t="s">
        <v>592</v>
      </c>
      <c r="J171" s="537">
        <v>0.18</v>
      </c>
      <c r="K171" s="357">
        <v>6.59</v>
      </c>
      <c r="L171" s="538">
        <v>0</v>
      </c>
      <c r="M171" s="539">
        <v>0</v>
      </c>
      <c r="N171" s="357">
        <v>0</v>
      </c>
      <c r="O171" s="357">
        <v>2.4953793375383861E-2</v>
      </c>
      <c r="P171" s="536">
        <v>41.383655126528801</v>
      </c>
      <c r="Q171" s="550" t="s">
        <v>618</v>
      </c>
    </row>
    <row r="172" spans="1:17" hidden="1">
      <c r="A172" s="514">
        <v>46071</v>
      </c>
      <c r="B172" s="548" t="s">
        <v>1012</v>
      </c>
      <c r="C172" s="548" t="s">
        <v>1012</v>
      </c>
      <c r="D172" s="357" t="s">
        <v>1013</v>
      </c>
      <c r="E172" s="358">
        <v>46101</v>
      </c>
      <c r="F172" s="357" t="s">
        <v>596</v>
      </c>
      <c r="G172" s="357" t="s">
        <v>137</v>
      </c>
      <c r="H172" s="357" t="s">
        <v>1241</v>
      </c>
      <c r="I172" s="357" t="s">
        <v>592</v>
      </c>
      <c r="J172" s="537">
        <v>0.35</v>
      </c>
      <c r="K172" s="357">
        <v>0</v>
      </c>
      <c r="L172" s="538">
        <v>0</v>
      </c>
      <c r="M172" s="539">
        <v>0</v>
      </c>
      <c r="N172" s="357">
        <v>0</v>
      </c>
      <c r="O172" s="357">
        <v>5.9782946468142969E-3</v>
      </c>
      <c r="P172" s="536">
        <v>35.625998178896602</v>
      </c>
      <c r="Q172" s="550" t="s">
        <v>618</v>
      </c>
    </row>
    <row r="173" spans="1:17" hidden="1">
      <c r="A173" s="514">
        <v>46071</v>
      </c>
      <c r="B173" s="548" t="s">
        <v>1014</v>
      </c>
      <c r="C173" s="548" t="s">
        <v>1014</v>
      </c>
      <c r="D173" s="357" t="s">
        <v>1013</v>
      </c>
      <c r="E173" s="358">
        <v>46101</v>
      </c>
      <c r="F173" s="357" t="s">
        <v>591</v>
      </c>
      <c r="G173" s="357" t="s">
        <v>137</v>
      </c>
      <c r="H173" s="357" t="s">
        <v>1242</v>
      </c>
      <c r="I173" s="357" t="s">
        <v>592</v>
      </c>
      <c r="J173" s="537">
        <v>0.44</v>
      </c>
      <c r="K173" s="357">
        <v>12.26</v>
      </c>
      <c r="L173" s="538">
        <v>0</v>
      </c>
      <c r="M173" s="539">
        <v>0</v>
      </c>
      <c r="N173" s="357">
        <v>0</v>
      </c>
      <c r="O173" s="357">
        <v>0.10672694844726148</v>
      </c>
      <c r="P173" s="536">
        <v>41.053393871434295</v>
      </c>
      <c r="Q173" s="550" t="s">
        <v>618</v>
      </c>
    </row>
    <row r="174" spans="1:17" hidden="1">
      <c r="A174" s="514">
        <v>46071</v>
      </c>
      <c r="B174" s="548" t="s">
        <v>1015</v>
      </c>
      <c r="C174" s="548" t="s">
        <v>1015</v>
      </c>
      <c r="D174" s="357" t="s">
        <v>1013</v>
      </c>
      <c r="E174" s="358">
        <v>46101</v>
      </c>
      <c r="F174" s="357" t="s">
        <v>591</v>
      </c>
      <c r="G174" s="357" t="s">
        <v>137</v>
      </c>
      <c r="H174" s="357" t="s">
        <v>1243</v>
      </c>
      <c r="I174" s="357" t="s">
        <v>592</v>
      </c>
      <c r="J174" s="537">
        <v>0.67</v>
      </c>
      <c r="K174" s="357">
        <v>13.03</v>
      </c>
      <c r="L174" s="538">
        <v>0</v>
      </c>
      <c r="M174" s="539">
        <v>0</v>
      </c>
      <c r="N174" s="357">
        <v>0</v>
      </c>
      <c r="O174" s="357">
        <v>0.21730184121235419</v>
      </c>
      <c r="P174" s="536">
        <v>38.5509710950505</v>
      </c>
      <c r="Q174" s="550" t="s">
        <v>618</v>
      </c>
    </row>
    <row r="175" spans="1:17" hidden="1">
      <c r="A175" s="514">
        <v>46071</v>
      </c>
      <c r="B175" s="548" t="s">
        <v>1016</v>
      </c>
      <c r="C175" s="548" t="s">
        <v>1016</v>
      </c>
      <c r="D175" s="357" t="s">
        <v>817</v>
      </c>
      <c r="E175" s="358">
        <v>46101</v>
      </c>
      <c r="F175" s="357" t="s">
        <v>591</v>
      </c>
      <c r="G175" s="357" t="s">
        <v>137</v>
      </c>
      <c r="H175" s="357" t="s">
        <v>1244</v>
      </c>
      <c r="I175" s="357" t="s">
        <v>592</v>
      </c>
      <c r="J175" s="537">
        <v>1.63</v>
      </c>
      <c r="K175" s="357">
        <v>79.550000000000011</v>
      </c>
      <c r="L175" s="538">
        <v>0</v>
      </c>
      <c r="M175" s="539">
        <v>0</v>
      </c>
      <c r="N175" s="357">
        <v>0</v>
      </c>
      <c r="O175" s="357">
        <v>0.30340140160422802</v>
      </c>
      <c r="P175" s="536">
        <v>32.0653967323248</v>
      </c>
      <c r="Q175" s="550" t="s">
        <v>618</v>
      </c>
    </row>
    <row r="176" spans="1:17" hidden="1">
      <c r="A176" s="514">
        <v>46071</v>
      </c>
      <c r="B176" s="548" t="s">
        <v>1017</v>
      </c>
      <c r="C176" s="548" t="s">
        <v>1017</v>
      </c>
      <c r="D176" s="357" t="s">
        <v>817</v>
      </c>
      <c r="E176" s="358">
        <v>46101</v>
      </c>
      <c r="F176" s="357" t="s">
        <v>591</v>
      </c>
      <c r="G176" s="357" t="s">
        <v>137</v>
      </c>
      <c r="H176" s="357" t="s">
        <v>1245</v>
      </c>
      <c r="I176" s="357" t="s">
        <v>592</v>
      </c>
      <c r="J176" s="537">
        <v>3.88</v>
      </c>
      <c r="K176" s="357">
        <v>82.300000000000011</v>
      </c>
      <c r="L176" s="538">
        <v>0</v>
      </c>
      <c r="M176" s="539">
        <v>0</v>
      </c>
      <c r="N176" s="357">
        <v>0</v>
      </c>
      <c r="O176" s="357">
        <v>0.73004864638221756</v>
      </c>
      <c r="P176" s="536">
        <v>31.895876559652404</v>
      </c>
      <c r="Q176" s="550" t="s">
        <v>618</v>
      </c>
    </row>
    <row r="177" spans="1:17" hidden="1">
      <c r="A177" s="514">
        <v>46071</v>
      </c>
      <c r="B177" s="526" t="s">
        <v>1019</v>
      </c>
      <c r="C177" s="526" t="s">
        <v>1019</v>
      </c>
      <c r="D177" s="357" t="s">
        <v>941</v>
      </c>
      <c r="E177" s="358">
        <v>46101</v>
      </c>
      <c r="F177" s="357" t="s">
        <v>596</v>
      </c>
      <c r="G177" s="357" t="s">
        <v>137</v>
      </c>
      <c r="H177" s="357" t="s">
        <v>1246</v>
      </c>
      <c r="I177" s="357" t="s">
        <v>592</v>
      </c>
      <c r="J177" s="537">
        <v>0.32</v>
      </c>
      <c r="K177" s="357">
        <v>0</v>
      </c>
      <c r="L177" s="538">
        <v>0</v>
      </c>
      <c r="M177" s="539">
        <v>0</v>
      </c>
      <c r="N177" s="357">
        <v>0</v>
      </c>
      <c r="O177" s="357">
        <v>4.0961487029977976E-2</v>
      </c>
      <c r="P177" s="536">
        <v>18.846367269848702</v>
      </c>
      <c r="Q177" s="550" t="s">
        <v>618</v>
      </c>
    </row>
    <row r="178" spans="1:17" hidden="1">
      <c r="A178" s="514">
        <v>46071</v>
      </c>
      <c r="B178" s="526" t="s">
        <v>1020</v>
      </c>
      <c r="C178" s="526" t="s">
        <v>1020</v>
      </c>
      <c r="D178" s="357" t="s">
        <v>941</v>
      </c>
      <c r="E178" s="358">
        <v>46101</v>
      </c>
      <c r="F178" s="357" t="s">
        <v>591</v>
      </c>
      <c r="G178" s="357" t="s">
        <v>137</v>
      </c>
      <c r="H178" s="357" t="s">
        <v>1247</v>
      </c>
      <c r="I178" s="357" t="s">
        <v>592</v>
      </c>
      <c r="J178" s="537">
        <v>0.04</v>
      </c>
      <c r="K178" s="357">
        <v>12.190000000000001</v>
      </c>
      <c r="L178" s="538">
        <v>0</v>
      </c>
      <c r="M178" s="539">
        <v>0</v>
      </c>
      <c r="N178" s="357">
        <v>0</v>
      </c>
      <c r="O178" s="357">
        <v>1.0451764885559456E-3</v>
      </c>
      <c r="P178" s="536">
        <v>24.240350688609798</v>
      </c>
      <c r="Q178" s="550" t="s">
        <v>618</v>
      </c>
    </row>
    <row r="179" spans="1:17" hidden="1">
      <c r="A179" s="514">
        <v>46071</v>
      </c>
      <c r="B179" s="526" t="s">
        <v>1021</v>
      </c>
      <c r="C179" s="526" t="s">
        <v>1021</v>
      </c>
      <c r="D179" s="357" t="s">
        <v>941</v>
      </c>
      <c r="E179" s="358">
        <v>46101</v>
      </c>
      <c r="F179" s="357" t="s">
        <v>591</v>
      </c>
      <c r="G179" s="357" t="s">
        <v>137</v>
      </c>
      <c r="H179" s="357" t="s">
        <v>1220</v>
      </c>
      <c r="I179" s="357" t="s">
        <v>592</v>
      </c>
      <c r="J179" s="537">
        <v>0.16</v>
      </c>
      <c r="K179" s="357">
        <v>13.07</v>
      </c>
      <c r="L179" s="538">
        <v>0</v>
      </c>
      <c r="M179" s="539">
        <v>0</v>
      </c>
      <c r="N179" s="357">
        <v>0</v>
      </c>
      <c r="O179" s="357">
        <v>1.0374373808702292E-2</v>
      </c>
      <c r="P179" s="536">
        <v>21.8686831274029</v>
      </c>
      <c r="Q179" s="550" t="s">
        <v>618</v>
      </c>
    </row>
    <row r="180" spans="1:17" hidden="1">
      <c r="A180" s="514">
        <v>46071</v>
      </c>
      <c r="B180" s="527" t="s">
        <v>1036</v>
      </c>
      <c r="C180" s="527" t="s">
        <v>1036</v>
      </c>
      <c r="D180" s="357" t="s">
        <v>1037</v>
      </c>
      <c r="E180" s="358">
        <v>46192</v>
      </c>
      <c r="F180" s="357" t="s">
        <v>591</v>
      </c>
      <c r="G180" s="357" t="s">
        <v>137</v>
      </c>
      <c r="H180" s="357" t="s">
        <v>1248</v>
      </c>
      <c r="I180" s="357" t="s">
        <v>592</v>
      </c>
      <c r="J180" s="537">
        <v>0.27</v>
      </c>
      <c r="K180" s="357">
        <v>14.64</v>
      </c>
      <c r="L180" s="538">
        <v>0</v>
      </c>
      <c r="M180" s="539">
        <v>0</v>
      </c>
      <c r="N180" s="357">
        <v>0</v>
      </c>
      <c r="O180" s="357">
        <v>1.5616714897706239E-2</v>
      </c>
      <c r="P180" s="536">
        <v>26.499016466183399</v>
      </c>
      <c r="Q180" s="550" t="s">
        <v>618</v>
      </c>
    </row>
    <row r="181" spans="1:17" hidden="1">
      <c r="A181" s="514">
        <v>46071</v>
      </c>
      <c r="B181" s="527" t="s">
        <v>1038</v>
      </c>
      <c r="C181" s="527" t="s">
        <v>1038</v>
      </c>
      <c r="D181" s="357" t="s">
        <v>1037</v>
      </c>
      <c r="E181" s="358">
        <v>46192</v>
      </c>
      <c r="F181" s="357" t="s">
        <v>591</v>
      </c>
      <c r="G181" s="357" t="s">
        <v>137</v>
      </c>
      <c r="H181" s="357" t="s">
        <v>1249</v>
      </c>
      <c r="I181" s="357" t="s">
        <v>592</v>
      </c>
      <c r="J181" s="537">
        <v>0.85</v>
      </c>
      <c r="K181" s="357">
        <v>16.059999999999999</v>
      </c>
      <c r="L181" s="538">
        <v>0</v>
      </c>
      <c r="M181" s="539">
        <v>0</v>
      </c>
      <c r="N181" s="357">
        <v>0</v>
      </c>
      <c r="O181" s="357">
        <v>6.9025350982778358E-2</v>
      </c>
      <c r="P181" s="536">
        <v>24.3923449370591</v>
      </c>
      <c r="Q181" s="550" t="s">
        <v>618</v>
      </c>
    </row>
    <row r="182" spans="1:17" hidden="1">
      <c r="A182" s="487" t="s">
        <v>1087</v>
      </c>
      <c r="B182" s="470" t="s">
        <v>1019</v>
      </c>
      <c r="C182" s="470" t="s">
        <v>1019</v>
      </c>
      <c r="D182" s="472" t="s">
        <v>941</v>
      </c>
      <c r="E182" s="472" t="s">
        <v>1085</v>
      </c>
      <c r="F182" s="472" t="s">
        <v>596</v>
      </c>
      <c r="G182" s="472" t="s">
        <v>137</v>
      </c>
      <c r="H182" s="472">
        <v>14.48</v>
      </c>
      <c r="I182" s="472" t="s">
        <v>592</v>
      </c>
      <c r="J182" s="475">
        <v>0.35</v>
      </c>
      <c r="K182" s="472">
        <v>0</v>
      </c>
      <c r="L182" s="476">
        <v>0</v>
      </c>
      <c r="M182" s="477">
        <v>0</v>
      </c>
      <c r="N182" s="472">
        <v>0</v>
      </c>
      <c r="O182" s="472">
        <v>3.3325487000000001E-2</v>
      </c>
      <c r="P182" s="474">
        <v>18.275092239999999</v>
      </c>
      <c r="Q182" s="473" t="s">
        <v>618</v>
      </c>
    </row>
    <row r="183" spans="1:17" hidden="1">
      <c r="A183" s="487" t="s">
        <v>1087</v>
      </c>
      <c r="B183" s="470" t="s">
        <v>1020</v>
      </c>
      <c r="C183" s="470" t="s">
        <v>1020</v>
      </c>
      <c r="D183" s="472" t="s">
        <v>941</v>
      </c>
      <c r="E183" s="472" t="s">
        <v>1085</v>
      </c>
      <c r="F183" s="472" t="s">
        <v>591</v>
      </c>
      <c r="G183" s="472" t="s">
        <v>137</v>
      </c>
      <c r="H183" s="472">
        <v>12.23</v>
      </c>
      <c r="I183" s="472" t="s">
        <v>592</v>
      </c>
      <c r="J183" s="475">
        <v>7.0000000000000007E-2</v>
      </c>
      <c r="K183" s="472">
        <v>12.16</v>
      </c>
      <c r="L183" s="476">
        <v>0</v>
      </c>
      <c r="M183" s="477">
        <v>0</v>
      </c>
      <c r="N183" s="472">
        <v>0</v>
      </c>
      <c r="O183" s="472">
        <v>1.3435470000000001E-3</v>
      </c>
      <c r="P183" s="474">
        <v>23.604056709999998</v>
      </c>
      <c r="Q183" s="473" t="s">
        <v>618</v>
      </c>
    </row>
    <row r="184" spans="1:17" hidden="1">
      <c r="A184" s="487" t="s">
        <v>1087</v>
      </c>
      <c r="B184" s="470" t="s">
        <v>1021</v>
      </c>
      <c r="C184" s="470" t="s">
        <v>1021</v>
      </c>
      <c r="D184" s="472" t="s">
        <v>941</v>
      </c>
      <c r="E184" s="472" t="s">
        <v>1085</v>
      </c>
      <c r="F184" s="472" t="s">
        <v>591</v>
      </c>
      <c r="G184" s="472" t="s">
        <v>137</v>
      </c>
      <c r="H184" s="472">
        <v>13.23</v>
      </c>
      <c r="I184" s="472" t="s">
        <v>592</v>
      </c>
      <c r="J184" s="475">
        <v>0.22</v>
      </c>
      <c r="K184" s="472">
        <v>13.01</v>
      </c>
      <c r="L184" s="476">
        <v>0</v>
      </c>
      <c r="M184" s="477">
        <v>0</v>
      </c>
      <c r="N184" s="472">
        <v>0</v>
      </c>
      <c r="O184" s="472">
        <v>1.2687769E-2</v>
      </c>
      <c r="P184" s="474">
        <v>21.23882012</v>
      </c>
      <c r="Q184" s="473" t="s">
        <v>618</v>
      </c>
    </row>
    <row r="185" spans="1:17" hidden="1">
      <c r="A185" s="487" t="s">
        <v>1087</v>
      </c>
      <c r="B185" s="471" t="s">
        <v>1036</v>
      </c>
      <c r="C185" s="471" t="s">
        <v>1036</v>
      </c>
      <c r="D185" s="472" t="s">
        <v>1037</v>
      </c>
      <c r="E185" s="472" t="s">
        <v>1091</v>
      </c>
      <c r="F185" s="472" t="s">
        <v>591</v>
      </c>
      <c r="G185" s="472" t="s">
        <v>137</v>
      </c>
      <c r="H185" s="472">
        <v>14.91</v>
      </c>
      <c r="I185" s="472" t="s">
        <v>592</v>
      </c>
      <c r="J185" s="475">
        <v>0.27</v>
      </c>
      <c r="K185" s="472">
        <v>14.64</v>
      </c>
      <c r="L185" s="476">
        <v>0</v>
      </c>
      <c r="M185" s="477">
        <v>0</v>
      </c>
      <c r="N185" s="472">
        <v>0</v>
      </c>
      <c r="O185" s="472">
        <v>1.7934130999999999E-2</v>
      </c>
      <c r="P185" s="474">
        <v>26.07832617</v>
      </c>
      <c r="Q185" s="473" t="s">
        <v>618</v>
      </c>
    </row>
    <row r="186" spans="1:17" hidden="1">
      <c r="A186" s="487" t="s">
        <v>1087</v>
      </c>
      <c r="B186" s="471" t="s">
        <v>1038</v>
      </c>
      <c r="C186" s="471" t="s">
        <v>1038</v>
      </c>
      <c r="D186" s="472" t="s">
        <v>1037</v>
      </c>
      <c r="E186" s="472" t="s">
        <v>1091</v>
      </c>
      <c r="F186" s="472" t="s">
        <v>591</v>
      </c>
      <c r="G186" s="472" t="s">
        <v>137</v>
      </c>
      <c r="H186" s="472">
        <v>16.91</v>
      </c>
      <c r="I186" s="472" t="s">
        <v>592</v>
      </c>
      <c r="J186" s="475">
        <v>0.85</v>
      </c>
      <c r="K186" s="472">
        <v>16.059999999999999</v>
      </c>
      <c r="L186" s="476">
        <v>0</v>
      </c>
      <c r="M186" s="477">
        <v>0</v>
      </c>
      <c r="N186" s="472">
        <v>0</v>
      </c>
      <c r="O186" s="472">
        <v>7.7908160000000004E-2</v>
      </c>
      <c r="P186" s="474">
        <v>23.966848899999999</v>
      </c>
      <c r="Q186" s="473" t="s">
        <v>618</v>
      </c>
    </row>
    <row r="187" spans="1:17" hidden="1">
      <c r="A187" s="487" t="s">
        <v>1087</v>
      </c>
      <c r="B187" s="470" t="s">
        <v>1056</v>
      </c>
      <c r="C187" s="470" t="s">
        <v>1056</v>
      </c>
      <c r="D187" s="472" t="s">
        <v>680</v>
      </c>
      <c r="E187" s="472" t="s">
        <v>1092</v>
      </c>
      <c r="F187" s="472" t="s">
        <v>591</v>
      </c>
      <c r="G187" s="472" t="s">
        <v>137</v>
      </c>
      <c r="H187" s="472">
        <v>176000</v>
      </c>
      <c r="I187" s="472" t="s">
        <v>592</v>
      </c>
      <c r="J187" s="475">
        <v>1120</v>
      </c>
      <c r="K187" s="472">
        <v>174880</v>
      </c>
      <c r="L187" s="476">
        <v>0</v>
      </c>
      <c r="M187" s="477">
        <v>0</v>
      </c>
      <c r="N187" s="472">
        <v>0</v>
      </c>
      <c r="O187" s="472">
        <v>196.54854760000001</v>
      </c>
      <c r="P187" s="474">
        <v>23.662707860000001</v>
      </c>
      <c r="Q187" s="473" t="s">
        <v>618</v>
      </c>
    </row>
    <row r="188" spans="1:17" hidden="1">
      <c r="A188" s="487" t="s">
        <v>1087</v>
      </c>
      <c r="B188" s="470" t="s">
        <v>1057</v>
      </c>
      <c r="C188" s="470" t="s">
        <v>1057</v>
      </c>
      <c r="D188" s="472" t="s">
        <v>680</v>
      </c>
      <c r="E188" s="472" t="s">
        <v>1092</v>
      </c>
      <c r="F188" s="472" t="s">
        <v>591</v>
      </c>
      <c r="G188" s="472" t="s">
        <v>137</v>
      </c>
      <c r="H188" s="472">
        <v>185000</v>
      </c>
      <c r="I188" s="472" t="s">
        <v>592</v>
      </c>
      <c r="J188" s="475">
        <v>3325</v>
      </c>
      <c r="K188" s="472">
        <v>181675</v>
      </c>
      <c r="L188" s="476">
        <v>0</v>
      </c>
      <c r="M188" s="477">
        <v>0</v>
      </c>
      <c r="N188" s="472">
        <v>0</v>
      </c>
      <c r="O188" s="472">
        <v>587.99147270000003</v>
      </c>
      <c r="P188" s="474">
        <v>21.485996669999999</v>
      </c>
      <c r="Q188" s="473" t="s">
        <v>618</v>
      </c>
    </row>
    <row r="189" spans="1:17" hidden="1">
      <c r="A189" s="487" t="s">
        <v>1087</v>
      </c>
      <c r="B189" s="470" t="s">
        <v>1075</v>
      </c>
      <c r="C189" s="471" t="s">
        <v>1075</v>
      </c>
      <c r="D189" s="472" t="s">
        <v>965</v>
      </c>
      <c r="E189" s="472" t="s">
        <v>1086</v>
      </c>
      <c r="F189" s="472" t="s">
        <v>591</v>
      </c>
      <c r="G189" s="472" t="s">
        <v>137</v>
      </c>
      <c r="H189" s="472">
        <v>16.420000000000002</v>
      </c>
      <c r="I189" s="472" t="s">
        <v>592</v>
      </c>
      <c r="J189" s="475">
        <v>7.0000000000000007E-2</v>
      </c>
      <c r="K189" s="472">
        <v>16.350000000000001</v>
      </c>
      <c r="L189" s="476">
        <v>0</v>
      </c>
      <c r="M189" s="477">
        <v>0</v>
      </c>
      <c r="N189" s="472">
        <v>0</v>
      </c>
      <c r="O189" s="472">
        <v>1.2757694999999999E-2</v>
      </c>
      <c r="P189" s="474">
        <v>52.570594149999998</v>
      </c>
      <c r="Q189" s="473" t="s">
        <v>618</v>
      </c>
    </row>
    <row r="190" spans="1:17" hidden="1">
      <c r="A190" s="487" t="s">
        <v>1087</v>
      </c>
      <c r="B190" s="470" t="s">
        <v>1076</v>
      </c>
      <c r="C190" s="471" t="s">
        <v>1076</v>
      </c>
      <c r="D190" s="472" t="s">
        <v>965</v>
      </c>
      <c r="E190" s="472" t="s">
        <v>1086</v>
      </c>
      <c r="F190" s="472" t="s">
        <v>591</v>
      </c>
      <c r="G190" s="472" t="s">
        <v>137</v>
      </c>
      <c r="H190" s="472">
        <v>17.170000000000002</v>
      </c>
      <c r="I190" s="472" t="s">
        <v>592</v>
      </c>
      <c r="J190" s="475">
        <v>0.19</v>
      </c>
      <c r="K190" s="472">
        <v>16.98</v>
      </c>
      <c r="L190" s="476">
        <v>0</v>
      </c>
      <c r="M190" s="477">
        <v>0</v>
      </c>
      <c r="N190" s="472">
        <v>0</v>
      </c>
      <c r="O190" s="472">
        <v>3.7814385999999998E-2</v>
      </c>
      <c r="P190" s="474">
        <v>44.19190356</v>
      </c>
      <c r="Q190" s="473" t="s">
        <v>618</v>
      </c>
    </row>
    <row r="191" spans="1:17" hidden="1">
      <c r="A191" s="487" t="s">
        <v>1087</v>
      </c>
      <c r="B191" s="470" t="s">
        <v>1077</v>
      </c>
      <c r="C191" s="471" t="s">
        <v>1077</v>
      </c>
      <c r="D191" s="472" t="s">
        <v>1078</v>
      </c>
      <c r="E191" s="472" t="s">
        <v>1086</v>
      </c>
      <c r="F191" s="472" t="s">
        <v>591</v>
      </c>
      <c r="G191" s="472" t="s">
        <v>137</v>
      </c>
      <c r="H191" s="472">
        <v>23.49</v>
      </c>
      <c r="I191" s="472" t="s">
        <v>592</v>
      </c>
      <c r="J191" s="475">
        <v>0.02</v>
      </c>
      <c r="K191" s="472">
        <v>23.47</v>
      </c>
      <c r="L191" s="476">
        <v>0</v>
      </c>
      <c r="M191" s="477">
        <v>0</v>
      </c>
      <c r="N191" s="472">
        <v>0</v>
      </c>
      <c r="O191" s="472">
        <v>5.9441329999999999E-3</v>
      </c>
      <c r="P191" s="474">
        <v>47.172738350000003</v>
      </c>
      <c r="Q191" s="473" t="s">
        <v>618</v>
      </c>
    </row>
    <row r="192" spans="1:17" hidden="1">
      <c r="A192" s="487" t="s">
        <v>1087</v>
      </c>
      <c r="B192" s="470" t="s">
        <v>1079</v>
      </c>
      <c r="C192" s="471" t="s">
        <v>1079</v>
      </c>
      <c r="D192" s="472" t="s">
        <v>1078</v>
      </c>
      <c r="E192" s="472" t="s">
        <v>1086</v>
      </c>
      <c r="F192" s="472" t="s">
        <v>591</v>
      </c>
      <c r="G192" s="472" t="s">
        <v>137</v>
      </c>
      <c r="H192" s="472">
        <v>24.86</v>
      </c>
      <c r="I192" s="472" t="s">
        <v>592</v>
      </c>
      <c r="J192" s="475">
        <v>0.18</v>
      </c>
      <c r="K192" s="472">
        <v>24.68</v>
      </c>
      <c r="L192" s="476">
        <v>0</v>
      </c>
      <c r="M192" s="477">
        <v>0</v>
      </c>
      <c r="N192" s="472">
        <v>0</v>
      </c>
      <c r="O192" s="472">
        <v>3.4784056000000001E-2</v>
      </c>
      <c r="P192" s="474">
        <v>38.237727900000003</v>
      </c>
      <c r="Q192" s="473" t="s">
        <v>618</v>
      </c>
    </row>
  </sheetData>
  <autoFilter ref="A1:X192" xr:uid="{C50A6914-26DE-474B-89BB-6512C7DC2FB2}">
    <filterColumn colId="2">
      <filters>
        <filter val="KOSPI2 12/10/26 C1000 Equity"/>
      </filters>
    </filterColumn>
  </autoFilter>
  <conditionalFormatting sqref="T2:T3">
    <cfRule type="cellIs" dxfId="1" priority="41" operator="equal">
      <formula>0</formula>
    </cfRule>
  </conditionalFormatting>
  <conditionalFormatting sqref="W2:W3">
    <cfRule type="cellIs" dxfId="0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2026-02-19T19:28:15Z</dcterms:modified>
  <cp:category/>
  <cp:contentStatus/>
</cp:coreProperties>
</file>