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341757BF-B37A-4793-B904-70BF41B42183}" xr6:coauthVersionLast="47" xr6:coauthVersionMax="47" xr10:uidLastSave="{00000000-0000-0000-0000-000000000000}"/>
  <bookViews>
    <workbookView xWindow="28680" yWindow="-120" windowWidth="29040" windowHeight="15720" tabRatio="881" firstSheet="1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Sheet3" sheetId="531" r:id="rId11"/>
    <sheet name="CDS" sheetId="54" r:id="rId12"/>
    <sheet name="Check" sheetId="385" r:id="rId13"/>
    <sheet name="Input_APM" sheetId="384" r:id="rId14"/>
    <sheet name="Input_APM (Zenith)" sheetId="414" r:id="rId15"/>
    <sheet name="Check (Zenith)" sheetId="415" state="hidden" r:id="rId16"/>
    <sheet name="Auxiliar" sheetId="383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2" hidden="1">Check!$A$4:$V$190</definedName>
    <definedName name="_xlnm._FilterDatabase" localSheetId="15" hidden="1">'Check (Zenith)'!$B$4:$E$151</definedName>
    <definedName name="_xlnm._FilterDatabase" localSheetId="13" hidden="1">Input_APM!$K$1:$O$397</definedName>
    <definedName name="_xlnm._FilterDatabase" localSheetId="7" hidden="1">'Master P&amp;L'!$A$11:$AD$40</definedName>
    <definedName name="_xlnm._FilterDatabase" localSheetId="8" hidden="1">Options!$A$3:$BD$24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P&amp;L'!$B$2:$AC$40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2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4" i="1" l="1"/>
  <c r="AG23" i="1"/>
  <c r="AG30" i="1"/>
  <c r="AG26" i="1"/>
  <c r="AG18" i="1"/>
  <c r="AG38" i="1"/>
  <c r="AG21" i="1"/>
  <c r="AG24" i="1"/>
  <c r="K34" i="1" a="1"/>
  <c r="K34" i="1"/>
  <c r="K31" i="1" a="1"/>
  <c r="K31" i="1"/>
  <c r="K21" i="1" a="1"/>
  <c r="K21" i="1"/>
  <c r="E5" i="1" a="1"/>
  <c r="E5" i="1"/>
  <c r="AC25" i="1" a="1"/>
  <c r="AC25" i="1"/>
  <c r="AI25" i="1"/>
  <c r="AF27" i="1"/>
  <c r="K29" i="1" a="1"/>
  <c r="K29" i="1"/>
  <c r="AB21" i="1"/>
  <c r="AF12" i="1"/>
  <c r="AI27" i="1"/>
  <c r="AC12" i="1"/>
  <c r="AC30" i="1" a="1"/>
  <c r="AC30" i="1"/>
  <c r="AI14" i="1"/>
  <c r="K25" i="1" a="1"/>
  <c r="K25" i="1"/>
  <c r="AB27" i="1"/>
  <c r="AC37" i="1" a="1"/>
  <c r="AC37" i="1"/>
  <c r="K30" i="1" a="1"/>
  <c r="K30" i="1"/>
  <c r="AC21" i="1" a="1"/>
  <c r="AC21" i="1"/>
  <c r="AF29" i="1"/>
  <c r="AF14" i="1"/>
  <c r="AI12" i="1"/>
  <c r="AF21" i="1"/>
  <c r="AC27" i="1" a="1"/>
  <c r="AC27" i="1"/>
  <c r="AF34" i="1"/>
  <c r="AI37" i="1"/>
  <c r="AB29" i="1"/>
  <c r="K12" i="1" a="1"/>
  <c r="K12" i="1"/>
  <c r="AI31" i="1"/>
  <c r="K37" i="1" a="1"/>
  <c r="K37" i="1"/>
  <c r="AI34" i="1"/>
  <c r="AC14" i="1"/>
  <c r="AB34" i="1"/>
  <c r="AF30" i="1"/>
  <c r="AC31" i="1" a="1"/>
  <c r="AC31" i="1"/>
  <c r="AC29" i="1" a="1"/>
  <c r="AC29" i="1"/>
  <c r="AB14" i="1"/>
  <c r="AB37" i="1"/>
  <c r="AF37" i="1"/>
  <c r="AB31" i="1"/>
  <c r="AF31" i="1"/>
  <c r="AI30" i="1"/>
  <c r="K14" i="1" a="1"/>
  <c r="K14" i="1"/>
  <c r="AC34" i="1" a="1"/>
  <c r="AC34" i="1"/>
  <c r="AI29" i="1"/>
  <c r="AB30" i="1"/>
  <c r="AB12" i="1"/>
  <c r="AI21" i="1"/>
  <c r="AB25" i="1"/>
  <c r="AF25" i="1"/>
  <c r="K27" i="1" a="1"/>
  <c r="K27" i="1"/>
  <c r="AG25" i="1"/>
  <c r="AG20" i="1"/>
  <c r="AG13" i="1"/>
  <c r="AG34" i="1"/>
  <c r="AG35" i="1"/>
  <c r="AG37" i="1"/>
  <c r="AG28" i="1"/>
  <c r="AG19" i="1"/>
  <c r="AG40" i="1"/>
  <c r="AG29" i="1"/>
  <c r="AC28" i="1" a="1"/>
  <c r="AC28" i="1"/>
  <c r="AB39" i="1"/>
  <c r="K28" i="1" a="1"/>
  <c r="K28" i="1"/>
  <c r="AB19" i="1"/>
  <c r="K39" i="1" a="1"/>
  <c r="K39" i="1"/>
  <c r="AF28" i="1"/>
  <c r="AF39" i="1"/>
  <c r="AB13" i="1"/>
  <c r="AC19" i="1" a="1"/>
  <c r="AC19" i="1"/>
  <c r="AI19" i="1"/>
  <c r="AI39" i="1"/>
  <c r="AB28" i="1"/>
  <c r="AI13" i="1"/>
  <c r="AC39" i="1"/>
  <c r="AF13" i="1"/>
  <c r="AC13" i="1"/>
  <c r="K19" i="1" a="1"/>
  <c r="K19" i="1"/>
  <c r="AF19" i="1"/>
  <c r="K13" i="1" a="1"/>
  <c r="K13" i="1"/>
  <c r="AI28" i="1"/>
  <c r="K3" i="1" a="1"/>
  <c r="K3" i="1"/>
  <c r="K9" i="1" a="1"/>
  <c r="K9" i="1"/>
  <c r="K1" i="1"/>
  <c r="E8" i="1" a="1"/>
  <c r="E8" i="1"/>
  <c r="K8" i="1" a="1"/>
  <c r="K8" i="1"/>
  <c r="K4" i="1" a="1"/>
  <c r="K4" i="1"/>
  <c r="E4" i="1" a="1"/>
  <c r="E4" i="1"/>
  <c r="K7" i="1"/>
  <c r="X3" i="1"/>
  <c r="AC17" i="1"/>
  <c r="K6" i="1" a="1"/>
  <c r="K6" i="1"/>
  <c r="K17" i="1" a="1"/>
  <c r="K17" i="1"/>
  <c r="AI40" i="1"/>
  <c r="AC38" i="1"/>
  <c r="AI24" i="1"/>
  <c r="AC24" i="1" a="1"/>
  <c r="AC24" i="1"/>
  <c r="K38" i="1" a="1"/>
  <c r="K38" i="1"/>
  <c r="AI17" i="1"/>
  <c r="AC40" i="1"/>
  <c r="K24" i="1" a="1"/>
  <c r="K24" i="1"/>
  <c r="K2" i="1"/>
  <c r="AC16" i="1"/>
  <c r="K40" i="1" a="1"/>
  <c r="K40" i="1"/>
  <c r="AI38" i="1"/>
  <c r="AI16" i="1"/>
  <c r="K5" i="1" a="1"/>
  <c r="K5" i="1"/>
  <c r="K16" i="1" a="1"/>
  <c r="K16" i="1"/>
  <c r="K22" i="1" a="1"/>
  <c r="K22" i="1"/>
  <c r="E9" i="1"/>
  <c r="E6" i="1" a="1"/>
  <c r="E6" i="1"/>
  <c r="K35" i="1" a="1"/>
  <c r="K35" i="1"/>
  <c r="E2" i="1" a="1"/>
  <c r="E2" i="1"/>
  <c r="AI23" i="1"/>
  <c r="AI20" i="1"/>
  <c r="K23" i="1" a="1"/>
  <c r="K23" i="1"/>
  <c r="E7" i="1" a="1"/>
  <c r="E7" i="1"/>
  <c r="AI33" i="1"/>
  <c r="AI35" i="1"/>
  <c r="K33" i="1" a="1"/>
  <c r="K33" i="1"/>
  <c r="E3" i="1"/>
  <c r="AI22" i="1"/>
  <c r="AG22" i="1"/>
  <c r="AG16" i="1"/>
  <c r="AG31" i="1"/>
  <c r="AG27" i="1"/>
  <c r="AG39" i="1"/>
  <c r="AG33" i="1"/>
  <c r="AG36" i="1"/>
  <c r="AG32" i="1"/>
  <c r="AG17" i="1"/>
  <c r="AG12" i="1"/>
  <c r="K32" i="1" a="1"/>
  <c r="K32" i="1"/>
  <c r="E1" i="1"/>
  <c r="AI32" i="1"/>
  <c r="AC32" i="1" a="1"/>
  <c r="AC32" i="1"/>
  <c r="AC36" i="1" a="1"/>
  <c r="AC36" i="1"/>
  <c r="AI36" i="1"/>
  <c r="AB32" i="1"/>
  <c r="AB36" i="1"/>
  <c r="K36" i="1" a="1"/>
  <c r="K36" i="1"/>
  <c r="L31" i="1" a="1"/>
  <c r="L31" i="1"/>
  <c r="L26" i="1" a="1"/>
  <c r="L26" i="1"/>
  <c r="L25" i="1" a="1"/>
  <c r="L25" i="1"/>
  <c r="AC18" i="1"/>
  <c r="AI18" i="1"/>
  <c r="AF18" i="1"/>
  <c r="K18" i="1" a="1"/>
  <c r="K18" i="1"/>
  <c r="K10" i="1"/>
  <c r="AI26" i="1"/>
  <c r="AC26" i="1" a="1"/>
  <c r="AC26" i="1"/>
  <c r="AB26" i="1"/>
  <c r="AF26" i="1"/>
  <c r="E10" i="1"/>
  <c r="AF10" i="1" a="1"/>
  <c r="AF10" i="1"/>
  <c r="AF15" i="1"/>
  <c r="AB15" i="1"/>
  <c r="AI15" i="1"/>
  <c r="AG15" i="1"/>
  <c r="AC15" i="1"/>
  <c r="AD2" i="1" a="1"/>
  <c r="AD2" i="1"/>
  <c r="AC2" i="1" a="1"/>
  <c r="AC2" i="1"/>
  <c r="AB2" i="1" a="1"/>
  <c r="AB2" i="1"/>
  <c r="I30" i="1" a="1"/>
  <c r="I30" i="1"/>
  <c r="I22" i="1" a="1"/>
  <c r="I22" i="1"/>
  <c r="I16" i="1" a="1"/>
  <c r="I16" i="1"/>
  <c r="I24" i="1" a="1"/>
  <c r="I24" i="1"/>
  <c r="I35" i="1" a="1"/>
  <c r="I35" i="1"/>
  <c r="I10" i="1" a="1"/>
  <c r="I10" i="1"/>
  <c r="C3" i="1" a="1"/>
  <c r="C3" i="1"/>
  <c r="I6" i="1" a="1"/>
  <c r="I6" i="1"/>
  <c r="C10" i="1" a="1"/>
  <c r="C10" i="1"/>
  <c r="I2" i="1" a="1"/>
  <c r="I2" i="1"/>
  <c r="I39" i="1" a="1"/>
  <c r="I39" i="1"/>
  <c r="I12" i="1" a="1"/>
  <c r="I12" i="1"/>
  <c r="C1" i="1" a="1"/>
  <c r="C1" i="1"/>
  <c r="I4" i="1" a="1"/>
  <c r="I4" i="1"/>
  <c r="I5" i="1" a="1"/>
  <c r="I5" i="1"/>
  <c r="I8" i="1" a="1"/>
  <c r="I8" i="1"/>
  <c r="I33" i="1" a="1"/>
  <c r="I33" i="1"/>
  <c r="I13" i="1" a="1"/>
  <c r="I13" i="1"/>
  <c r="I20" i="1" a="1"/>
  <c r="I20" i="1"/>
  <c r="I36" i="1" a="1"/>
  <c r="I36" i="1"/>
  <c r="I31" i="1" a="1"/>
  <c r="I31" i="1"/>
  <c r="I19" i="1" a="1"/>
  <c r="I19" i="1"/>
  <c r="C6" i="1" a="1"/>
  <c r="C6" i="1"/>
  <c r="I28" i="1" a="1"/>
  <c r="I28" i="1"/>
  <c r="C2" i="1" a="1"/>
  <c r="C2" i="1"/>
  <c r="I32" i="1" a="1"/>
  <c r="I32" i="1"/>
  <c r="C7" i="1" a="1"/>
  <c r="C7" i="1"/>
  <c r="C4" i="1" a="1"/>
  <c r="C4" i="1"/>
  <c r="I40" i="1" a="1"/>
  <c r="I40" i="1"/>
  <c r="I27" i="1" a="1"/>
  <c r="I27" i="1"/>
  <c r="I1" i="1" a="1"/>
  <c r="I1" i="1"/>
  <c r="I38" i="1" a="1"/>
  <c r="I38" i="1"/>
  <c r="I18" i="1" a="1"/>
  <c r="I18" i="1"/>
  <c r="I9" i="1" a="1"/>
  <c r="I9" i="1"/>
  <c r="I17" i="1" a="1"/>
  <c r="I17" i="1"/>
  <c r="I29" i="1" a="1"/>
  <c r="I29" i="1"/>
  <c r="I34" i="1" a="1"/>
  <c r="I34" i="1"/>
  <c r="C8" i="1" a="1"/>
  <c r="C8" i="1"/>
  <c r="I3" i="1" a="1"/>
  <c r="I3" i="1"/>
  <c r="I7" i="1" a="1"/>
  <c r="I7" i="1"/>
  <c r="C5" i="1" a="1"/>
  <c r="C5" i="1"/>
  <c r="AC3" i="1" a="1"/>
  <c r="AC3" i="1"/>
  <c r="C9" i="1" a="1"/>
  <c r="C9" i="1"/>
  <c r="I26" i="1" a="1"/>
  <c r="I26" i="1"/>
  <c r="I21" i="1" a="1"/>
  <c r="I21" i="1"/>
  <c r="I23" i="1" a="1"/>
  <c r="I23" i="1"/>
  <c r="I15" i="1" a="1"/>
  <c r="I15" i="1"/>
  <c r="I25" i="1" a="1"/>
  <c r="I25" i="1"/>
  <c r="L15" i="1" a="1"/>
  <c r="L15" i="1" l="1"/>
  <c r="I66" i="531"/>
  <c r="AB153" i="89" a="1"/>
  <c r="J15" i="1" l="1"/>
  <c r="N15" i="1"/>
  <c r="AB153" i="89"/>
  <c r="S153" i="89" a="1"/>
  <c r="S153" i="89" l="1"/>
  <c r="R153" i="89" a="1"/>
  <c r="E153" i="89" a="1"/>
  <c r="R153" i="89" l="1"/>
  <c r="E153" i="89"/>
  <c r="T153" i="89" a="1"/>
  <c r="T153" i="89" l="1"/>
  <c r="V153" i="89" a="1"/>
  <c r="V153" i="89" l="1"/>
  <c r="C153" i="89" a="1"/>
  <c r="C153" i="89" l="1"/>
  <c r="D153" i="89" a="1"/>
  <c r="D153" i="89" l="1"/>
  <c r="F153" i="89" a="1"/>
  <c r="F153" i="89" l="1"/>
  <c r="K153" i="89" a="1"/>
  <c r="K153" i="89" l="1"/>
  <c r="L153" i="89" a="1"/>
  <c r="L153" i="89" l="1"/>
  <c r="W153" i="89" a="1"/>
  <c r="W153" i="89" l="1"/>
  <c r="I61" i="531"/>
  <c r="I60" i="531"/>
  <c r="I59" i="531"/>
  <c r="I58" i="531"/>
  <c r="I153" i="89" l="1"/>
  <c r="AA153" i="89" a="1"/>
  <c r="AA153" i="89" l="1"/>
  <c r="AB40" i="89" a="1"/>
  <c r="AB40" i="89" l="1"/>
  <c r="AB39" i="89" a="1"/>
  <c r="AB39" i="89" l="1"/>
  <c r="AB34" i="89" a="1"/>
  <c r="AB34" i="89" l="1"/>
  <c r="AB33" i="89" a="1"/>
  <c r="AB33" i="89" l="1"/>
  <c r="AB237" i="89" a="1"/>
  <c r="AB237" i="89" l="1"/>
  <c r="AB197" i="89" a="1"/>
  <c r="AB197" i="89" l="1"/>
  <c r="AB196" i="89" a="1"/>
  <c r="AB196" i="89" l="1"/>
  <c r="AB195" i="89" a="1"/>
  <c r="AB195" i="89" l="1"/>
  <c r="AB20" i="89" a="1"/>
  <c r="AB20" i="89" l="1"/>
  <c r="AB19" i="89" a="1"/>
  <c r="AB19" i="89" l="1"/>
  <c r="AB8" i="89" a="1"/>
  <c r="AB8" i="89" l="1"/>
  <c r="AB7" i="89" a="1"/>
  <c r="AB7" i="89" l="1"/>
  <c r="AB14" i="89" a="1"/>
  <c r="AB14" i="89" l="1"/>
  <c r="AB13" i="89" a="1"/>
  <c r="AB13" i="89" l="1"/>
  <c r="AB225" i="89" a="1"/>
  <c r="AB225" i="89"/>
  <c r="AB224" i="89" a="1"/>
  <c r="AB224" i="89"/>
  <c r="AB223" i="89" a="1"/>
  <c r="AB223" i="89"/>
  <c r="AB222" i="89" a="1"/>
  <c r="AB222" i="89"/>
  <c r="AB27" i="89" a="1"/>
  <c r="AB27" i="89"/>
  <c r="AB26" i="89" a="1"/>
  <c r="AB26" i="89"/>
  <c r="AB233" i="89" a="1"/>
  <c r="AB233" i="89"/>
  <c r="AB188" i="89" a="1"/>
  <c r="AB188" i="89"/>
  <c r="AB187" i="89" a="1"/>
  <c r="AB187" i="89"/>
  <c r="AB186" i="89" a="1"/>
  <c r="AB186" i="89"/>
  <c r="AB180" i="89" a="1"/>
  <c r="AB180" i="89"/>
  <c r="AB171" i="89" a="1"/>
  <c r="AB171" i="89"/>
  <c r="AB170" i="89" a="1"/>
  <c r="AB170" i="89"/>
  <c r="AB169" i="89" a="1"/>
  <c r="AB169" i="89"/>
  <c r="AB63" i="89" a="1"/>
  <c r="AB63" i="89"/>
  <c r="AB62" i="89" a="1"/>
  <c r="AB62" i="89"/>
  <c r="AB138" i="89" a="1"/>
  <c r="AB138" i="89"/>
  <c r="AB137" i="89" a="1"/>
  <c r="AB137" i="89"/>
  <c r="AB136" i="89" a="1"/>
  <c r="AB136" i="89"/>
  <c r="AB96" i="89" a="1"/>
  <c r="AB96" i="89"/>
  <c r="AB95" i="89" a="1"/>
  <c r="AB95" i="89"/>
  <c r="AB102" i="89" a="1"/>
  <c r="AB102" i="89"/>
  <c r="AB101" i="89" a="1"/>
  <c r="AB101" i="89"/>
  <c r="AB50" i="89" a="1"/>
  <c r="AB50" i="89"/>
  <c r="AB49" i="89" a="1"/>
  <c r="AB49" i="89"/>
  <c r="R145" i="89" a="1"/>
  <c r="R145" i="89"/>
  <c r="R144" i="89" a="1"/>
  <c r="R144" i="89"/>
  <c r="R123" i="89" a="1"/>
  <c r="R123" i="89"/>
  <c r="R122" i="89" a="1"/>
  <c r="R122" i="89"/>
  <c r="R116" i="89" a="1"/>
  <c r="R116" i="89"/>
  <c r="R115" i="89" a="1"/>
  <c r="R115" i="89"/>
  <c r="AB234" i="89" a="1"/>
  <c r="AB234" i="89"/>
  <c r="AB145" i="89" a="1"/>
  <c r="AB145" i="89"/>
  <c r="AB144" i="89" a="1"/>
  <c r="AB144" i="89"/>
  <c r="AB236" i="89" a="1"/>
  <c r="AB236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AB116" i="89" a="1"/>
  <c r="AB116" i="89"/>
  <c r="AB115" i="89" a="1"/>
  <c r="AB115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235" i="89" a="1"/>
  <c r="AB235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129" i="89" a="1"/>
  <c r="AB129" i="89"/>
  <c r="AB56" i="89" a="1"/>
  <c r="AB56" i="89"/>
  <c r="AB55" i="89" a="1"/>
  <c r="AB55" i="89"/>
  <c r="AB90" i="89" a="1"/>
  <c r="AB90" i="89"/>
  <c r="AB89" i="89" a="1"/>
  <c r="AB89" i="89"/>
  <c r="R90" i="89" a="1"/>
  <c r="R90" i="89"/>
  <c r="R89" i="89" a="1"/>
  <c r="R89" i="89"/>
  <c r="AB160" i="89" a="1"/>
  <c r="AB160" i="89"/>
  <c r="AB82" i="89" a="1"/>
  <c r="AB82" i="89"/>
  <c r="AB81" i="89" a="1"/>
  <c r="AB81" i="89"/>
  <c r="AB76" i="89" a="1"/>
  <c r="AB76" i="89"/>
  <c r="AB75" i="89" a="1"/>
  <c r="AB75" i="89"/>
  <c r="AB69" i="89" a="1"/>
  <c r="AB69" i="89"/>
  <c r="AB68" i="89" a="1"/>
  <c r="AB68" i="89"/>
  <c r="S129" i="89" a="1"/>
  <c r="S129" i="89" l="1"/>
  <c r="R129" i="89" a="1"/>
  <c r="S145" i="89" a="1"/>
  <c r="R129" i="89" l="1"/>
  <c r="S145" i="89"/>
  <c r="S138" i="89" a="1"/>
  <c r="S138" i="89"/>
  <c r="S116" i="89" a="1"/>
  <c r="S116" i="89"/>
  <c r="S90" i="89" a="1"/>
  <c r="S90" i="89"/>
  <c r="S160" i="89" a="1"/>
  <c r="S160" i="89" l="1"/>
  <c r="R160" i="89" a="1"/>
  <c r="S109" i="89" a="1"/>
  <c r="R160" i="89" l="1"/>
  <c r="S109" i="89"/>
  <c r="R109" i="89" a="1"/>
  <c r="S108" i="89" a="1"/>
  <c r="R109" i="89" l="1"/>
  <c r="S108" i="89"/>
  <c r="R108" i="89" a="1"/>
  <c r="S123" i="89" a="1"/>
  <c r="R108" i="89" l="1"/>
  <c r="S123" i="89"/>
  <c r="S101" i="89" a="1"/>
  <c r="S101" i="89"/>
  <c r="T224" i="89" a="1"/>
  <c r="T224" i="89"/>
  <c r="V50" i="89" a="1"/>
  <c r="V50" i="89"/>
  <c r="T20" i="89" a="1"/>
  <c r="T20" i="89"/>
  <c r="V224" i="89" a="1"/>
  <c r="V224" i="89"/>
  <c r="V237" i="89" a="1"/>
  <c r="V237" i="89"/>
  <c r="O39" i="89" a="1"/>
  <c r="O39" i="89"/>
  <c r="Z39" i="89" a="1"/>
  <c r="V68" i="89" a="1"/>
  <c r="Z39" i="89" l="1"/>
  <c r="V68" i="89"/>
  <c r="T26" i="89" a="1"/>
  <c r="T26" i="89"/>
  <c r="T170" i="89" a="1"/>
  <c r="T170" i="89"/>
  <c r="V33" i="89" a="1"/>
  <c r="V33" i="89"/>
  <c r="T222" i="89" a="1"/>
  <c r="T222" i="89"/>
  <c r="O222" i="89" a="1"/>
  <c r="O222" i="89"/>
  <c r="T39" i="89" a="1"/>
  <c r="T39" i="89"/>
  <c r="C26" i="89" a="1"/>
  <c r="C26" i="89"/>
  <c r="C170" i="89" a="1"/>
  <c r="C170" i="89"/>
  <c r="C68" i="89" a="1"/>
  <c r="C68" i="89"/>
  <c r="V222" i="89" a="1"/>
  <c r="V222" i="89"/>
  <c r="V20" i="89" a="1"/>
  <c r="V20" i="89"/>
  <c r="V203" i="89" a="1"/>
  <c r="V203" i="89"/>
  <c r="C20" i="89" a="1"/>
  <c r="C20" i="89"/>
  <c r="C203" i="89" a="1"/>
  <c r="C203" i="89"/>
  <c r="O203" i="89" a="1"/>
  <c r="O203" i="89"/>
  <c r="T50" i="89" a="1"/>
  <c r="T50" i="89"/>
  <c r="O20" i="89" a="1"/>
  <c r="O20" i="89"/>
  <c r="T68" i="89" a="1"/>
  <c r="T68" i="89"/>
  <c r="T237" i="89" a="1"/>
  <c r="T237" i="89"/>
  <c r="V39" i="89" a="1"/>
  <c r="V39" i="89"/>
  <c r="C224" i="89" a="1"/>
  <c r="C224" i="89"/>
  <c r="O33" i="89" a="1"/>
  <c r="O33" i="89"/>
  <c r="Z33" i="89" a="1"/>
  <c r="O68" i="89" a="1"/>
  <c r="Z33" i="89" l="1"/>
  <c r="O68" i="89"/>
  <c r="T33" i="89" a="1"/>
  <c r="T33" i="89"/>
  <c r="C50" i="89" a="1"/>
  <c r="C50" i="89"/>
  <c r="Z222" i="89" a="1"/>
  <c r="Z222" i="89"/>
  <c r="C33" i="89" a="1"/>
  <c r="C33" i="89"/>
  <c r="C39" i="89" a="1"/>
  <c r="C39" i="89"/>
  <c r="V26" i="89" a="1"/>
  <c r="V26" i="89"/>
  <c r="V170" i="89" a="1"/>
  <c r="V170" i="89"/>
  <c r="O26" i="89" a="1"/>
  <c r="O26" i="89"/>
  <c r="Z26" i="89" a="1"/>
  <c r="O170" i="89" a="1"/>
  <c r="Z26" i="89" l="1"/>
  <c r="O170" i="89"/>
  <c r="Z170" i="89" a="1"/>
  <c r="C237" i="89" a="1"/>
  <c r="Z170" i="89" l="1"/>
  <c r="C237" i="89"/>
  <c r="C222" i="89" a="1"/>
  <c r="C222" i="89"/>
  <c r="O50" i="89" a="1"/>
  <c r="O50" i="89"/>
  <c r="Z50" i="89" a="1"/>
  <c r="Z20" i="89" a="1"/>
  <c r="Z50" i="89" l="1"/>
  <c r="Z20" i="89"/>
  <c r="T203" i="89" a="1"/>
  <c r="T203" i="89"/>
  <c r="O237" i="89" a="1"/>
  <c r="O237" i="89"/>
  <c r="Z237" i="89" a="1"/>
  <c r="Z237" i="89"/>
  <c r="Z203" i="89" a="1"/>
  <c r="Z203" i="89"/>
  <c r="O224" i="89" a="1"/>
  <c r="O224" i="89"/>
  <c r="Z224" i="89" a="1"/>
  <c r="Z68" i="89" a="1"/>
  <c r="Z224" i="89" l="1"/>
  <c r="Z68" i="89"/>
  <c r="AA68" i="89" a="1"/>
  <c r="AA68" i="89"/>
  <c r="E14" i="89" a="1"/>
  <c r="E14" i="89"/>
  <c r="D13" i="89" a="1"/>
  <c r="D13" i="89"/>
  <c r="E55" i="89" a="1"/>
  <c r="E55" i="89"/>
  <c r="D7" i="89"/>
  <c r="E50" i="89" a="1"/>
  <c r="E50" i="89"/>
  <c r="D20" i="89" a="1"/>
  <c r="D20" i="89"/>
  <c r="E203" i="89" a="1"/>
  <c r="E203" i="89"/>
  <c r="D75" i="89" a="1"/>
  <c r="D75" i="89"/>
  <c r="E7" i="89"/>
  <c r="D55" i="89" a="1"/>
  <c r="D55" i="89"/>
  <c r="D14" i="89" a="1"/>
  <c r="D14" i="89"/>
  <c r="E13" i="89" a="1"/>
  <c r="E13" i="89"/>
  <c r="E75" i="89" a="1"/>
  <c r="E75" i="89"/>
  <c r="E39" i="89" a="1"/>
  <c r="E39" i="89"/>
  <c r="D203" i="89" a="1"/>
  <c r="D203" i="89"/>
  <c r="D50" i="89" a="1"/>
  <c r="D50" i="89"/>
  <c r="E20" i="89" a="1"/>
  <c r="E20" i="89"/>
  <c r="D205" i="89" a="1"/>
  <c r="D205" i="89"/>
  <c r="E213" i="89" a="1"/>
  <c r="E213" i="89"/>
  <c r="E205" i="89" a="1"/>
  <c r="E205" i="89"/>
  <c r="D39" i="89" a="1"/>
  <c r="D39" i="89"/>
  <c r="V96" i="89" a="1"/>
  <c r="V96" i="89"/>
  <c r="D160" i="89" a="1"/>
  <c r="D160" i="89"/>
  <c r="E102" i="89" a="1"/>
  <c r="E102" i="89"/>
  <c r="T129" i="89" a="1"/>
  <c r="T129" i="89"/>
  <c r="C129" i="89" a="1"/>
  <c r="C129" i="89"/>
  <c r="V115" i="89" a="1"/>
  <c r="V115" i="89"/>
  <c r="E108" i="89" a="1"/>
  <c r="E108" i="89"/>
  <c r="C115" i="89" a="1"/>
  <c r="C115" i="89"/>
  <c r="E137" i="89" a="1"/>
  <c r="E137" i="89"/>
  <c r="V102" i="89" a="1"/>
  <c r="V102" i="89" l="1"/>
  <c r="C137" i="89" a="1"/>
  <c r="C137" i="89"/>
  <c r="E160" i="89" a="1"/>
  <c r="E160" i="89"/>
  <c r="D102" i="89" a="1"/>
  <c r="D102" i="89"/>
  <c r="T160" i="89" a="1"/>
  <c r="T160" i="89"/>
  <c r="D115" i="89" a="1"/>
  <c r="D115" i="89"/>
  <c r="D116" i="89" a="1"/>
  <c r="D116" i="89"/>
  <c r="E122" i="89" a="1"/>
  <c r="E122" i="89"/>
  <c r="E96" i="89" a="1"/>
  <c r="E96" i="89"/>
  <c r="V137" i="89" a="1"/>
  <c r="V137" i="89"/>
  <c r="E116" i="89" a="1"/>
  <c r="E116" i="89"/>
  <c r="C160" i="89" a="1"/>
  <c r="C160" i="89"/>
  <c r="T102" i="89" a="1"/>
  <c r="T102" i="89"/>
  <c r="E129" i="89" a="1"/>
  <c r="E129" i="89"/>
  <c r="T108" i="89" a="1"/>
  <c r="T108" i="89"/>
  <c r="T96" i="89" a="1"/>
  <c r="T96" i="89"/>
  <c r="C116" i="89" a="1"/>
  <c r="C116" i="89"/>
  <c r="D108" i="89" a="1"/>
  <c r="D108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C108" i="89" a="1"/>
  <c r="C108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D129" i="89" a="1"/>
  <c r="D129" i="89"/>
  <c r="Z160" i="89" a="1"/>
  <c r="Z160" i="89"/>
  <c r="D122" i="89" a="1"/>
  <c r="D122" i="89"/>
  <c r="T116" i="89" a="1"/>
  <c r="T116" i="89"/>
  <c r="D69" i="89" a="1"/>
  <c r="D69" i="89"/>
  <c r="D76" i="89" a="1"/>
  <c r="D76" i="89"/>
  <c r="E76" i="89" a="1"/>
  <c r="E76" i="89"/>
  <c r="V69" i="89" a="1"/>
  <c r="V69" i="89"/>
  <c r="T69" i="89" a="1"/>
  <c r="T69" i="89"/>
  <c r="T76" i="89" a="1"/>
  <c r="T76" i="89"/>
  <c r="C76" i="89" a="1"/>
  <c r="C76" i="89"/>
  <c r="V76" i="89" a="1"/>
  <c r="V76" i="89"/>
  <c r="O69" i="89" a="1"/>
  <c r="O69" i="89"/>
  <c r="O76" i="89" a="1"/>
  <c r="O76" i="89" l="1"/>
  <c r="Z76" i="89" a="1"/>
  <c r="E69" i="89" a="1"/>
  <c r="Z76" i="89" l="1"/>
  <c r="E69" i="89"/>
  <c r="C69" i="89" a="1"/>
  <c r="C69" i="89"/>
  <c r="D196" i="89" a="1"/>
  <c r="D196" i="89"/>
  <c r="E224" i="89" a="1"/>
  <c r="E224" i="89"/>
  <c r="E8" i="89" a="1"/>
  <c r="E8" i="89"/>
  <c r="E68" i="89"/>
  <c r="D33" i="89" a="1"/>
  <c r="D33" i="89"/>
  <c r="E34" i="89" a="1"/>
  <c r="E34" i="89"/>
  <c r="E196" i="89" a="1"/>
  <c r="E196" i="89"/>
  <c r="D34" i="89" a="1"/>
  <c r="D34" i="89"/>
  <c r="E204" i="89" a="1"/>
  <c r="E204" i="89"/>
  <c r="D204" i="89" a="1"/>
  <c r="D204" i="89"/>
  <c r="E26" i="89" a="1"/>
  <c r="E26" i="89"/>
  <c r="E170" i="89" a="1"/>
  <c r="E170" i="89"/>
  <c r="D224" i="89" a="1"/>
  <c r="D224" i="89"/>
  <c r="E225" i="89" a="1"/>
  <c r="E225" i="89"/>
  <c r="E27" i="89" a="1"/>
  <c r="E27" i="89"/>
  <c r="E187" i="89" a="1"/>
  <c r="E187" i="89"/>
  <c r="E171" i="89" a="1"/>
  <c r="E171" i="89"/>
  <c r="D8" i="89" a="1"/>
  <c r="D8" i="89"/>
  <c r="D27" i="89" a="1"/>
  <c r="D27" i="89"/>
  <c r="D225" i="89" a="1"/>
  <c r="D225" i="89"/>
  <c r="D26" i="89" a="1"/>
  <c r="D26" i="89"/>
  <c r="D68" i="89"/>
  <c r="E33" i="89" a="1"/>
  <c r="E33" i="89"/>
  <c r="S40" i="89" a="1"/>
  <c r="S40" i="89"/>
  <c r="R40" i="89" a="1"/>
  <c r="S234" i="89" a="1"/>
  <c r="R40" i="89" l="1"/>
  <c r="S234" i="89"/>
  <c r="R234" i="89" a="1"/>
  <c r="S197" i="89" a="1"/>
  <c r="R234" i="89" l="1"/>
  <c r="S197" i="89"/>
  <c r="R197" i="89" a="1"/>
  <c r="S236" i="89" a="1"/>
  <c r="R197" i="89" l="1"/>
  <c r="S236" i="89"/>
  <c r="R236" i="89" a="1"/>
  <c r="S56" i="89" a="1"/>
  <c r="R236" i="89" l="1"/>
  <c r="S56" i="89"/>
  <c r="R56" i="89" a="1"/>
  <c r="S223" i="89" a="1"/>
  <c r="R56" i="89" l="1"/>
  <c r="S223" i="89"/>
  <c r="R223" i="89" a="1"/>
  <c r="S213" i="89" a="1"/>
  <c r="R223" i="89" l="1"/>
  <c r="S213" i="89"/>
  <c r="R213" i="89" a="1"/>
  <c r="S49" i="89" a="1"/>
  <c r="R213" i="89" l="1"/>
  <c r="S49" i="89"/>
  <c r="R49" i="89" a="1"/>
  <c r="S63" i="89" a="1"/>
  <c r="R49" i="89" l="1"/>
  <c r="S63" i="89"/>
  <c r="R63" i="89" a="1"/>
  <c r="S19" i="89" a="1"/>
  <c r="R63" i="89" l="1"/>
  <c r="S19" i="89"/>
  <c r="R19" i="89" a="1"/>
  <c r="D40" i="89" a="1"/>
  <c r="R19" i="89" l="1"/>
  <c r="D40" i="89"/>
  <c r="D223" i="89" a="1"/>
  <c r="D223" i="89"/>
  <c r="D19" i="89"/>
  <c r="E62" i="89" a="1"/>
  <c r="E62" i="89"/>
  <c r="D49" i="89" a="1"/>
  <c r="D49" i="89"/>
  <c r="D63" i="89" a="1"/>
  <c r="D63" i="89"/>
  <c r="D222" i="89" a="1"/>
  <c r="D222" i="89"/>
  <c r="D81" i="89" a="1"/>
  <c r="D81" i="89"/>
  <c r="E56" i="89" a="1"/>
  <c r="E56" i="89"/>
  <c r="D197" i="89" a="1"/>
  <c r="D197" i="89"/>
  <c r="E81" i="89" a="1"/>
  <c r="E81" i="89"/>
  <c r="E63" i="89" a="1"/>
  <c r="E63" i="89"/>
  <c r="D62" i="89" a="1"/>
  <c r="D62" i="89"/>
  <c r="E223" i="89" a="1"/>
  <c r="E223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E211" i="89" a="1"/>
  <c r="E211" i="89"/>
  <c r="E237" i="89" a="1"/>
  <c r="E237" i="89"/>
  <c r="E212" i="89" a="1"/>
  <c r="E212" i="89"/>
  <c r="E236" i="89" a="1"/>
  <c r="E236" i="89"/>
  <c r="E188" i="89" a="1"/>
  <c r="E188" i="89"/>
  <c r="E180" i="89" a="1"/>
  <c r="E180" i="89"/>
  <c r="E186" i="89" a="1"/>
  <c r="E186" i="89"/>
  <c r="E169" i="89" a="1"/>
  <c r="E169" i="89"/>
  <c r="E235" i="89" a="1"/>
  <c r="E235" i="89"/>
  <c r="E233" i="89" a="1"/>
  <c r="E233" i="89"/>
  <c r="E234" i="89" a="1"/>
  <c r="E234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AJ37" i="338" a="1"/>
  <c r="AJ37" i="338"/>
  <c r="AH37" i="338" a="1"/>
  <c r="AH37" i="338"/>
  <c r="AJ36" i="338" a="1"/>
  <c r="AJ36" i="338"/>
  <c r="AF37" i="338"/>
  <c r="AF36" i="1"/>
  <c r="AH36" i="338" a="1"/>
  <c r="AH36" i="338"/>
  <c r="AF36" i="338"/>
  <c r="AF32" i="1"/>
  <c r="X13" i="338" a="1"/>
  <c r="X13" i="338"/>
  <c r="X35" i="338" a="1"/>
  <c r="X35" i="338"/>
  <c r="T54" i="338" a="1"/>
  <c r="T54" i="338"/>
  <c r="P13" i="338" a="1"/>
  <c r="P13" i="338"/>
  <c r="T37" i="338" a="1"/>
  <c r="T37" i="338"/>
  <c r="P35" i="338" a="1"/>
  <c r="P35" i="338"/>
  <c r="X17" i="338" a="1"/>
  <c r="X17" i="338"/>
  <c r="T40" i="338" a="1"/>
  <c r="T40" i="338"/>
  <c r="S53" i="338" a="1"/>
  <c r="S53" i="338"/>
  <c r="P54" i="338" a="1"/>
  <c r="P54" i="338"/>
  <c r="S54" i="338" a="1"/>
  <c r="S54" i="338"/>
  <c r="P51" i="338" a="1"/>
  <c r="P51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C11" i="2" a="1"/>
  <c r="C11" i="2"/>
  <c r="D10" i="2" a="1"/>
  <c r="D10" i="2"/>
  <c r="AQ10" i="2" a="1"/>
  <c r="AC10" i="2" a="1"/>
  <c r="AC10" i="2" l="1"/>
  <c r="AQ10" i="2"/>
  <c r="E7" i="2" a="1"/>
  <c r="E7" i="2"/>
  <c r="F10" i="2" a="1"/>
  <c r="F10" i="2"/>
  <c r="T6" i="2" a="1"/>
  <c r="T6" i="2"/>
  <c r="T19" i="2" a="1"/>
  <c r="T19" i="2"/>
  <c r="C4" i="2" a="1"/>
  <c r="C4" i="2"/>
  <c r="AD10" i="2" a="1"/>
  <c r="AD10" i="2"/>
  <c r="AD11" i="2" a="1"/>
  <c r="AD11" i="2"/>
  <c r="F6" i="2" a="1"/>
  <c r="F6" i="2"/>
  <c r="C10" i="2" a="1"/>
  <c r="C10" i="2"/>
  <c r="AR19" i="2" a="1"/>
  <c r="AR19" i="2"/>
  <c r="F11" i="2" a="1"/>
  <c r="F11" i="2"/>
  <c r="AR6" i="2" a="1"/>
  <c r="AR6" i="2"/>
  <c r="D6" i="2" a="1"/>
  <c r="D6" i="2" l="1"/>
  <c r="AC6" i="2" a="1"/>
  <c r="AQ6" i="2" a="1"/>
  <c r="AD20" i="2" a="1"/>
  <c r="AQ6" i="2" l="1"/>
  <c r="AC6" i="2"/>
  <c r="AD20" i="2"/>
  <c r="AA4" i="2" a="1"/>
  <c r="AA4" i="2"/>
  <c r="E6" i="2" a="1"/>
  <c r="E6" i="2"/>
  <c r="AR20" i="2" a="1"/>
  <c r="AR20" i="2"/>
  <c r="AA7" i="2" a="1"/>
  <c r="AA7" i="2"/>
  <c r="E10" i="2" a="1"/>
  <c r="E10" i="2"/>
  <c r="F7" i="2" a="1"/>
  <c r="F7" i="2"/>
  <c r="E4" i="2" a="1"/>
  <c r="E4" i="2"/>
  <c r="AR7" i="2" a="1"/>
  <c r="AR7" i="2"/>
  <c r="C20" i="2" a="1"/>
  <c r="C20" i="2"/>
  <c r="F4" i="2" a="1"/>
  <c r="F4" i="2"/>
  <c r="E11" i="2" a="1"/>
  <c r="E11" i="2"/>
  <c r="T7" i="2" a="1"/>
  <c r="T7" i="2"/>
  <c r="AD19" i="2" a="1"/>
  <c r="AD19" i="2"/>
  <c r="E20" i="2" a="1"/>
  <c r="E20" i="2"/>
  <c r="C6" i="2" a="1"/>
  <c r="C6" i="2"/>
  <c r="C19" i="2" a="1"/>
  <c r="C19" i="2"/>
  <c r="E19" i="2" a="1"/>
  <c r="E19" i="2"/>
  <c r="D11" i="2" a="1"/>
  <c r="D11" i="2"/>
  <c r="AQ11" i="2" a="1"/>
  <c r="AC11" i="2" a="1"/>
  <c r="T11" i="2" a="1"/>
  <c r="AC11" i="2" l="1"/>
  <c r="AQ11" i="2"/>
  <c r="T11" i="2"/>
  <c r="T4" i="2" a="1"/>
  <c r="T4" i="2"/>
  <c r="AA11" i="2" a="1"/>
  <c r="AA11" i="2"/>
  <c r="D20" i="2" a="1"/>
  <c r="D20" i="2"/>
  <c r="AQ20" i="2" a="1"/>
  <c r="AC20" i="2" a="1"/>
  <c r="AC20" i="2" l="1"/>
  <c r="AQ20" i="2"/>
  <c r="AA19" i="2" a="1"/>
  <c r="AA19" i="2" l="1"/>
  <c r="F20" i="2" a="1"/>
  <c r="F20" i="2"/>
  <c r="AD4" i="2" a="1"/>
  <c r="AD4" i="2"/>
  <c r="AA6" i="2" a="1"/>
  <c r="AA6" i="2"/>
  <c r="AR10" i="2" a="1"/>
  <c r="AR10" i="2"/>
  <c r="AD6" i="2" a="1"/>
  <c r="AD6" i="2"/>
  <c r="C7" i="2" a="1"/>
  <c r="C7" i="2"/>
  <c r="AR4" i="2" a="1"/>
  <c r="AR4" i="2"/>
  <c r="AA20" i="2" a="1"/>
  <c r="AA20" i="2"/>
  <c r="D4" i="2" a="1"/>
  <c r="D4" i="2"/>
  <c r="Z4" i="2"/>
  <c r="AV4" i="2" s="1" a="1"/>
  <c r="AC4" i="2" a="1"/>
  <c r="AQ4" i="2" a="1"/>
  <c r="F19" i="2" a="1"/>
  <c r="AQ4" i="2" l="1"/>
  <c r="AC4" i="2"/>
  <c r="AV4" i="2"/>
  <c r="F19" i="2"/>
  <c r="AR11" i="2" a="1"/>
  <c r="AR11" i="2"/>
  <c r="AA10" i="2" a="1"/>
  <c r="AA10" i="2"/>
  <c r="D7" i="2" a="1"/>
  <c r="D7" i="2"/>
  <c r="Z7" i="2"/>
  <c r="AV7" i="2" s="1" a="1"/>
  <c r="AC7" i="2" a="1"/>
  <c r="AQ7" i="2" a="1"/>
  <c r="T20" i="2" a="1"/>
  <c r="AQ7" i="2" l="1"/>
  <c r="AC7" i="2"/>
  <c r="AV7" i="2"/>
  <c r="T20" i="2"/>
  <c r="AD7" i="2" a="1"/>
  <c r="AD7" i="2"/>
  <c r="D19" i="2" a="1"/>
  <c r="D19" i="2"/>
  <c r="AQ19" i="2" a="1"/>
  <c r="AC19" i="2" a="1"/>
  <c r="AC19" i="2" l="1"/>
  <c r="AQ19" i="2"/>
  <c r="T10" i="2" a="1"/>
  <c r="T10" i="2"/>
  <c r="AK45" i="338" a="1"/>
  <c r="AK45" i="338"/>
  <c r="AG45" i="338"/>
  <c r="AI45" i="338" a="1"/>
  <c r="AI45" i="338"/>
  <c r="AH9" i="338" a="1"/>
  <c r="AH9" i="338"/>
  <c r="AH8" i="338" a="1"/>
  <c r="AH8" i="338"/>
  <c r="AG9" i="338"/>
  <c r="AF40" i="1"/>
  <c r="AK9" i="338" a="1"/>
  <c r="AK9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17" i="1"/>
  <c r="F23" i="446" a="1"/>
  <c r="F23" i="446"/>
  <c r="AB20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2" i="1"/>
  <c r="AK11" i="338" a="1"/>
  <c r="AK11" i="338"/>
  <c r="AI11" i="338" a="1"/>
  <c r="AI11" i="338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38" i="1"/>
  <c r="AF35" i="338"/>
  <c r="AF14" i="338"/>
  <c r="AF35" i="1"/>
  <c r="AC33" i="1" a="1"/>
  <c r="AC33" i="1"/>
  <c r="D35" i="446" a="1"/>
  <c r="D35" i="446"/>
  <c r="AC20" i="1" a="1"/>
  <c r="AC20" i="1"/>
  <c r="D27" i="446" a="1"/>
  <c r="D27" i="446"/>
  <c r="AB16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J18" i="338" a="1"/>
  <c r="AJ18" i="338"/>
  <c r="AJ17" i="338" a="1"/>
  <c r="AJ17" i="338"/>
  <c r="AB38" i="1"/>
  <c r="F14" i="446" a="1"/>
  <c r="F14" i="446"/>
  <c r="AI9" i="338" a="1"/>
  <c r="AI9" i="338"/>
  <c r="AB40" i="1"/>
  <c r="F19" i="446" a="1"/>
  <c r="F19" i="446"/>
  <c r="AC22" i="1" a="1"/>
  <c r="AC22" i="1"/>
  <c r="D26" i="446" a="1"/>
  <c r="D26" i="446"/>
  <c r="AB22" i="1"/>
  <c r="F26" i="446" a="1"/>
  <c r="F26" i="446"/>
  <c r="G23" i="446" a="1"/>
  <c r="G23" i="446"/>
  <c r="AK8" i="338" a="1"/>
  <c r="AK8" i="338"/>
  <c r="AK50" i="338" a="1"/>
  <c r="AK50" i="338"/>
  <c r="AK46" i="338" a="1"/>
  <c r="AK46" i="338"/>
  <c r="AK32" i="338" a="1"/>
  <c r="AK32" i="338"/>
  <c r="AC23" i="1" a="1"/>
  <c r="AC23" i="1"/>
  <c r="D30" i="446" a="1"/>
  <c r="D30" i="446"/>
  <c r="AF34" i="338"/>
  <c r="AF13" i="338"/>
  <c r="AF33" i="1"/>
  <c r="G30" i="446" a="1"/>
  <c r="G30" i="446"/>
  <c r="AG51" i="338"/>
  <c r="AG47" i="338"/>
  <c r="AG41" i="338"/>
  <c r="AG33" i="338"/>
  <c r="AG31" i="338"/>
  <c r="AF49" i="338"/>
  <c r="AF46" i="338"/>
  <c r="AF45" i="338"/>
  <c r="AF17" i="1"/>
  <c r="AJ34" i="338" a="1"/>
  <c r="AJ34" i="338"/>
  <c r="AJ13" i="338" a="1"/>
  <c r="AJ13" i="338"/>
  <c r="AC35" i="1" a="1"/>
  <c r="AC35" i="1"/>
  <c r="D36" i="446" a="1"/>
  <c r="D36" i="446"/>
  <c r="AF9" i="338"/>
  <c r="AF8" i="338"/>
  <c r="AF23" i="1"/>
  <c r="AG8" i="338"/>
  <c r="AG50" i="338"/>
  <c r="AG46" i="338"/>
  <c r="AG32" i="338"/>
  <c r="AF24" i="1"/>
  <c r="AJ33" i="338" a="1"/>
  <c r="AJ33" i="338"/>
  <c r="AJ11" i="338" a="1"/>
  <c r="AJ11" i="338"/>
  <c r="AJ10" i="338" a="1"/>
  <c r="AJ10" i="338"/>
  <c r="AB23" i="1"/>
  <c r="F30" i="446" a="1"/>
  <c r="F30" i="446"/>
  <c r="G35" i="446" a="1"/>
  <c r="G35" i="446"/>
  <c r="AB35" i="1"/>
  <c r="F36" i="446" a="1"/>
  <c r="F36" i="446"/>
  <c r="G21" i="446" a="1"/>
  <c r="G21" i="446"/>
  <c r="AH34" i="338" a="1"/>
  <c r="AH34" i="338"/>
  <c r="AH13" i="338" a="1"/>
  <c r="AH13" i="338"/>
  <c r="AB33" i="1"/>
  <c r="F35" i="446" a="1"/>
  <c r="F35" i="446"/>
  <c r="AG52" i="338"/>
  <c r="AG44" i="338"/>
  <c r="AG39" i="338"/>
  <c r="AG38" i="338"/>
  <c r="AG17" i="338"/>
  <c r="AG16" i="338"/>
  <c r="AG15" i="338"/>
  <c r="AF16" i="1"/>
  <c r="G14" i="446" a="1"/>
  <c r="G14" i="446"/>
  <c r="G9" i="446" a="1"/>
  <c r="G9" i="446"/>
  <c r="AB24" i="1"/>
  <c r="F9" i="446" a="1"/>
  <c r="F9" i="446"/>
  <c r="AG11" i="338"/>
  <c r="AF20" i="1"/>
  <c r="F18" i="446" a="1"/>
  <c r="F18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F22" i="446" a="1"/>
  <c r="F22" i="446"/>
  <c r="F15" i="446" a="1"/>
  <c r="F15" i="446"/>
  <c r="AK49" i="338" a="1"/>
  <c r="AK49" i="338"/>
  <c r="AK48" i="338" a="1"/>
  <c r="AK48" i="338"/>
  <c r="AF54" i="338"/>
  <c r="AF53" i="338"/>
  <c r="AF52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X46" i="338" a="1"/>
  <c r="X46" i="338"/>
  <c r="P50" i="338" a="1"/>
  <c r="P50" i="338"/>
  <c r="P11" i="338" a="1"/>
  <c r="P11" i="338"/>
  <c r="P36" i="338" a="1"/>
  <c r="P36" i="338"/>
  <c r="G24" i="446" a="1"/>
  <c r="G24" i="446"/>
  <c r="S18" i="338" a="1"/>
  <c r="S18" i="338"/>
  <c r="P18" i="338" a="1"/>
  <c r="P18" i="338"/>
  <c r="G18" i="446" a="1"/>
  <c r="G18" i="446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E145" i="89" a="1"/>
  <c r="E145" i="89"/>
  <c r="T90" i="89" a="1"/>
  <c r="T90" i="89"/>
  <c r="X52" i="338" a="1"/>
  <c r="X52" i="338"/>
  <c r="V89" i="89" a="1"/>
  <c r="V89" i="89"/>
  <c r="T46" i="338" a="1"/>
  <c r="T46" i="338"/>
  <c r="V109" i="89" a="1"/>
  <c r="V109" i="89"/>
  <c r="S39" i="338" a="1"/>
  <c r="S39" i="338"/>
  <c r="S15" i="338" a="1"/>
  <c r="S15" i="338"/>
  <c r="V90" i="89" a="1"/>
  <c r="V90" i="89"/>
  <c r="V144" i="89" a="1"/>
  <c r="V144" i="89"/>
  <c r="X18" i="338" a="1"/>
  <c r="X18" i="338"/>
  <c r="D145" i="89" a="1"/>
  <c r="D145" i="89"/>
  <c r="X8" i="338" a="1"/>
  <c r="X8" i="338"/>
  <c r="D109" i="89" a="1"/>
  <c r="D109" i="89"/>
  <c r="T52" i="338" a="1"/>
  <c r="T52" i="338"/>
  <c r="C90" i="89" a="1"/>
  <c r="C90" i="89"/>
  <c r="T136" i="89" a="1"/>
  <c r="T136" i="89"/>
  <c r="S46" i="338" a="1"/>
  <c r="S46" i="338"/>
  <c r="C123" i="89" a="1"/>
  <c r="C123" i="89"/>
  <c r="D101" i="89" a="1"/>
  <c r="D101" i="89"/>
  <c r="X36" i="338" a="1"/>
  <c r="X36" i="338"/>
  <c r="D123" i="89" a="1"/>
  <c r="D123" i="89"/>
  <c r="C136" i="89" a="1"/>
  <c r="C136" i="89"/>
  <c r="P39" i="338" a="1"/>
  <c r="P39" i="338"/>
  <c r="P15" i="338" a="1"/>
  <c r="P15" i="338"/>
  <c r="T138" i="89" a="1"/>
  <c r="T138" i="89"/>
  <c r="S36" i="338" a="1"/>
  <c r="S36" i="338"/>
  <c r="E89" i="89" a="1"/>
  <c r="E89" i="89"/>
  <c r="S52" i="338" a="1"/>
  <c r="S52" i="338"/>
  <c r="C95" i="89" a="1"/>
  <c r="C95" i="89"/>
  <c r="V101" i="89" a="1"/>
  <c r="V101" i="89"/>
  <c r="V136" i="89" a="1"/>
  <c r="V136" i="89"/>
  <c r="T11" i="338" a="1"/>
  <c r="T11" i="338"/>
  <c r="T49" i="338" a="1"/>
  <c r="T49" i="338"/>
  <c r="D90" i="89" a="1"/>
  <c r="D90" i="89"/>
  <c r="C89" i="89" a="1"/>
  <c r="C89" i="89"/>
  <c r="P49" i="338" a="1"/>
  <c r="P49" i="338"/>
  <c r="V138" i="89" a="1"/>
  <c r="V138" i="89"/>
  <c r="T33" i="338" a="1"/>
  <c r="T33" i="338"/>
  <c r="S33" i="338" a="1"/>
  <c r="S33" i="338"/>
  <c r="P33" i="338" a="1"/>
  <c r="P33" i="338"/>
  <c r="V95" i="89" a="1"/>
  <c r="V95" i="89"/>
  <c r="X11" i="338" a="1"/>
  <c r="X11" i="338"/>
  <c r="C145" i="89" a="1"/>
  <c r="C145" i="89"/>
  <c r="C138" i="89" a="1"/>
  <c r="C138" i="89"/>
  <c r="P46" i="338" a="1"/>
  <c r="P46" i="338"/>
  <c r="E101" i="89" a="1"/>
  <c r="E101" i="89"/>
  <c r="X33" i="338" a="1"/>
  <c r="X33" i="338"/>
  <c r="T123" i="89" a="1"/>
  <c r="T123" i="89"/>
  <c r="V145" i="89" a="1"/>
  <c r="V145" i="89"/>
  <c r="S8" i="338" a="1"/>
  <c r="S8" i="338"/>
  <c r="D95" i="89" a="1"/>
  <c r="D95" i="89"/>
  <c r="D89" i="89" a="1"/>
  <c r="D89" i="89"/>
  <c r="E123" i="89" a="1"/>
  <c r="E123" i="89"/>
  <c r="P52" i="338" a="1"/>
  <c r="P52" i="338"/>
  <c r="Z101" i="89" a="1"/>
  <c r="Z101" i="89"/>
  <c r="T39" i="338" a="1"/>
  <c r="T39" i="338"/>
  <c r="T15" i="338" a="1"/>
  <c r="T15" i="338"/>
  <c r="S11" i="338" a="1"/>
  <c r="S11" i="338"/>
  <c r="C109" i="89" a="1"/>
  <c r="C109" i="89"/>
  <c r="T36" i="338" a="1"/>
  <c r="T36" i="338"/>
  <c r="D138" i="89" a="1"/>
  <c r="D138" i="89"/>
  <c r="X49" i="338" a="1"/>
  <c r="X49" i="338"/>
  <c r="D144" i="89" a="1"/>
  <c r="D144" i="89"/>
  <c r="E109" i="89" a="1"/>
  <c r="E109" i="89"/>
  <c r="E95" i="89" a="1"/>
  <c r="E95" i="89"/>
  <c r="E90" i="89" a="1"/>
  <c r="E90" i="89"/>
  <c r="T145" i="89" a="1"/>
  <c r="T145" i="89"/>
  <c r="Z95" i="89" a="1"/>
  <c r="Z95" i="89"/>
  <c r="C101" i="89" a="1"/>
  <c r="C101" i="89"/>
  <c r="T101" i="89" a="1"/>
  <c r="T101" i="89"/>
  <c r="T144" i="89" a="1"/>
  <c r="T144" i="89"/>
  <c r="E144" i="89" a="1"/>
  <c r="E144" i="89"/>
  <c r="T95" i="89" a="1"/>
  <c r="T95" i="89"/>
  <c r="T89" i="89" a="1"/>
  <c r="T89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V49" i="89" a="1"/>
  <c r="V49" i="89"/>
  <c r="C19" i="89"/>
  <c r="V236" i="89" a="1"/>
  <c r="V236" i="89"/>
  <c r="V19" i="89"/>
  <c r="O49" i="89" a="1"/>
  <c r="O49" i="89"/>
  <c r="V212" i="89" a="1"/>
  <c r="V212" i="89"/>
  <c r="O56" i="89" a="1"/>
  <c r="O56" i="89"/>
  <c r="O236" i="89" a="1"/>
  <c r="O236" i="89" l="1"/>
  <c r="O212" i="89" a="1"/>
  <c r="O212" i="89"/>
  <c r="T34" i="89" a="1"/>
  <c r="T34" i="89"/>
  <c r="T234" i="89" a="1"/>
  <c r="T234" i="89"/>
  <c r="T75" i="89" a="1"/>
  <c r="T75" i="89"/>
  <c r="C56" i="89" a="1"/>
  <c r="C56" i="89"/>
  <c r="V40" i="89" a="1"/>
  <c r="V40" i="89"/>
  <c r="O234" i="89" a="1"/>
  <c r="O234" i="89"/>
  <c r="V34" i="89" a="1"/>
  <c r="V34" i="89" l="1"/>
  <c r="C49" i="89" a="1"/>
  <c r="C49" i="89"/>
  <c r="O75" i="89" a="1"/>
  <c r="O75" i="89"/>
  <c r="T236" i="89" a="1"/>
  <c r="T236" i="89" l="1"/>
  <c r="C34" i="89" a="1"/>
  <c r="C34" i="89"/>
  <c r="V234" i="89" a="1"/>
  <c r="V234" i="89"/>
  <c r="T49" i="89" a="1"/>
  <c r="T49" i="89"/>
  <c r="T56" i="89" a="1"/>
  <c r="T56" i="89"/>
  <c r="V204" i="89" a="1"/>
  <c r="V204" i="89"/>
  <c r="O40" i="89" a="1"/>
  <c r="O40" i="89"/>
  <c r="T40" i="89" a="1"/>
  <c r="T40" i="89"/>
  <c r="C204" i="89" a="1"/>
  <c r="C204" i="89"/>
  <c r="T204" i="89" a="1"/>
  <c r="T204" i="89"/>
  <c r="C212" i="89" a="1"/>
  <c r="C212" i="89"/>
  <c r="T19" i="89"/>
  <c r="C234" i="89" a="1"/>
  <c r="C234" i="89"/>
  <c r="T212" i="89" a="1"/>
  <c r="T212" i="89"/>
  <c r="V56" i="89" a="1"/>
  <c r="V56" i="89"/>
  <c r="O34" i="89" a="1"/>
  <c r="O34" i="89"/>
  <c r="C236" i="89" a="1"/>
  <c r="C236" i="89" l="1"/>
  <c r="C40" i="89" a="1"/>
  <c r="C40" i="89"/>
  <c r="V75" i="89" a="1"/>
  <c r="V75" i="89"/>
  <c r="O19" i="89"/>
  <c r="C75" i="89" a="1"/>
  <c r="C75" i="89" l="1"/>
  <c r="O204" i="89" a="1"/>
  <c r="O204" i="89"/>
  <c r="T233" i="89" a="1"/>
  <c r="T233" i="89" l="1"/>
  <c r="O55" i="89" a="1"/>
  <c r="O55" i="89"/>
  <c r="V213" i="89" a="1"/>
  <c r="V213" i="89"/>
  <c r="V205" i="89" a="1"/>
  <c r="V205" i="89"/>
  <c r="C180" i="89" a="1"/>
  <c r="C180" i="89"/>
  <c r="V180" i="89" a="1"/>
  <c r="V180" i="89"/>
  <c r="O235" i="89" a="1"/>
  <c r="O235" i="89"/>
  <c r="C211" i="89" a="1"/>
  <c r="C211" i="89"/>
  <c r="C55" i="89" a="1"/>
  <c r="C55" i="89"/>
  <c r="T211" i="89" a="1"/>
  <c r="T211" i="89"/>
  <c r="T180" i="89" a="1"/>
  <c r="T180" i="89"/>
  <c r="O225" i="89" a="1"/>
  <c r="O225" i="89"/>
  <c r="T55" i="89" a="1"/>
  <c r="T55" i="89"/>
  <c r="V211" i="89" a="1"/>
  <c r="V211" i="89"/>
  <c r="C213" i="89" a="1"/>
  <c r="C213" i="89"/>
  <c r="C205" i="89" a="1"/>
  <c r="C205" i="89"/>
  <c r="T213" i="89" a="1"/>
  <c r="T213" i="89"/>
  <c r="T205" i="89" a="1"/>
  <c r="T205" i="89"/>
  <c r="V235" i="89" a="1"/>
  <c r="V235" i="89"/>
  <c r="O180" i="89" a="1"/>
  <c r="O180" i="89"/>
  <c r="O211" i="89" a="1"/>
  <c r="O211" i="89"/>
  <c r="C225" i="89" a="1"/>
  <c r="C225" i="89"/>
  <c r="V225" i="89" a="1"/>
  <c r="V225" i="89"/>
  <c r="O213" i="89" a="1"/>
  <c r="O213" i="89"/>
  <c r="O205" i="89" a="1"/>
  <c r="O205" i="89" l="1"/>
  <c r="T225" i="89" a="1"/>
  <c r="T225" i="89" l="1"/>
  <c r="C233" i="89" a="1"/>
  <c r="C233" i="89"/>
  <c r="V55" i="89" a="1"/>
  <c r="V55" i="89"/>
  <c r="O233" i="89" a="1"/>
  <c r="O233" i="89"/>
  <c r="V233" i="89" a="1"/>
  <c r="V233" i="89"/>
  <c r="T235" i="89" a="1"/>
  <c r="T235" i="89"/>
  <c r="C235" i="89" a="1"/>
  <c r="C235" i="89"/>
  <c r="E195" i="89" a="1"/>
  <c r="E195" i="89"/>
  <c r="D195" i="89" a="1"/>
  <c r="D195" i="89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G40" i="338"/>
  <c r="AF39" i="338"/>
  <c r="AF15" i="338"/>
  <c r="AJ12" i="338" a="1"/>
  <c r="AJ12" i="338"/>
  <c r="AH12" i="338" a="1"/>
  <c r="AH12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F40" i="446" a="1"/>
  <c r="F40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S31" i="338" a="1"/>
  <c r="S31" i="338"/>
  <c r="P29" i="338" a="1"/>
  <c r="P29" i="338"/>
  <c r="X45" i="338" a="1"/>
  <c r="X45" i="338"/>
  <c r="T9" i="338" a="1"/>
  <c r="T9" i="338"/>
  <c r="P14" i="338" a="1"/>
  <c r="P14" i="338"/>
  <c r="T47" i="338" a="1"/>
  <c r="T47" i="338"/>
  <c r="P48" i="338" a="1"/>
  <c r="P48" i="338"/>
  <c r="X48" i="338" a="1"/>
  <c r="X48" i="338"/>
  <c r="T12" i="338" a="1"/>
  <c r="T12" i="338"/>
  <c r="S42" i="338" a="1"/>
  <c r="S4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AA18" i="2" a="1"/>
  <c r="AA18" i="2"/>
  <c r="T197" i="89" a="1"/>
  <c r="T197" i="89"/>
  <c r="AA12" i="2" a="1"/>
  <c r="AA12" i="2"/>
  <c r="T62" i="89" a="1"/>
  <c r="T62" i="89"/>
  <c r="AR17" i="2" a="1"/>
  <c r="AR17" i="2"/>
  <c r="C16" i="2" a="1"/>
  <c r="C16" i="2"/>
  <c r="C17" i="2" a="1"/>
  <c r="C17" i="2"/>
  <c r="V82" i="89" a="1"/>
  <c r="V82" i="89"/>
  <c r="T12" i="2" a="1"/>
  <c r="T12" i="2"/>
  <c r="O62" i="89" a="1"/>
  <c r="O62" i="89"/>
  <c r="F18" i="2" a="1"/>
  <c r="F18" i="2"/>
  <c r="AA16" i="2" a="1"/>
  <c r="AA16" i="2"/>
  <c r="T195" i="89" a="1"/>
  <c r="T195" i="89"/>
  <c r="AA13" i="2" a="1"/>
  <c r="AA13" i="2"/>
  <c r="T63" i="89" a="1"/>
  <c r="T63" i="89"/>
  <c r="D17" i="2" a="1"/>
  <c r="D17" i="2"/>
  <c r="AQ17" i="2" a="1"/>
  <c r="AC17" i="2" a="1"/>
  <c r="C196" i="89" a="1"/>
  <c r="AC17" i="2" l="1"/>
  <c r="AQ17" i="2"/>
  <c r="C196" i="89"/>
  <c r="AD12" i="2" a="1"/>
  <c r="AD12" i="2"/>
  <c r="V62" i="89" a="1"/>
  <c r="V62" i="89"/>
  <c r="E82" i="89" a="1"/>
  <c r="E82" i="89"/>
  <c r="C12" i="2" a="1"/>
  <c r="C12" i="2"/>
  <c r="AR12" i="2" a="1"/>
  <c r="AR12" i="2"/>
  <c r="C82" i="89" a="1"/>
  <c r="C82" i="89" l="1"/>
  <c r="C186" i="89" a="1"/>
  <c r="C186" i="89" l="1"/>
  <c r="C169" i="89" a="1"/>
  <c r="C169" i="89"/>
  <c r="F5" i="2" a="1"/>
  <c r="F5" i="2"/>
  <c r="D13" i="2" a="1"/>
  <c r="D13" i="2"/>
  <c r="AQ13" i="2" a="1"/>
  <c r="AC13" i="2" a="1"/>
  <c r="C63" i="89" a="1"/>
  <c r="AC13" i="2" l="1"/>
  <c r="AQ13" i="2"/>
  <c r="C63" i="89"/>
  <c r="T186" i="89" a="1"/>
  <c r="T186" i="89"/>
  <c r="T169" i="89" a="1"/>
  <c r="T169" i="89"/>
  <c r="C18" i="2" a="1"/>
  <c r="C18" i="2"/>
  <c r="O81" i="89" a="1"/>
  <c r="O81" i="89"/>
  <c r="O186" i="89" a="1"/>
  <c r="O186" i="89"/>
  <c r="O169" i="89" a="1"/>
  <c r="O169" i="89"/>
  <c r="E16" i="2" a="1"/>
  <c r="E16" i="2"/>
  <c r="AD16" i="2" a="1"/>
  <c r="AD16" i="2"/>
  <c r="V195" i="89" a="1"/>
  <c r="V195" i="89"/>
  <c r="AR18" i="2" a="1"/>
  <c r="AR18" i="2"/>
  <c r="C81" i="89" a="1"/>
  <c r="C81" i="89" l="1"/>
  <c r="O82" i="89" a="1"/>
  <c r="O82" i="89"/>
  <c r="E5" i="2" a="1"/>
  <c r="E5" i="2"/>
  <c r="T5" i="2" a="1"/>
  <c r="T5" i="2"/>
  <c r="O223" i="89" a="1"/>
  <c r="O223" i="89"/>
  <c r="E12" i="2" a="1"/>
  <c r="E12" i="2"/>
  <c r="F13" i="2" a="1"/>
  <c r="F13" i="2"/>
  <c r="Z82" i="89" a="1"/>
  <c r="Z82" i="89"/>
  <c r="AA17" i="2" a="1"/>
  <c r="AA17" i="2"/>
  <c r="T196" i="89" a="1"/>
  <c r="T196" i="89"/>
  <c r="E13" i="2" a="1"/>
  <c r="E13" i="2"/>
  <c r="F12" i="2" a="1"/>
  <c r="F12" i="2"/>
  <c r="AD18" i="2" a="1"/>
  <c r="AD18" i="2"/>
  <c r="V197" i="89" a="1"/>
  <c r="V197" i="89"/>
  <c r="D16" i="2" a="1"/>
  <c r="D16" i="2"/>
  <c r="AQ16" i="2" a="1"/>
  <c r="AC16" i="2" a="1"/>
  <c r="C195" i="89" a="1"/>
  <c r="AC16" i="2" l="1"/>
  <c r="AQ16" i="2"/>
  <c r="C195" i="89"/>
  <c r="AD5" i="2" a="1"/>
  <c r="AD5" i="2"/>
  <c r="V223" i="89" a="1"/>
  <c r="V223" i="89"/>
  <c r="V14" i="89" a="1"/>
  <c r="V14" i="89"/>
  <c r="E17" i="2" a="1"/>
  <c r="E17" i="2"/>
  <c r="AA5" i="2" a="1"/>
  <c r="AA5" i="2"/>
  <c r="T223" i="89" a="1"/>
  <c r="T223" i="89"/>
  <c r="AR5" i="2" a="1"/>
  <c r="AR5" i="2"/>
  <c r="D12" i="2" a="1"/>
  <c r="D12" i="2"/>
  <c r="AQ12" i="2" a="1"/>
  <c r="AC12" i="2" a="1"/>
  <c r="C62" i="89" a="1"/>
  <c r="AC12" i="2" l="1"/>
  <c r="AQ12" i="2"/>
  <c r="C62" i="89"/>
  <c r="F16" i="2" a="1"/>
  <c r="F16" i="2"/>
  <c r="T82" i="89" a="1"/>
  <c r="T82" i="89" l="1"/>
  <c r="AD13" i="2" a="1"/>
  <c r="AD13" i="2"/>
  <c r="V63" i="89" a="1"/>
  <c r="V63" i="89"/>
  <c r="V186" i="89" a="1"/>
  <c r="V186" i="89"/>
  <c r="V169" i="89" a="1"/>
  <c r="V169" i="89"/>
  <c r="D5" i="2" a="1"/>
  <c r="D5" i="2"/>
  <c r="AQ5" i="2" a="1"/>
  <c r="AC5" i="2" a="1"/>
  <c r="C223" i="89" a="1"/>
  <c r="AC5" i="2" l="1"/>
  <c r="AQ5" i="2"/>
  <c r="C223" i="89"/>
  <c r="T18" i="2" a="1"/>
  <c r="T18" i="2"/>
  <c r="O197" i="89" a="1"/>
  <c r="O197" i="89"/>
  <c r="AR13" i="2" a="1"/>
  <c r="AR13" i="2" l="1"/>
  <c r="AR16" i="2" a="1"/>
  <c r="AR16" i="2"/>
  <c r="E18" i="2" a="1"/>
  <c r="E18" i="2"/>
  <c r="T17" i="2" a="1"/>
  <c r="T17" i="2"/>
  <c r="O196" i="89" a="1"/>
  <c r="O196" i="89"/>
  <c r="C5" i="2" a="1"/>
  <c r="C5" i="2" l="1"/>
  <c r="T14" i="89" a="1"/>
  <c r="T14" i="89"/>
  <c r="F17" i="2" a="1"/>
  <c r="F17" i="2"/>
  <c r="O14" i="89" a="1"/>
  <c r="O14" i="89"/>
  <c r="T16" i="2" a="1"/>
  <c r="T16" i="2"/>
  <c r="O195" i="89" a="1"/>
  <c r="O195" i="89"/>
  <c r="C13" i="2" a="1"/>
  <c r="C13" i="2" l="1"/>
  <c r="AD17" i="2" a="1"/>
  <c r="AD17" i="2"/>
  <c r="V196" i="89" a="1"/>
  <c r="V196" i="89"/>
  <c r="T13" i="2" a="1"/>
  <c r="T13" i="2"/>
  <c r="O63" i="89" a="1"/>
  <c r="O63" i="89"/>
  <c r="C14" i="89" a="1"/>
  <c r="C14" i="89" l="1"/>
  <c r="D18" i="2" a="1"/>
  <c r="D18" i="2"/>
  <c r="AQ18" i="2" a="1"/>
  <c r="AC18" i="2" a="1"/>
  <c r="C197" i="89" a="1"/>
  <c r="AC18" i="2" l="1"/>
  <c r="AQ18" i="2"/>
  <c r="C197" i="89"/>
  <c r="T81" i="89" a="1"/>
  <c r="T81" i="89"/>
  <c r="D82" i="89" a="1"/>
  <c r="D82" i="89"/>
  <c r="V81" i="89" a="1"/>
  <c r="V81" i="89"/>
  <c r="P17" i="252" a="1"/>
  <c r="P17" i="252"/>
  <c r="F11" i="252" a="1"/>
  <c r="F11" i="252"/>
  <c r="F19" i="252" a="1"/>
  <c r="F19" i="252"/>
  <c r="F20" i="252" a="1"/>
  <c r="F20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L17" i="252" a="1"/>
  <c r="L17" i="252"/>
  <c r="S8" i="252" a="1"/>
  <c r="S8" i="252"/>
  <c r="S11" i="252" a="1"/>
  <c r="S11" i="252"/>
  <c r="L8" i="252" a="1"/>
  <c r="L8" i="252"/>
  <c r="M18" i="252" a="1"/>
  <c r="M18" i="252"/>
  <c r="S16" i="252" a="1"/>
  <c r="S16" i="252"/>
  <c r="L11" i="252" a="1"/>
  <c r="L11" i="252"/>
  <c r="O14" i="252" a="1"/>
  <c r="O14" i="252"/>
  <c r="N14" i="252" a="1"/>
  <c r="N14" i="252"/>
  <c r="O17" i="252" a="1"/>
  <c r="O17" i="252"/>
  <c r="M20" i="252" a="1"/>
  <c r="M20" i="252"/>
  <c r="N20" i="252" a="1"/>
  <c r="N20" i="252"/>
  <c r="N7" i="252" a="1"/>
  <c r="N7" i="252"/>
  <c r="N10" i="252" a="1"/>
  <c r="N10" i="252"/>
  <c r="M19" i="252" a="1"/>
  <c r="M19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O10" i="252" a="1"/>
  <c r="O10" i="252"/>
  <c r="M7" i="252" a="1"/>
  <c r="M7" i="252"/>
  <c r="M8" i="252" a="1"/>
  <c r="M8" i="252"/>
  <c r="L20" i="252" a="1"/>
  <c r="L20" i="252"/>
  <c r="S7" i="252" a="1"/>
  <c r="S7" i="252"/>
  <c r="L18" i="252" a="1"/>
  <c r="L18" i="252"/>
  <c r="O7" i="252" a="1"/>
  <c r="O7" i="252"/>
  <c r="P16" i="252" a="1"/>
  <c r="P16" i="252"/>
  <c r="F18" i="252" a="1"/>
  <c r="F18" i="252"/>
  <c r="F8" i="252" a="1"/>
  <c r="F8" i="252"/>
  <c r="O18" i="252" a="1"/>
  <c r="O18" i="252"/>
  <c r="S17" i="252" a="1"/>
  <c r="S17" i="252"/>
  <c r="F14" i="2" a="1"/>
  <c r="F14" i="2"/>
  <c r="AR15" i="2" a="1"/>
  <c r="AR15" i="2"/>
  <c r="E8" i="2" a="1"/>
  <c r="E8" i="2"/>
  <c r="AD15" i="2" a="1"/>
  <c r="AD15" i="2"/>
  <c r="V8" i="89" a="1"/>
  <c r="V8" i="89"/>
  <c r="AR14" i="2" a="1"/>
  <c r="AR14" i="2"/>
  <c r="AA8" i="2" a="1"/>
  <c r="AA8" i="2"/>
  <c r="T188" i="89" a="1"/>
  <c r="T188" i="89"/>
  <c r="AD9" i="2" a="1"/>
  <c r="AD9" i="2"/>
  <c r="V27" i="89" a="1"/>
  <c r="V27" i="89"/>
  <c r="V187" i="89" a="1"/>
  <c r="V187" i="89"/>
  <c r="V171" i="89" a="1"/>
  <c r="V171" i="89"/>
  <c r="C14" i="2" a="1"/>
  <c r="C14" i="2"/>
  <c r="V13" i="89" a="1"/>
  <c r="V13" i="89"/>
  <c r="AA9" i="2" a="1"/>
  <c r="AA9" i="2"/>
  <c r="T27" i="89" a="1"/>
  <c r="T27" i="89"/>
  <c r="T187" i="89" a="1"/>
  <c r="T187" i="89"/>
  <c r="T171" i="89" a="1"/>
  <c r="T171" i="89"/>
  <c r="T15" i="2" a="1"/>
  <c r="T15" i="2"/>
  <c r="O8" i="89" a="1"/>
  <c r="O8" i="89"/>
  <c r="T9" i="2" a="1"/>
  <c r="T9" i="2"/>
  <c r="O27" i="89" a="1"/>
  <c r="O27" i="89"/>
  <c r="O187" i="89" a="1"/>
  <c r="O187" i="89" l="1"/>
  <c r="O171" i="89" a="1"/>
  <c r="O171" i="89" l="1"/>
  <c r="AD14" i="2" a="1"/>
  <c r="AD14" i="2" l="1"/>
  <c r="V7" i="89" a="1"/>
  <c r="V7" i="89"/>
  <c r="C15" i="2" a="1"/>
  <c r="C15" i="2"/>
  <c r="T14" i="2" a="1"/>
  <c r="T14" i="2"/>
  <c r="O7" i="89" a="1"/>
  <c r="O7" i="89"/>
  <c r="D9" i="2" a="1"/>
  <c r="D9" i="2"/>
  <c r="AC9" i="2" a="1"/>
  <c r="AQ9" i="2" a="1"/>
  <c r="C27" i="89" a="1"/>
  <c r="AQ9" i="2" l="1"/>
  <c r="AC9" i="2"/>
  <c r="C27" i="89"/>
  <c r="C187" i="89" a="1"/>
  <c r="C187" i="89"/>
  <c r="C171" i="89" a="1"/>
  <c r="C171" i="89"/>
  <c r="O13" i="89" a="1"/>
  <c r="O13" i="89"/>
  <c r="C13" i="89" a="1"/>
  <c r="C13" i="89" l="1"/>
  <c r="AD8" i="2" a="1"/>
  <c r="AD8" i="2"/>
  <c r="V188" i="89" a="1"/>
  <c r="V188" i="89"/>
  <c r="E15" i="2" a="1"/>
  <c r="E15" i="2"/>
  <c r="C9" i="2" a="1"/>
  <c r="C9" i="2"/>
  <c r="AA15" i="2" a="1"/>
  <c r="AA15" i="2"/>
  <c r="T8" i="89" a="1"/>
  <c r="T8" i="89"/>
  <c r="D14" i="2" a="1"/>
  <c r="D14" i="2"/>
  <c r="Z14" i="2"/>
  <c r="AQ14" i="2" a="1"/>
  <c r="AC14" i="2" a="1"/>
  <c r="C7" i="89" a="1"/>
  <c r="AC14" i="2" l="1"/>
  <c r="AQ14" i="2"/>
  <c r="C7" i="89"/>
  <c r="C8" i="2" a="1"/>
  <c r="C8" i="2"/>
  <c r="T8" i="2" a="1"/>
  <c r="T8" i="2"/>
  <c r="O188" i="89" a="1"/>
  <c r="O188" i="89"/>
  <c r="E9" i="2" a="1"/>
  <c r="E9" i="2" l="1"/>
  <c r="AR9" i="2" a="1"/>
  <c r="AR9" i="2"/>
  <c r="F9" i="2" a="1"/>
  <c r="F9" i="2"/>
  <c r="E14" i="2" a="1"/>
  <c r="E14" i="2"/>
  <c r="AA14" i="2" a="1"/>
  <c r="AA14" i="2"/>
  <c r="AV14" i="2" a="1"/>
  <c r="T7" i="89" a="1"/>
  <c r="AV14" i="2" l="1"/>
  <c r="T7" i="89"/>
  <c r="D8" i="2" a="1"/>
  <c r="D8" i="2"/>
  <c r="Z8" i="2"/>
  <c r="AV8" i="2" s="1" a="1"/>
  <c r="AC8" i="2" a="1"/>
  <c r="AQ8" i="2" a="1"/>
  <c r="C188" i="89" a="1"/>
  <c r="AQ8" i="2" l="1"/>
  <c r="AC8" i="2"/>
  <c r="AV8" i="2"/>
  <c r="C188" i="89"/>
  <c r="AR8" i="2" a="1"/>
  <c r="AR8" i="2"/>
  <c r="T13" i="89" a="1"/>
  <c r="T13" i="89"/>
  <c r="F15" i="2" a="1"/>
  <c r="F15" i="2"/>
  <c r="D15" i="2" a="1"/>
  <c r="D15" i="2"/>
  <c r="AQ15" i="2" a="1"/>
  <c r="AC15" i="2" a="1"/>
  <c r="C8" i="89" a="1"/>
  <c r="S15" i="1" l="1"/>
  <c r="Q15" i="1"/>
  <c r="T15" i="1" s="1"/>
  <c r="F15" i="1" s="1"/>
  <c r="AC15" i="2"/>
  <c r="AQ15" i="2"/>
  <c r="C8" i="89"/>
  <c r="F8" i="2" a="1"/>
  <c r="F8" i="2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O6" i="252" a="1"/>
  <c r="O6" i="252"/>
  <c r="Y6" i="252" a="1"/>
  <c r="Y6" i="252"/>
  <c r="L6" i="252" a="1"/>
  <c r="L6" i="252"/>
  <c r="M6" i="252" a="1"/>
  <c r="M6" i="252"/>
  <c r="N6" i="252" a="1"/>
  <c r="N6" i="252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G6" i="446" a="1"/>
  <c r="G6" i="446"/>
  <c r="G5" i="446" a="1"/>
  <c r="G5" i="446"/>
  <c r="AB18" i="1"/>
  <c r="F6" i="446" a="1"/>
  <c r="F6" i="446"/>
  <c r="F5" i="446" a="1"/>
  <c r="F5" i="446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L40" i="1" a="1"/>
  <c r="L40" i="1"/>
  <c r="L39" i="1" a="1"/>
  <c r="L39" i="1"/>
  <c r="L38" i="1" a="1"/>
  <c r="L38" i="1"/>
  <c r="L37" i="1" a="1"/>
  <c r="L37" i="1"/>
  <c r="L36" i="1" a="1"/>
  <c r="L36" i="1"/>
  <c r="L35" i="1" a="1"/>
  <c r="L35" i="1"/>
  <c r="L34" i="1" a="1"/>
  <c r="L34" i="1"/>
  <c r="L33" i="1" a="1"/>
  <c r="L33" i="1"/>
  <c r="L32" i="1" a="1"/>
  <c r="L32" i="1"/>
  <c r="L30" i="1" a="1"/>
  <c r="L30" i="1"/>
  <c r="L29" i="1" a="1"/>
  <c r="L29" i="1"/>
  <c r="L28" i="1" a="1"/>
  <c r="L28" i="1"/>
  <c r="L27" i="1" a="1"/>
  <c r="L27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4" i="1" a="1"/>
  <c r="L14" i="1"/>
  <c r="L13" i="1" a="1"/>
  <c r="L13" i="1"/>
  <c r="L12" i="1" a="1"/>
  <c r="L12" i="1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G54" i="338"/>
  <c r="AK13" i="338" a="1"/>
  <c r="AK13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M13" i="252" a="1"/>
  <c r="M13" i="252"/>
  <c r="F13" i="252" a="1"/>
  <c r="F13" i="252"/>
  <c r="O13" i="252" a="1"/>
  <c r="O13" i="252"/>
  <c r="L13" i="252" a="1"/>
  <c r="L13" i="252"/>
  <c r="N13" i="252" a="1"/>
  <c r="N13" i="252"/>
  <c r="J1" i="24" a="1"/>
  <c r="J1" i="24"/>
  <c r="K2" i="2" a="1"/>
  <c r="K2" i="2"/>
  <c r="O179" i="89" a="1"/>
  <c r="O179" i="89"/>
  <c r="O178" i="89" a="1"/>
  <c r="O178" i="89"/>
  <c r="T55" i="338" a="1"/>
  <c r="T55" i="338"/>
  <c r="X55" i="338" a="1"/>
  <c r="X55" i="338"/>
  <c r="V179" i="89" a="1"/>
  <c r="V179" i="89"/>
  <c r="V178" i="89" a="1"/>
  <c r="V178" i="89"/>
  <c r="AK55" i="338" a="1"/>
  <c r="AK55" i="338"/>
  <c r="AK14" i="338" a="1"/>
  <c r="AK14" i="338"/>
  <c r="AJ55" i="338" a="1"/>
  <c r="AJ55" i="338"/>
  <c r="AI55" i="338" a="1"/>
  <c r="AI55" i="338"/>
  <c r="AI14" i="338" a="1"/>
  <c r="AI14" i="338"/>
  <c r="AH55" i="338" a="1"/>
  <c r="AH55" i="338"/>
  <c r="T179" i="89" a="1"/>
  <c r="T179" i="89"/>
  <c r="T178" i="89" a="1"/>
  <c r="T178" i="89"/>
  <c r="L55" i="338" a="1"/>
  <c r="L55" i="338"/>
  <c r="J55" i="338" a="1"/>
  <c r="J55" i="338"/>
  <c r="J14" i="338" a="1"/>
  <c r="J14" i="338"/>
  <c r="H55" i="338" a="1"/>
  <c r="H55" i="338"/>
  <c r="Z179" i="89" a="1"/>
  <c r="Z179" i="89"/>
  <c r="Z178" i="89" a="1"/>
  <c r="Z178" i="89"/>
  <c r="AA179" i="89" a="1"/>
  <c r="AA179" i="89"/>
  <c r="AA178" i="89" a="1"/>
  <c r="AA178" i="89"/>
  <c r="U55" i="338" a="1"/>
  <c r="U55" i="338"/>
  <c r="C179" i="89" a="1"/>
  <c r="C179" i="89"/>
  <c r="C178" i="89" a="1"/>
  <c r="C178" i="89"/>
  <c r="V55" i="338" a="1"/>
  <c r="V55" i="338"/>
  <c r="S55" i="338" a="1"/>
  <c r="S55" i="338"/>
  <c r="P55" i="338" a="1"/>
  <c r="P55" i="338"/>
  <c r="E179" i="89" a="1"/>
  <c r="E179" i="89"/>
  <c r="E178" i="89" a="1"/>
  <c r="E178" i="89"/>
  <c r="S186" i="89" a="1"/>
  <c r="S186" i="89" l="1"/>
  <c r="R186" i="89" a="1"/>
  <c r="R186" i="89" l="1"/>
  <c r="W82" i="89" a="1"/>
  <c r="L82" i="89" a="1"/>
  <c r="K82" i="89" a="1"/>
  <c r="L82" i="89" l="1"/>
  <c r="W82" i="89"/>
  <c r="K82" i="89"/>
  <c r="L14" i="2" a="1"/>
  <c r="L14" i="2" l="1"/>
  <c r="L15" i="2" a="1"/>
  <c r="L15" i="2" l="1"/>
  <c r="S50" i="89" a="1"/>
  <c r="Z9" i="2"/>
  <c r="AV9" i="2" s="1" a="1"/>
  <c r="S13" i="89" a="1"/>
  <c r="S39" i="89" a="1"/>
  <c r="AV9" i="2" l="1"/>
  <c r="S39" i="89"/>
  <c r="S13" i="89"/>
  <c r="S50" i="89"/>
  <c r="R39" i="89" a="1"/>
  <c r="R50" i="89" a="1"/>
  <c r="R13" i="89" a="1"/>
  <c r="I37" i="1" a="1"/>
  <c r="R13" i="89" l="1"/>
  <c r="R50" i="89"/>
  <c r="R39" i="89"/>
  <c r="I37" i="1"/>
  <c r="BA15" i="2" l="1"/>
  <c r="BB15" i="2"/>
  <c r="BA14" i="2"/>
  <c r="H8" i="89"/>
  <c r="G14" i="2" a="1"/>
  <c r="AF15" i="2" a="1"/>
  <c r="P15" i="2" a="1"/>
  <c r="Q14" i="2" a="1"/>
  <c r="AN14" i="2" a="1"/>
  <c r="P14" i="2" a="1"/>
  <c r="G15" i="2" a="1"/>
  <c r="Q15" i="2" a="1"/>
  <c r="AN15" i="2" a="1"/>
  <c r="AF14" i="2" a="1"/>
  <c r="AN14" i="2" l="1"/>
  <c r="AN15" i="2"/>
  <c r="BC15" i="2"/>
  <c r="P14" i="2"/>
  <c r="AF14" i="2"/>
  <c r="P15" i="2"/>
  <c r="G14" i="2"/>
  <c r="G15" i="2"/>
  <c r="Q14" i="2"/>
  <c r="Q15" i="2"/>
  <c r="AF15" i="2"/>
  <c r="BB14" i="2"/>
  <c r="BC14" i="2" s="1"/>
  <c r="S14" i="2" a="1"/>
  <c r="S15" i="2" a="1"/>
  <c r="R14" i="2" l="1"/>
  <c r="S15" i="2"/>
  <c r="U15" i="2" s="1"/>
  <c r="S14" i="2"/>
  <c r="AO14" i="2" s="1"/>
  <c r="O14" i="2"/>
  <c r="R15" i="2"/>
  <c r="O15" i="2"/>
  <c r="Z15" i="2"/>
  <c r="AV15" i="2" s="1" a="1"/>
  <c r="AO15" i="2" l="1"/>
  <c r="AP15" i="2"/>
  <c r="AV15" i="2"/>
  <c r="AP14" i="2"/>
  <c r="U14" i="2"/>
  <c r="AE14" i="2"/>
  <c r="AE15" i="2"/>
  <c r="AT15" i="2"/>
  <c r="AS15" i="2"/>
  <c r="AL15" i="2"/>
  <c r="X15" i="2"/>
  <c r="Y15" i="2" s="1"/>
  <c r="M15" i="2"/>
  <c r="AB15" i="2"/>
  <c r="AM15" i="2"/>
  <c r="AL14" i="2"/>
  <c r="AT14" i="2"/>
  <c r="AS14" i="2"/>
  <c r="M14" i="2"/>
  <c r="AB14" i="2"/>
  <c r="AM14" i="2"/>
  <c r="X14" i="2"/>
  <c r="Y14" i="2" s="1"/>
  <c r="F8" i="89" a="1"/>
  <c r="K8" i="89" a="1"/>
  <c r="W8" i="89" a="1"/>
  <c r="L8" i="89" a="1"/>
  <c r="L8" i="89" l="1"/>
  <c r="K8" i="89"/>
  <c r="W8" i="89"/>
  <c r="F8" i="89"/>
  <c r="K7" i="89" a="1"/>
  <c r="W7" i="89" a="1"/>
  <c r="F7" i="89" a="1"/>
  <c r="L7" i="89" a="1"/>
  <c r="W7" i="89" l="1"/>
  <c r="K7" i="89"/>
  <c r="L7" i="89"/>
  <c r="F7" i="89"/>
  <c r="AN8" i="2" a="1"/>
  <c r="AN8" i="2" l="1"/>
  <c r="BA8" i="2"/>
  <c r="BB8" i="2"/>
  <c r="L8" i="2" a="1"/>
  <c r="P8" i="2" a="1"/>
  <c r="Q8" i="2" a="1"/>
  <c r="G8" i="2" a="1"/>
  <c r="AF8" i="2" a="1"/>
  <c r="L8" i="2" l="1"/>
  <c r="BC8" i="2"/>
  <c r="G8" i="2"/>
  <c r="P8" i="2"/>
  <c r="Q8" i="2"/>
  <c r="AF8" i="2"/>
  <c r="S8" i="2" a="1"/>
  <c r="R8" i="2" l="1"/>
  <c r="S8" i="2"/>
  <c r="AP8" i="2" s="1"/>
  <c r="O8" i="2"/>
  <c r="U8" i="2"/>
  <c r="AO8" i="2"/>
  <c r="AE8" i="2" l="1"/>
  <c r="AT8" i="2"/>
  <c r="AS8" i="2"/>
  <c r="AL8" i="2"/>
  <c r="X8" i="2"/>
  <c r="Y8" i="2" s="1"/>
  <c r="AB8" i="2"/>
  <c r="AM8" i="2"/>
  <c r="M8" i="2"/>
  <c r="K81" i="89"/>
  <c r="F81" i="89"/>
  <c r="L81" i="89"/>
  <c r="S8" i="89" a="1"/>
  <c r="W81" i="89"/>
  <c r="S8" i="89" l="1"/>
  <c r="R8" i="89" a="1"/>
  <c r="R8" i="89" l="1"/>
  <c r="J5" i="2"/>
  <c r="K5" i="2" s="1"/>
  <c r="J6" i="2"/>
  <c r="K6" i="2" s="1"/>
  <c r="J7" i="2"/>
  <c r="K7" i="2" s="1"/>
  <c r="J9" i="2"/>
  <c r="K9" i="2" s="1"/>
  <c r="J10" i="2"/>
  <c r="K10" i="2" s="1"/>
  <c r="J11" i="2"/>
  <c r="K11" i="2" s="1"/>
  <c r="J12" i="2"/>
  <c r="K12" i="2" s="1"/>
  <c r="J13" i="2"/>
  <c r="K13" i="2" s="1"/>
  <c r="J16" i="2"/>
  <c r="K16" i="2" s="1"/>
  <c r="J17" i="2"/>
  <c r="K17" i="2" s="1"/>
  <c r="J18" i="2"/>
  <c r="K18" i="2" s="1"/>
  <c r="J19" i="2"/>
  <c r="K19" i="2" s="1"/>
  <c r="J20" i="2"/>
  <c r="K20" i="2" s="1"/>
  <c r="W188" i="89" a="1"/>
  <c r="F188" i="89" a="1"/>
  <c r="L188" i="89" a="1"/>
  <c r="K188" i="89" a="1"/>
  <c r="K188" i="89" l="1"/>
  <c r="L188" i="89"/>
  <c r="W188" i="89"/>
  <c r="F188" i="89"/>
  <c r="N26" i="1"/>
  <c r="J26" i="1"/>
  <c r="H205" i="89" l="1"/>
  <c r="W203" i="89" a="1"/>
  <c r="K203" i="89" a="1"/>
  <c r="L203" i="89" a="1"/>
  <c r="F203" i="89" a="1"/>
  <c r="L203" i="89" l="1"/>
  <c r="K203" i="89"/>
  <c r="W203" i="89"/>
  <c r="F203" i="89"/>
  <c r="F204" i="89" a="1"/>
  <c r="L211" i="89" a="1"/>
  <c r="K204" i="89" a="1"/>
  <c r="F211" i="89" a="1"/>
  <c r="W211" i="89" a="1"/>
  <c r="W204" i="89" a="1"/>
  <c r="L204" i="89" a="1"/>
  <c r="K211" i="89" a="1"/>
  <c r="Q24" i="1" l="1"/>
  <c r="Q26" i="1"/>
  <c r="T26" i="1" s="1"/>
  <c r="S24" i="1"/>
  <c r="S26" i="1"/>
  <c r="W211" i="89"/>
  <c r="W204" i="89"/>
  <c r="L211" i="89"/>
  <c r="L204" i="89"/>
  <c r="K211" i="89"/>
  <c r="K204" i="89"/>
  <c r="F211" i="89"/>
  <c r="F204" i="89"/>
  <c r="L212" i="89" a="1"/>
  <c r="Z11" i="2"/>
  <c r="AV11" i="2" s="1" a="1"/>
  <c r="S225" i="89" a="1"/>
  <c r="W212" i="89" a="1"/>
  <c r="K212" i="89" a="1"/>
  <c r="F212" i="89" a="1"/>
  <c r="AV11" i="2" l="1"/>
  <c r="S225" i="89"/>
  <c r="K212" i="89"/>
  <c r="F212" i="89"/>
  <c r="L212" i="89"/>
  <c r="W212" i="89"/>
  <c r="R225" i="89" a="1"/>
  <c r="L213" i="89" a="1"/>
  <c r="W213" i="89" a="1"/>
  <c r="L39" i="89" a="1"/>
  <c r="F39" i="89" a="1"/>
  <c r="W39" i="89" a="1"/>
  <c r="K39" i="89" a="1"/>
  <c r="F213" i="89" a="1"/>
  <c r="K213" i="89" a="1"/>
  <c r="R225" i="89" l="1"/>
  <c r="L213" i="89"/>
  <c r="K39" i="89"/>
  <c r="W39" i="89"/>
  <c r="K213" i="89"/>
  <c r="L39" i="89"/>
  <c r="F213" i="89"/>
  <c r="F39" i="89"/>
  <c r="W213" i="89"/>
  <c r="H50" i="89" l="1"/>
  <c r="W49" i="89" a="1"/>
  <c r="L49" i="89" a="1"/>
  <c r="W50" i="89" a="1"/>
  <c r="F50" i="89" a="1"/>
  <c r="K49" i="89" a="1"/>
  <c r="K50" i="89" a="1"/>
  <c r="L50" i="89" a="1"/>
  <c r="F49" i="89" a="1"/>
  <c r="W49" i="89" l="1"/>
  <c r="F49" i="89"/>
  <c r="K49" i="89"/>
  <c r="L49" i="89"/>
  <c r="F50" i="89"/>
  <c r="K50" i="89"/>
  <c r="L50" i="89"/>
  <c r="W50" i="89"/>
  <c r="I24" i="2"/>
  <c r="K34" i="89" a="1"/>
  <c r="F33" i="89" a="1"/>
  <c r="W34" i="89" a="1"/>
  <c r="F34" i="89" a="1"/>
  <c r="L33" i="89" a="1"/>
  <c r="W33" i="89" a="1"/>
  <c r="K33" i="89" a="1"/>
  <c r="L34" i="89" a="1"/>
  <c r="L33" i="89" l="1"/>
  <c r="L34" i="89"/>
  <c r="W34" i="89"/>
  <c r="W33" i="89"/>
  <c r="F34" i="89"/>
  <c r="K34" i="89"/>
  <c r="K33" i="89"/>
  <c r="F33" i="89"/>
  <c r="J18" i="1" l="1"/>
  <c r="I23" i="2" l="1"/>
  <c r="K24" i="2" l="1"/>
  <c r="J24" i="2"/>
  <c r="K23" i="2"/>
  <c r="J23" i="2"/>
  <c r="J24" i="1" l="1"/>
  <c r="N24" i="1" l="1"/>
  <c r="T24" i="1" s="1"/>
  <c r="AF20" i="2" a="1"/>
  <c r="AN9" i="2" a="1"/>
  <c r="P11" i="2" a="1"/>
  <c r="L7" i="2" a="1"/>
  <c r="L4" i="2" a="1"/>
  <c r="Q10" i="2" a="1"/>
  <c r="P6" i="2" a="1"/>
  <c r="G20" i="2" a="1"/>
  <c r="AN7" i="2" a="1"/>
  <c r="L12" i="2" a="1"/>
  <c r="AN13" i="2" a="1"/>
  <c r="P4" i="2" a="1"/>
  <c r="Q4" i="2" a="1"/>
  <c r="AN18" i="2" a="1"/>
  <c r="AN12" i="2" a="1"/>
  <c r="L18" i="2" a="1"/>
  <c r="AN4" i="2" a="1"/>
  <c r="AN19" i="2" a="1"/>
  <c r="L13" i="2" a="1"/>
  <c r="G6" i="2" a="1"/>
  <c r="Q7" i="2" a="1"/>
  <c r="G19" i="2" a="1"/>
  <c r="G7" i="2" a="1"/>
  <c r="L16" i="2" a="1"/>
  <c r="L6" i="2" a="1"/>
  <c r="P19" i="2" a="1"/>
  <c r="L5" i="2" a="1"/>
  <c r="AF6" i="2" a="1"/>
  <c r="AF10" i="2" a="1"/>
  <c r="L10" i="2" a="1"/>
  <c r="L9" i="2" a="1"/>
  <c r="P7" i="2" a="1"/>
  <c r="AN20" i="2" a="1"/>
  <c r="AF4" i="2" a="1"/>
  <c r="L20" i="2" a="1"/>
  <c r="P10" i="2" a="1"/>
  <c r="P20" i="2" a="1"/>
  <c r="AF11" i="2" a="1"/>
  <c r="AN6" i="2" a="1"/>
  <c r="G4" i="2" a="1"/>
  <c r="G10" i="2" a="1"/>
  <c r="Q6" i="2" a="1"/>
  <c r="AF19" i="2" a="1"/>
  <c r="AN16" i="2" a="1"/>
  <c r="Q11" i="2" a="1"/>
  <c r="L19" i="2" a="1"/>
  <c r="L11" i="2" a="1"/>
  <c r="L2" i="2" a="1"/>
  <c r="Q19" i="2" a="1"/>
  <c r="AN10" i="2" a="1"/>
  <c r="Q20" i="2" a="1"/>
  <c r="AF7" i="2" a="1"/>
  <c r="G11" i="2" a="1"/>
  <c r="AN11" i="2" a="1"/>
  <c r="AN5" i="2" a="1"/>
  <c r="AN18" i="2" l="1"/>
  <c r="L10" i="2"/>
  <c r="AN6" i="2"/>
  <c r="AN11" i="2"/>
  <c r="AN16" i="2"/>
  <c r="G7" i="2"/>
  <c r="L20" i="2"/>
  <c r="Q11" i="2"/>
  <c r="P11" i="2"/>
  <c r="AN5" i="2"/>
  <c r="P6" i="2"/>
  <c r="AN7" i="2"/>
  <c r="AN4" i="2"/>
  <c r="AF11" i="2"/>
  <c r="L6" i="2"/>
  <c r="Q19" i="2"/>
  <c r="G11" i="2"/>
  <c r="G10" i="2"/>
  <c r="G20" i="2"/>
  <c r="L16" i="2"/>
  <c r="AN10" i="2"/>
  <c r="AF7" i="2"/>
  <c r="AF4" i="2"/>
  <c r="AF19" i="2"/>
  <c r="L11" i="2"/>
  <c r="L19" i="2"/>
  <c r="L13" i="2"/>
  <c r="AF10" i="2"/>
  <c r="Q7" i="2"/>
  <c r="Q4" i="2"/>
  <c r="P20" i="2"/>
  <c r="Q6" i="2"/>
  <c r="AN19" i="2"/>
  <c r="L5" i="2"/>
  <c r="P19" i="2"/>
  <c r="AN9" i="2"/>
  <c r="AN20" i="2"/>
  <c r="L2" i="2"/>
  <c r="L18" i="2"/>
  <c r="G6" i="2"/>
  <c r="AN13" i="2"/>
  <c r="L9" i="2"/>
  <c r="G19" i="2"/>
  <c r="AN12" i="2"/>
  <c r="Q10" i="2"/>
  <c r="P7" i="2"/>
  <c r="P4" i="2"/>
  <c r="AF20" i="2"/>
  <c r="G4" i="2"/>
  <c r="AF6" i="2"/>
  <c r="Q20" i="2"/>
  <c r="L12" i="2"/>
  <c r="P10" i="2"/>
  <c r="L7" i="2"/>
  <c r="L4" i="2"/>
  <c r="Q40" i="531"/>
  <c r="R40" i="531"/>
  <c r="S40" i="531"/>
  <c r="T40" i="531"/>
  <c r="P40" i="531"/>
  <c r="T45" i="531"/>
  <c r="S45" i="531"/>
  <c r="R45" i="531"/>
  <c r="Q45" i="531"/>
  <c r="P45" i="531"/>
  <c r="P23" i="2" l="1"/>
  <c r="Q23" i="2"/>
  <c r="L24" i="2"/>
  <c r="L23" i="2"/>
  <c r="S188" i="89" a="1"/>
  <c r="S188" i="89" l="1"/>
  <c r="R188" i="89" a="1"/>
  <c r="R188" i="89" l="1"/>
  <c r="BA9" i="2"/>
  <c r="BB9" i="2"/>
  <c r="H27" i="89"/>
  <c r="P9" i="2" a="1"/>
  <c r="G9" i="2" a="1"/>
  <c r="Q9" i="2" a="1"/>
  <c r="AF9" i="2" a="1"/>
  <c r="BC9" i="2" l="1"/>
  <c r="P9" i="2"/>
  <c r="AF9" i="2"/>
  <c r="G9" i="2"/>
  <c r="Q9" i="2"/>
  <c r="S9" i="2" a="1"/>
  <c r="R9" i="2" l="1"/>
  <c r="S9" i="2"/>
  <c r="U9" i="2" s="1"/>
  <c r="O9" i="2"/>
  <c r="AO9" i="2" l="1"/>
  <c r="AP9" i="2"/>
  <c r="AE9" i="2"/>
  <c r="AT9" i="2"/>
  <c r="AS9" i="2"/>
  <c r="AL9" i="2"/>
  <c r="M9" i="2"/>
  <c r="AB9" i="2"/>
  <c r="J17" i="531" s="1"/>
  <c r="X9" i="2"/>
  <c r="Y9" i="2" s="1"/>
  <c r="AM9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L171" i="89" a="1"/>
  <c r="F171" i="89" a="1"/>
  <c r="K171" i="89" a="1"/>
  <c r="W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27" i="531"/>
  <c r="H42" i="531"/>
  <c r="H8" i="531"/>
  <c r="F8" i="531"/>
  <c r="H34" i="89" l="1"/>
  <c r="H40" i="89" l="1"/>
  <c r="L40" i="89" a="1"/>
  <c r="K40" i="89" a="1"/>
  <c r="W40" i="89" a="1"/>
  <c r="F40" i="89" a="1"/>
  <c r="L40" i="89" l="1"/>
  <c r="K40" i="89"/>
  <c r="F40" i="89"/>
  <c r="W40" i="89"/>
  <c r="BA6" i="2" l="1"/>
  <c r="S33" i="89"/>
  <c r="R33" i="89" s="1" a="1"/>
  <c r="R33" i="89" l="1"/>
  <c r="BB6" i="2"/>
  <c r="BC6" i="2" s="1"/>
  <c r="S6" i="2" a="1"/>
  <c r="S6" i="2" l="1"/>
  <c r="AP6" i="2" s="1"/>
  <c r="O6" i="2"/>
  <c r="R6" i="2"/>
  <c r="S7" i="89" a="1"/>
  <c r="Z6" i="2"/>
  <c r="AV6" i="2" s="1" a="1"/>
  <c r="S14" i="89" a="1"/>
  <c r="S26" i="89" a="1"/>
  <c r="S180" i="89" a="1"/>
  <c r="S81" i="89" a="1"/>
  <c r="AV6" i="2" l="1"/>
  <c r="S7" i="89"/>
  <c r="S26" i="89"/>
  <c r="S180" i="89"/>
  <c r="S81" i="89"/>
  <c r="AE6" i="2"/>
  <c r="S14" i="89"/>
  <c r="AO6" i="2"/>
  <c r="U6" i="2"/>
  <c r="AS6" i="2"/>
  <c r="AT6" i="2"/>
  <c r="AL6" i="2"/>
  <c r="M6" i="2"/>
  <c r="AM6" i="2"/>
  <c r="X6" i="2"/>
  <c r="Y6" i="2" s="1"/>
  <c r="AB6" i="2"/>
  <c r="R7" i="89" a="1"/>
  <c r="R26" i="89" a="1"/>
  <c r="R180" i="89" a="1"/>
  <c r="R81" i="89" a="1"/>
  <c r="R14" i="89" a="1"/>
  <c r="R14" i="89" l="1"/>
  <c r="R81" i="89"/>
  <c r="R180" i="89"/>
  <c r="R26" i="89"/>
  <c r="R7" i="89"/>
  <c r="J4" i="2"/>
  <c r="K4" i="2" s="1"/>
  <c r="N31" i="1" l="1"/>
  <c r="J31" i="1"/>
  <c r="C67" i="54" l="1"/>
  <c r="C73" i="54"/>
  <c r="C72" i="54"/>
  <c r="I50" i="54" a="1"/>
  <c r="S34" i="89"/>
  <c r="R34" i="89" s="1" a="1"/>
  <c r="R34" i="89" l="1"/>
  <c r="I50" i="54"/>
  <c r="Q30" i="1" l="1"/>
  <c r="S30" i="1"/>
  <c r="Q31" i="1"/>
  <c r="S31" i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102" i="89" a="1"/>
  <c r="S237" i="89" a="1"/>
  <c r="S27" i="89" a="1"/>
  <c r="S27" i="89" l="1"/>
  <c r="S102" i="89"/>
  <c r="S237" i="89"/>
  <c r="T31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237" i="89" a="1"/>
  <c r="R237" i="89" l="1"/>
  <c r="R27" i="89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5" i="415" s="1"/>
  <c r="D44" i="415"/>
  <c r="C44" i="415"/>
  <c r="E44" i="415" s="1"/>
  <c r="D43" i="415"/>
  <c r="C43" i="415"/>
  <c r="D42" i="415"/>
  <c r="C42" i="415"/>
  <c r="D17" i="415"/>
  <c r="C17" i="415"/>
  <c r="D16" i="415"/>
  <c r="C16" i="415"/>
  <c r="E16" i="415" s="1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23" i="385" s="1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Q83" i="385"/>
  <c r="P83" i="385"/>
  <c r="R83" i="385" s="1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S82" i="385" s="1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S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S80" i="385" s="1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S79" i="385" s="1"/>
  <c r="M79" i="385"/>
  <c r="L79" i="385"/>
  <c r="K79" i="385"/>
  <c r="J79" i="385"/>
  <c r="H79" i="385"/>
  <c r="G79" i="385"/>
  <c r="F79" i="385"/>
  <c r="E79" i="385"/>
  <c r="D79" i="385"/>
  <c r="C79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M54" i="385"/>
  <c r="L54" i="385"/>
  <c r="K54" i="385"/>
  <c r="J54" i="385"/>
  <c r="H54" i="385"/>
  <c r="G54" i="385"/>
  <c r="F54" i="385"/>
  <c r="E54" i="385"/>
  <c r="D54" i="385"/>
  <c r="C54" i="385"/>
  <c r="M53" i="385"/>
  <c r="L53" i="385"/>
  <c r="K53" i="385"/>
  <c r="J53" i="385"/>
  <c r="H53" i="385"/>
  <c r="G53" i="385"/>
  <c r="F53" i="385"/>
  <c r="E53" i="385"/>
  <c r="D53" i="385"/>
  <c r="C53" i="385"/>
  <c r="Q52" i="385"/>
  <c r="M52" i="385"/>
  <c r="L52" i="385"/>
  <c r="K52" i="385"/>
  <c r="J52" i="385"/>
  <c r="H52" i="385"/>
  <c r="G52" i="385"/>
  <c r="F52" i="385"/>
  <c r="E52" i="385"/>
  <c r="D52" i="385"/>
  <c r="C52" i="385"/>
  <c r="Q51" i="385"/>
  <c r="L51" i="385"/>
  <c r="K51" i="385"/>
  <c r="G51" i="385"/>
  <c r="F51" i="385"/>
  <c r="M51" i="385" s="1"/>
  <c r="D51" i="385"/>
  <c r="C51" i="385"/>
  <c r="Q50" i="385"/>
  <c r="L50" i="385"/>
  <c r="K50" i="385"/>
  <c r="G50" i="385"/>
  <c r="F50" i="385"/>
  <c r="D50" i="385"/>
  <c r="C50" i="385"/>
  <c r="Q49" i="385"/>
  <c r="L49" i="385"/>
  <c r="K49" i="385"/>
  <c r="H49" i="385"/>
  <c r="G49" i="385"/>
  <c r="F49" i="385"/>
  <c r="D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P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G54" i="54"/>
  <c r="E54" i="54"/>
  <c r="F53" i="54"/>
  <c r="F52" i="54"/>
  <c r="I51" i="54"/>
  <c r="H51" i="54"/>
  <c r="S20" i="89" a="1"/>
  <c r="S233" i="89" a="1"/>
  <c r="S55" i="89" a="1"/>
  <c r="S235" i="89" a="1"/>
  <c r="F54" i="54" l="1"/>
  <c r="R75" i="385"/>
  <c r="R72" i="385"/>
  <c r="S77" i="385"/>
  <c r="S74" i="385"/>
  <c r="S78" i="385"/>
  <c r="E51" i="385"/>
  <c r="M49" i="385"/>
  <c r="E49" i="385" s="1"/>
  <c r="R76" i="385"/>
  <c r="R73" i="385"/>
  <c r="M50" i="385"/>
  <c r="S73" i="385"/>
  <c r="R78" i="385"/>
  <c r="R81" i="385"/>
  <c r="R74" i="385"/>
  <c r="S76" i="385"/>
  <c r="S72" i="385"/>
  <c r="R82" i="385"/>
  <c r="S75" i="385"/>
  <c r="R77" i="385"/>
  <c r="R79" i="385"/>
  <c r="R80" i="385"/>
  <c r="E50" i="385"/>
  <c r="H50" i="385"/>
  <c r="H51" i="385"/>
  <c r="F26" i="385"/>
  <c r="I84" i="385"/>
  <c r="F37" i="385"/>
  <c r="E17" i="415"/>
  <c r="L19" i="385"/>
  <c r="K45" i="385"/>
  <c r="L26" i="385"/>
  <c r="L32" i="385"/>
  <c r="L34" i="385"/>
  <c r="L12" i="385"/>
  <c r="E10" i="415"/>
  <c r="L48" i="385"/>
  <c r="E14" i="415"/>
  <c r="L41" i="385"/>
  <c r="L24" i="385"/>
  <c r="L46" i="385"/>
  <c r="L14" i="385"/>
  <c r="I166" i="385"/>
  <c r="I162" i="385"/>
  <c r="I94" i="385"/>
  <c r="F48" i="385"/>
  <c r="I88" i="385"/>
  <c r="I182" i="385"/>
  <c r="G44" i="385"/>
  <c r="F44" i="385"/>
  <c r="D15" i="385"/>
  <c r="P6" i="385"/>
  <c r="R6" i="385" s="1"/>
  <c r="I69" i="385"/>
  <c r="G12" i="385"/>
  <c r="I98" i="385"/>
  <c r="F11" i="385"/>
  <c r="D25" i="385"/>
  <c r="P30" i="385"/>
  <c r="D36" i="385"/>
  <c r="I44" i="385"/>
  <c r="P61" i="385"/>
  <c r="I90" i="385"/>
  <c r="G22" i="385"/>
  <c r="G33" i="385"/>
  <c r="P41" i="385"/>
  <c r="S41" i="385" s="1"/>
  <c r="D47" i="385"/>
  <c r="I49" i="385"/>
  <c r="J49" i="385" s="1"/>
  <c r="I66" i="385"/>
  <c r="I8" i="385"/>
  <c r="G11" i="385"/>
  <c r="D14" i="385"/>
  <c r="I22" i="385"/>
  <c r="F25" i="385"/>
  <c r="I33" i="385"/>
  <c r="F36" i="385"/>
  <c r="H36" i="385" s="1"/>
  <c r="D39" i="385"/>
  <c r="P44" i="385"/>
  <c r="R44" i="385" s="1"/>
  <c r="F47" i="385"/>
  <c r="I63" i="385"/>
  <c r="I138" i="385"/>
  <c r="P5" i="385"/>
  <c r="I11" i="385"/>
  <c r="G36" i="385"/>
  <c r="F39" i="385"/>
  <c r="G47" i="385"/>
  <c r="I60" i="385"/>
  <c r="I158" i="385"/>
  <c r="P8" i="385"/>
  <c r="S8" i="385" s="1"/>
  <c r="G14" i="385"/>
  <c r="D42" i="385"/>
  <c r="I103" i="385"/>
  <c r="I127" i="385"/>
  <c r="I139" i="385"/>
  <c r="I155" i="385"/>
  <c r="I163" i="385"/>
  <c r="I167" i="385"/>
  <c r="I171" i="385"/>
  <c r="I175" i="385"/>
  <c r="I179" i="385"/>
  <c r="I183" i="385"/>
  <c r="I187" i="385"/>
  <c r="I191" i="385"/>
  <c r="I74" i="385"/>
  <c r="I134" i="385"/>
  <c r="I178" i="385"/>
  <c r="F14" i="385"/>
  <c r="D28" i="385"/>
  <c r="D6" i="385"/>
  <c r="G39" i="385"/>
  <c r="I57" i="385"/>
  <c r="I83" i="385"/>
  <c r="I99" i="385"/>
  <c r="I115" i="385"/>
  <c r="I131" i="385"/>
  <c r="I135" i="385"/>
  <c r="I143" i="385"/>
  <c r="I147" i="385"/>
  <c r="I159" i="385"/>
  <c r="I14" i="385"/>
  <c r="G17" i="385"/>
  <c r="D20" i="385"/>
  <c r="P25" i="385"/>
  <c r="R25" i="385" s="1"/>
  <c r="G28" i="385"/>
  <c r="F31" i="385"/>
  <c r="P36" i="385"/>
  <c r="R36" i="385" s="1"/>
  <c r="I39" i="385"/>
  <c r="F42" i="385"/>
  <c r="D45" i="385"/>
  <c r="P47" i="385"/>
  <c r="R47" i="385" s="1"/>
  <c r="P52" i="385"/>
  <c r="R52" i="385" s="1"/>
  <c r="I54" i="385"/>
  <c r="P69" i="385"/>
  <c r="R69" i="385" s="1"/>
  <c r="I34" i="385"/>
  <c r="I110" i="385"/>
  <c r="G8" i="385"/>
  <c r="D17" i="385"/>
  <c r="F28" i="385"/>
  <c r="I36" i="385"/>
  <c r="I75" i="385"/>
  <c r="I87" i="385"/>
  <c r="I95" i="385"/>
  <c r="I111" i="385"/>
  <c r="I123" i="385"/>
  <c r="F6" i="385"/>
  <c r="D9" i="385"/>
  <c r="P14" i="385"/>
  <c r="R14" i="385" s="1"/>
  <c r="I17" i="385"/>
  <c r="F20" i="385"/>
  <c r="D23" i="385"/>
  <c r="I28" i="385"/>
  <c r="G31" i="385"/>
  <c r="D34" i="385"/>
  <c r="P39" i="385"/>
  <c r="G42" i="385"/>
  <c r="F45" i="385"/>
  <c r="P49" i="385"/>
  <c r="S49" i="385" s="1"/>
  <c r="P66" i="385"/>
  <c r="R66" i="385" s="1"/>
  <c r="I71" i="385"/>
  <c r="I126" i="385"/>
  <c r="F17" i="385"/>
  <c r="J17" i="385" s="1"/>
  <c r="D31" i="385"/>
  <c r="I47" i="385"/>
  <c r="I79" i="385"/>
  <c r="I91" i="385"/>
  <c r="I107" i="385"/>
  <c r="I119" i="385"/>
  <c r="I151" i="385"/>
  <c r="G6" i="385"/>
  <c r="F9" i="385"/>
  <c r="D12" i="385"/>
  <c r="G20" i="385"/>
  <c r="F23" i="385"/>
  <c r="P28" i="385"/>
  <c r="I31" i="385"/>
  <c r="F34" i="385"/>
  <c r="J34" i="385" s="1"/>
  <c r="I42" i="385"/>
  <c r="G45" i="385"/>
  <c r="I51" i="385"/>
  <c r="J51" i="385" s="1"/>
  <c r="P63" i="385"/>
  <c r="S63" i="385" s="1"/>
  <c r="I68" i="385"/>
  <c r="I9" i="385"/>
  <c r="I82" i="385"/>
  <c r="I150" i="385"/>
  <c r="I190" i="385"/>
  <c r="G25" i="385"/>
  <c r="P33" i="385"/>
  <c r="S33" i="385" s="1"/>
  <c r="P11" i="385"/>
  <c r="R11" i="385" s="1"/>
  <c r="I25" i="385"/>
  <c r="I6" i="385"/>
  <c r="G9" i="385"/>
  <c r="F12" i="385"/>
  <c r="I20" i="385"/>
  <c r="G23" i="385"/>
  <c r="D26" i="385"/>
  <c r="P31" i="385"/>
  <c r="G34" i="385"/>
  <c r="D37" i="385"/>
  <c r="P42" i="385"/>
  <c r="R42" i="385" s="1"/>
  <c r="I45" i="385"/>
  <c r="J45" i="385" s="1"/>
  <c r="D48" i="385"/>
  <c r="P60" i="385"/>
  <c r="S60" i="385" s="1"/>
  <c r="I65" i="385"/>
  <c r="I118" i="385"/>
  <c r="G37" i="385"/>
  <c r="F40" i="385"/>
  <c r="P45" i="385"/>
  <c r="R45" i="385" s="1"/>
  <c r="G48" i="385"/>
  <c r="I59" i="385"/>
  <c r="I106" i="385"/>
  <c r="I12" i="385"/>
  <c r="P34" i="385"/>
  <c r="S34" i="385" s="1"/>
  <c r="I37" i="385"/>
  <c r="G40" i="385"/>
  <c r="D43" i="385"/>
  <c r="I48" i="385"/>
  <c r="I56" i="385"/>
  <c r="P71" i="385"/>
  <c r="S71" i="385" s="1"/>
  <c r="I102" i="385"/>
  <c r="F18" i="385"/>
  <c r="F32" i="385"/>
  <c r="P37" i="385"/>
  <c r="R37" i="385" s="1"/>
  <c r="I40" i="385"/>
  <c r="F43" i="385"/>
  <c r="P51" i="385"/>
  <c r="S51" i="385" s="1"/>
  <c r="P68" i="385"/>
  <c r="R68" i="385" s="1"/>
  <c r="I78" i="385"/>
  <c r="F29" i="385"/>
  <c r="D21" i="385"/>
  <c r="G43" i="385"/>
  <c r="D46" i="385"/>
  <c r="P48" i="385"/>
  <c r="S48" i="385" s="1"/>
  <c r="I53" i="385"/>
  <c r="P65" i="385"/>
  <c r="S65" i="385" s="1"/>
  <c r="I70" i="385"/>
  <c r="F15" i="385"/>
  <c r="D7" i="385"/>
  <c r="I15" i="385"/>
  <c r="G7" i="385"/>
  <c r="I43" i="385"/>
  <c r="I81" i="385"/>
  <c r="I117" i="385"/>
  <c r="I141" i="385"/>
  <c r="I161" i="385"/>
  <c r="I173" i="385"/>
  <c r="I177" i="385"/>
  <c r="I181" i="385"/>
  <c r="I185" i="385"/>
  <c r="I189" i="385"/>
  <c r="I130" i="385"/>
  <c r="G15" i="385"/>
  <c r="D32" i="385"/>
  <c r="P12" i="385"/>
  <c r="S12" i="385" s="1"/>
  <c r="F21" i="385"/>
  <c r="I29" i="385"/>
  <c r="F46" i="385"/>
  <c r="I73" i="385"/>
  <c r="I85" i="385"/>
  <c r="I105" i="385"/>
  <c r="I125" i="385"/>
  <c r="I133" i="385"/>
  <c r="I153" i="385"/>
  <c r="I169" i="385"/>
  <c r="G24" i="385"/>
  <c r="H24" i="385" s="1"/>
  <c r="G46" i="385"/>
  <c r="I64" i="385"/>
  <c r="I10" i="385"/>
  <c r="F13" i="385"/>
  <c r="D16" i="385"/>
  <c r="I24" i="385"/>
  <c r="D27" i="385"/>
  <c r="P32" i="385"/>
  <c r="S32" i="385" s="1"/>
  <c r="G35" i="385"/>
  <c r="F38" i="385"/>
  <c r="D41" i="385"/>
  <c r="I61" i="385"/>
  <c r="I23" i="385"/>
  <c r="I86" i="385"/>
  <c r="I122" i="385"/>
  <c r="I142" i="385"/>
  <c r="I154" i="385"/>
  <c r="I170" i="385"/>
  <c r="I186" i="385"/>
  <c r="D29" i="385"/>
  <c r="I26" i="385"/>
  <c r="G32" i="385"/>
  <c r="G21" i="385"/>
  <c r="D35" i="385"/>
  <c r="I50" i="385"/>
  <c r="J50" i="385" s="1"/>
  <c r="I67" i="385"/>
  <c r="I77" i="385"/>
  <c r="I93" i="385"/>
  <c r="I97" i="385"/>
  <c r="I101" i="385"/>
  <c r="I113" i="385"/>
  <c r="I129" i="385"/>
  <c r="I137" i="385"/>
  <c r="I145" i="385"/>
  <c r="I149" i="385"/>
  <c r="I157" i="385"/>
  <c r="I165" i="385"/>
  <c r="I7" i="385"/>
  <c r="D13" i="385"/>
  <c r="I21" i="385"/>
  <c r="F35" i="385"/>
  <c r="D38" i="385"/>
  <c r="P43" i="385"/>
  <c r="R43" i="385" s="1"/>
  <c r="P7" i="385"/>
  <c r="S7" i="385" s="1"/>
  <c r="D5" i="385"/>
  <c r="P10" i="385"/>
  <c r="S10" i="385" s="1"/>
  <c r="G13" i="385"/>
  <c r="F16" i="385"/>
  <c r="D19" i="385"/>
  <c r="F27" i="385"/>
  <c r="D30" i="385"/>
  <c r="I35" i="385"/>
  <c r="G38" i="385"/>
  <c r="F41" i="385"/>
  <c r="I46" i="385"/>
  <c r="I58" i="385"/>
  <c r="D40" i="385"/>
  <c r="I146" i="385"/>
  <c r="I174" i="385"/>
  <c r="P9" i="385"/>
  <c r="S9" i="385" s="1"/>
  <c r="G18" i="385"/>
  <c r="D10" i="385"/>
  <c r="D24" i="385"/>
  <c r="F24" i="385"/>
  <c r="I32" i="385"/>
  <c r="P62" i="385"/>
  <c r="S62" i="385" s="1"/>
  <c r="I89" i="385"/>
  <c r="I109" i="385"/>
  <c r="I121" i="385"/>
  <c r="G10" i="385"/>
  <c r="F5" i="385"/>
  <c r="I13" i="385"/>
  <c r="J13" i="385" s="1"/>
  <c r="G16" i="385"/>
  <c r="F19" i="385"/>
  <c r="G27" i="385"/>
  <c r="F30" i="385"/>
  <c r="P35" i="385"/>
  <c r="R35" i="385" s="1"/>
  <c r="I38" i="385"/>
  <c r="G41" i="385"/>
  <c r="D44" i="385"/>
  <c r="P46" i="385"/>
  <c r="S46" i="385" s="1"/>
  <c r="P53" i="385"/>
  <c r="I55" i="385"/>
  <c r="P70" i="385"/>
  <c r="R70" i="385" s="1"/>
  <c r="I62" i="385"/>
  <c r="I114" i="385"/>
  <c r="D18" i="385"/>
  <c r="F7" i="385"/>
  <c r="I18" i="385"/>
  <c r="P26" i="385"/>
  <c r="R26" i="385" s="1"/>
  <c r="P40" i="385"/>
  <c r="S40" i="385" s="1"/>
  <c r="G5" i="385"/>
  <c r="P13" i="385"/>
  <c r="S13" i="385" s="1"/>
  <c r="I16" i="385"/>
  <c r="D33" i="385"/>
  <c r="P38" i="385"/>
  <c r="R38" i="385" s="1"/>
  <c r="I41" i="385"/>
  <c r="P50" i="385"/>
  <c r="S50" i="385" s="1"/>
  <c r="I72" i="385"/>
  <c r="I80" i="385"/>
  <c r="I92" i="385"/>
  <c r="I96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G26" i="385"/>
  <c r="H26" i="385" s="1"/>
  <c r="G29" i="385"/>
  <c r="H29" i="385" s="1"/>
  <c r="P15" i="385"/>
  <c r="S15" i="385" s="1"/>
  <c r="F10" i="385"/>
  <c r="P29" i="385"/>
  <c r="S29" i="385" s="1"/>
  <c r="D8" i="385"/>
  <c r="G19" i="385"/>
  <c r="D22" i="385"/>
  <c r="I27" i="385"/>
  <c r="G30" i="385"/>
  <c r="P67" i="385"/>
  <c r="R67" i="385" s="1"/>
  <c r="I76" i="385"/>
  <c r="I100" i="385"/>
  <c r="I5" i="385"/>
  <c r="F8" i="385"/>
  <c r="D11" i="385"/>
  <c r="I19" i="385"/>
  <c r="F22" i="385"/>
  <c r="H22" i="385" s="1"/>
  <c r="P27" i="385"/>
  <c r="R27" i="385" s="1"/>
  <c r="I30" i="385"/>
  <c r="F33" i="385"/>
  <c r="I52" i="385"/>
  <c r="P64" i="385"/>
  <c r="S64" i="385" s="1"/>
  <c r="K5" i="385"/>
  <c r="K34" i="385"/>
  <c r="E43" i="415"/>
  <c r="L17" i="385"/>
  <c r="C49" i="415"/>
  <c r="K10" i="385"/>
  <c r="L39" i="385"/>
  <c r="K44" i="385"/>
  <c r="K46" i="385"/>
  <c r="L10" i="385"/>
  <c r="K15" i="385"/>
  <c r="L27" i="385"/>
  <c r="K32" i="385"/>
  <c r="L15" i="385"/>
  <c r="L37" i="385"/>
  <c r="D51" i="415"/>
  <c r="K8" i="385"/>
  <c r="L8" i="385"/>
  <c r="K13" i="385"/>
  <c r="L25" i="385"/>
  <c r="K30" i="385"/>
  <c r="C52" i="415"/>
  <c r="K17" i="385"/>
  <c r="K37" i="385"/>
  <c r="K6" i="385"/>
  <c r="L30" i="385"/>
  <c r="K35" i="385"/>
  <c r="D52" i="415"/>
  <c r="L6" i="385"/>
  <c r="L18" i="385"/>
  <c r="K23" i="385"/>
  <c r="M23" i="385" s="1"/>
  <c r="E23" i="385" s="1"/>
  <c r="L35" i="385"/>
  <c r="L47" i="385"/>
  <c r="K28" i="385"/>
  <c r="L45" i="385"/>
  <c r="C23" i="415"/>
  <c r="L16" i="385"/>
  <c r="L28" i="385"/>
  <c r="D23" i="415"/>
  <c r="K21" i="385"/>
  <c r="K43" i="385"/>
  <c r="C26" i="415"/>
  <c r="K14" i="385"/>
  <c r="L21" i="385"/>
  <c r="K26" i="385"/>
  <c r="L38" i="385"/>
  <c r="L43" i="385"/>
  <c r="C7" i="415"/>
  <c r="D32" i="415"/>
  <c r="C33" i="415"/>
  <c r="D33" i="415"/>
  <c r="L7" i="385"/>
  <c r="K12" i="385"/>
  <c r="M12" i="385" s="1"/>
  <c r="E12" i="385" s="1"/>
  <c r="K19" i="385"/>
  <c r="K24" i="385"/>
  <c r="L36" i="385"/>
  <c r="K41" i="385"/>
  <c r="K48" i="385"/>
  <c r="E11" i="415"/>
  <c r="C36" i="415"/>
  <c r="C21" i="415"/>
  <c r="D30" i="415"/>
  <c r="D40" i="415"/>
  <c r="D49" i="415"/>
  <c r="L5" i="385"/>
  <c r="K16" i="385"/>
  <c r="K25" i="385"/>
  <c r="K36" i="385"/>
  <c r="K47" i="385"/>
  <c r="E12" i="415"/>
  <c r="D21" i="415"/>
  <c r="C31" i="415"/>
  <c r="C50" i="415"/>
  <c r="C22" i="415"/>
  <c r="D31" i="415"/>
  <c r="C41" i="415"/>
  <c r="D50" i="415"/>
  <c r="E13" i="415"/>
  <c r="D22" i="415"/>
  <c r="C32" i="415"/>
  <c r="D41" i="415"/>
  <c r="C51" i="415"/>
  <c r="C5" i="415"/>
  <c r="E15" i="415"/>
  <c r="C24" i="415"/>
  <c r="C34" i="415"/>
  <c r="C53" i="415"/>
  <c r="K39" i="385"/>
  <c r="D5" i="415"/>
  <c r="D24" i="415"/>
  <c r="D34" i="415"/>
  <c r="D53" i="415"/>
  <c r="C6" i="415"/>
  <c r="C25" i="415"/>
  <c r="C35" i="415"/>
  <c r="C54" i="415"/>
  <c r="D6" i="415"/>
  <c r="D25" i="415"/>
  <c r="D35" i="415"/>
  <c r="D54" i="415"/>
  <c r="D7" i="415"/>
  <c r="D26" i="415"/>
  <c r="E26" i="415" s="1"/>
  <c r="D36" i="415"/>
  <c r="C8" i="415"/>
  <c r="C18" i="415"/>
  <c r="C27" i="415"/>
  <c r="C37" i="415"/>
  <c r="C46" i="415"/>
  <c r="D8" i="415"/>
  <c r="D18" i="415"/>
  <c r="D27" i="415"/>
  <c r="D37" i="415"/>
  <c r="D46" i="415"/>
  <c r="K11" i="385"/>
  <c r="C9" i="415"/>
  <c r="C19" i="415"/>
  <c r="C28" i="415"/>
  <c r="C38" i="415"/>
  <c r="C47" i="415"/>
  <c r="E42" i="415"/>
  <c r="L13" i="385"/>
  <c r="K42" i="385"/>
  <c r="L11" i="385"/>
  <c r="L42" i="385"/>
  <c r="D9" i="415"/>
  <c r="D19" i="415"/>
  <c r="D28" i="415"/>
  <c r="D38" i="415"/>
  <c r="D47" i="415"/>
  <c r="L44" i="385"/>
  <c r="K22" i="385"/>
  <c r="L22" i="385"/>
  <c r="K9" i="385"/>
  <c r="K20" i="385"/>
  <c r="L31" i="385"/>
  <c r="K40" i="385"/>
  <c r="C20" i="415"/>
  <c r="C29" i="415"/>
  <c r="C39" i="415"/>
  <c r="C48" i="415"/>
  <c r="L33" i="385"/>
  <c r="K31" i="385"/>
  <c r="L9" i="385"/>
  <c r="L20" i="385"/>
  <c r="K29" i="385"/>
  <c r="L40" i="385"/>
  <c r="D20" i="415"/>
  <c r="D29" i="415"/>
  <c r="D39" i="415"/>
  <c r="D48" i="415"/>
  <c r="K33" i="385"/>
  <c r="K7" i="385"/>
  <c r="M14" i="385"/>
  <c r="E14" i="385" s="1"/>
  <c r="K18" i="385"/>
  <c r="K27" i="385"/>
  <c r="L29" i="385"/>
  <c r="K38" i="385"/>
  <c r="C30" i="415"/>
  <c r="C40" i="415"/>
  <c r="S17" i="385"/>
  <c r="S59" i="385"/>
  <c r="S37" i="385"/>
  <c r="S26" i="385"/>
  <c r="S28" i="385"/>
  <c r="S56" i="385"/>
  <c r="V137" i="444"/>
  <c r="W137" i="444" s="1"/>
  <c r="R23" i="385"/>
  <c r="S54" i="385"/>
  <c r="V102" i="444"/>
  <c r="W102" i="444" s="1"/>
  <c r="V109" i="444"/>
  <c r="W109" i="444" s="1"/>
  <c r="S44" i="385"/>
  <c r="V59" i="444"/>
  <c r="W59" i="444" s="1"/>
  <c r="V29" i="444"/>
  <c r="W29" i="444" s="1"/>
  <c r="R7" i="385"/>
  <c r="S18" i="385"/>
  <c r="R55" i="385"/>
  <c r="V77" i="444"/>
  <c r="W77" i="444" s="1"/>
  <c r="S21" i="385"/>
  <c r="S39" i="385"/>
  <c r="V147" i="444"/>
  <c r="W147" i="444" s="1"/>
  <c r="V134" i="444"/>
  <c r="W134" i="444" s="1"/>
  <c r="R22" i="385"/>
  <c r="S42" i="385"/>
  <c r="V14" i="444"/>
  <c r="W14" i="444" s="1"/>
  <c r="S19" i="385"/>
  <c r="S30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S24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S20" i="385"/>
  <c r="S31" i="385"/>
  <c r="V154" i="444"/>
  <c r="W154" i="444" s="1"/>
  <c r="V89" i="444"/>
  <c r="W89" i="444" s="1"/>
  <c r="R5" i="385"/>
  <c r="S61" i="385"/>
  <c r="V97" i="444"/>
  <c r="W97" i="444" s="1"/>
  <c r="S16" i="385"/>
  <c r="S58" i="385"/>
  <c r="V22" i="444"/>
  <c r="W22" i="444" s="1"/>
  <c r="V112" i="444"/>
  <c r="W112" i="444" s="1"/>
  <c r="V142" i="444"/>
  <c r="W142" i="444" s="1"/>
  <c r="V149" i="444"/>
  <c r="W149" i="444" s="1"/>
  <c r="S52" i="385"/>
  <c r="V53" i="444"/>
  <c r="W53" i="444" s="1"/>
  <c r="V162" i="444"/>
  <c r="W162" i="444" s="1"/>
  <c r="V150" i="444"/>
  <c r="W150" i="444" s="1"/>
  <c r="V17" i="444"/>
  <c r="W17" i="444" s="1"/>
  <c r="V157" i="444"/>
  <c r="W157" i="444" s="1"/>
  <c r="V92" i="444"/>
  <c r="W92" i="444" s="1"/>
  <c r="S55" i="89"/>
  <c r="S235" i="89"/>
  <c r="S233" i="89"/>
  <c r="S20" i="89"/>
  <c r="J39" i="385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R28" i="385"/>
  <c r="R56" i="385"/>
  <c r="R60" i="385"/>
  <c r="R16" i="385"/>
  <c r="R20" i="385"/>
  <c r="R24" i="385"/>
  <c r="S23" i="385"/>
  <c r="S55" i="385"/>
  <c r="R39" i="385"/>
  <c r="R19" i="385"/>
  <c r="R59" i="385"/>
  <c r="R63" i="385"/>
  <c r="H37" i="385"/>
  <c r="R18" i="385"/>
  <c r="R30" i="385"/>
  <c r="R31" i="385"/>
  <c r="H9" i="385"/>
  <c r="R54" i="385"/>
  <c r="R58" i="385"/>
  <c r="R62" i="385"/>
  <c r="S22" i="385"/>
  <c r="H12" i="385"/>
  <c r="H44" i="385"/>
  <c r="J12" i="385"/>
  <c r="J36" i="385"/>
  <c r="J44" i="385"/>
  <c r="R49" i="385"/>
  <c r="R57" i="385"/>
  <c r="R61" i="385"/>
  <c r="R65" i="385"/>
  <c r="R21" i="385"/>
  <c r="S5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R55" i="89" a="1"/>
  <c r="R235" i="89" a="1"/>
  <c r="R233" i="89" a="1"/>
  <c r="R20" i="89" a="1"/>
  <c r="W237" i="89" a="1"/>
  <c r="R55" i="89" l="1"/>
  <c r="R20" i="89"/>
  <c r="R233" i="89"/>
  <c r="R235" i="89"/>
  <c r="M25" i="385"/>
  <c r="E25" i="385" s="1"/>
  <c r="H31" i="385"/>
  <c r="J14" i="385"/>
  <c r="H39" i="385"/>
  <c r="R34" i="385"/>
  <c r="S6" i="385"/>
  <c r="R10" i="385"/>
  <c r="S11" i="385"/>
  <c r="R51" i="385"/>
  <c r="R48" i="385"/>
  <c r="S66" i="385"/>
  <c r="S25" i="385"/>
  <c r="S47" i="385"/>
  <c r="R32" i="385"/>
  <c r="R29" i="385"/>
  <c r="M44" i="385"/>
  <c r="E44" i="385" s="1"/>
  <c r="H40" i="385"/>
  <c r="H47" i="385"/>
  <c r="M43" i="385"/>
  <c r="E43" i="385" s="1"/>
  <c r="J41" i="385"/>
  <c r="J38" i="385"/>
  <c r="M13" i="385"/>
  <c r="E13" i="385" s="1"/>
  <c r="R50" i="385"/>
  <c r="R41" i="385"/>
  <c r="J6" i="385"/>
  <c r="H20" i="385"/>
  <c r="H33" i="385"/>
  <c r="J25" i="385"/>
  <c r="J40" i="385"/>
  <c r="J47" i="385"/>
  <c r="J11" i="385"/>
  <c r="H25" i="385"/>
  <c r="R15" i="385"/>
  <c r="J32" i="385"/>
  <c r="J43" i="385"/>
  <c r="S68" i="385"/>
  <c r="M6" i="385"/>
  <c r="E6" i="385" s="1"/>
  <c r="R8" i="385"/>
  <c r="J31" i="385"/>
  <c r="S36" i="385"/>
  <c r="J20" i="385"/>
  <c r="J21" i="385"/>
  <c r="J10" i="385"/>
  <c r="H14" i="385"/>
  <c r="H48" i="385"/>
  <c r="R33" i="385"/>
  <c r="S43" i="385"/>
  <c r="J9" i="385"/>
  <c r="S45" i="385"/>
  <c r="J15" i="385"/>
  <c r="J28" i="385"/>
  <c r="J16" i="385"/>
  <c r="H46" i="385"/>
  <c r="J48" i="385"/>
  <c r="S14" i="385"/>
  <c r="H32" i="385"/>
  <c r="R9" i="385"/>
  <c r="M21" i="385"/>
  <c r="E21" i="385" s="1"/>
  <c r="R64" i="385"/>
  <c r="H21" i="385"/>
  <c r="M17" i="385"/>
  <c r="E17" i="385" s="1"/>
  <c r="S67" i="385"/>
  <c r="H17" i="385"/>
  <c r="M48" i="385"/>
  <c r="E48" i="385" s="1"/>
  <c r="H13" i="385"/>
  <c r="M10" i="385"/>
  <c r="E10" i="385" s="1"/>
  <c r="M39" i="385"/>
  <c r="E39" i="385" s="1"/>
  <c r="E40" i="415"/>
  <c r="M28" i="385"/>
  <c r="E28" i="385" s="1"/>
  <c r="M36" i="385"/>
  <c r="E36" i="385" s="1"/>
  <c r="M37" i="385"/>
  <c r="E37" i="385" s="1"/>
  <c r="E48" i="415"/>
  <c r="E36" i="415"/>
  <c r="E35" i="415"/>
  <c r="E33" i="415"/>
  <c r="M47" i="385"/>
  <c r="E47" i="385" s="1"/>
  <c r="E24" i="415"/>
  <c r="E49" i="415"/>
  <c r="M20" i="385"/>
  <c r="E20" i="385" s="1"/>
  <c r="M31" i="385"/>
  <c r="E31" i="385" s="1"/>
  <c r="E50" i="415"/>
  <c r="E54" i="415"/>
  <c r="E41" i="415"/>
  <c r="E23" i="415"/>
  <c r="E25" i="415"/>
  <c r="M8" i="385"/>
  <c r="E8" i="385" s="1"/>
  <c r="E47" i="415"/>
  <c r="M40" i="385"/>
  <c r="E40" i="385" s="1"/>
  <c r="M29" i="385"/>
  <c r="E29" i="385" s="1"/>
  <c r="M7" i="385"/>
  <c r="E7" i="385" s="1"/>
  <c r="M9" i="385"/>
  <c r="E9" i="385" s="1"/>
  <c r="M34" i="385"/>
  <c r="E34" i="385" s="1"/>
  <c r="M45" i="385"/>
  <c r="E45" i="385" s="1"/>
  <c r="J29" i="385"/>
  <c r="J42" i="385"/>
  <c r="J33" i="385"/>
  <c r="H28" i="385"/>
  <c r="M5" i="385"/>
  <c r="E5" i="385" s="1"/>
  <c r="J18" i="385"/>
  <c r="J37" i="385"/>
  <c r="H23" i="385"/>
  <c r="H45" i="385"/>
  <c r="H34" i="385"/>
  <c r="R13" i="385"/>
  <c r="S27" i="385"/>
  <c r="M16" i="385"/>
  <c r="E16" i="385" s="1"/>
  <c r="H19" i="385"/>
  <c r="H27" i="385"/>
  <c r="M32" i="385"/>
  <c r="E32" i="385" s="1"/>
  <c r="R46" i="385"/>
  <c r="J35" i="385"/>
  <c r="H16" i="385"/>
  <c r="S35" i="385"/>
  <c r="R71" i="385"/>
  <c r="M38" i="385"/>
  <c r="E38" i="385" s="1"/>
  <c r="J24" i="385"/>
  <c r="M46" i="385"/>
  <c r="E46" i="385" s="1"/>
  <c r="S38" i="385"/>
  <c r="H7" i="385"/>
  <c r="H30" i="385"/>
  <c r="H41" i="385"/>
  <c r="J7" i="385"/>
  <c r="M27" i="385"/>
  <c r="E27" i="385" s="1"/>
  <c r="M18" i="385"/>
  <c r="E18" i="385" s="1"/>
  <c r="J30" i="385"/>
  <c r="J46" i="385"/>
  <c r="M24" i="385"/>
  <c r="H18" i="385"/>
  <c r="H10" i="385"/>
  <c r="R40" i="385"/>
  <c r="H42" i="385"/>
  <c r="M19" i="385"/>
  <c r="E19" i="385" s="1"/>
  <c r="H8" i="385"/>
  <c r="R12" i="385"/>
  <c r="J26" i="385"/>
  <c r="J22" i="385"/>
  <c r="M41" i="385"/>
  <c r="E41" i="385" s="1"/>
  <c r="S70" i="385"/>
  <c r="M22" i="385"/>
  <c r="E22" i="385" s="1"/>
  <c r="J19" i="385"/>
  <c r="H35" i="385"/>
  <c r="H6" i="385"/>
  <c r="S69" i="385"/>
  <c r="H43" i="385"/>
  <c r="J23" i="385"/>
  <c r="H5" i="385"/>
  <c r="M35" i="385"/>
  <c r="E35" i="385" s="1"/>
  <c r="J8" i="385"/>
  <c r="M26" i="385"/>
  <c r="E26" i="385" s="1"/>
  <c r="J27" i="385"/>
  <c r="H38" i="385"/>
  <c r="H11" i="385"/>
  <c r="J5" i="385"/>
  <c r="M30" i="385"/>
  <c r="E30" i="385" s="1"/>
  <c r="M33" i="385"/>
  <c r="E33" i="385" s="1"/>
  <c r="H15" i="385"/>
  <c r="M11" i="385"/>
  <c r="E11" i="385" s="1"/>
  <c r="E27" i="415"/>
  <c r="E31" i="415"/>
  <c r="M15" i="385"/>
  <c r="E15" i="385" s="1"/>
  <c r="M42" i="385"/>
  <c r="E42" i="385" s="1"/>
  <c r="E7" i="415"/>
  <c r="E51" i="415"/>
  <c r="E52" i="415"/>
  <c r="E32" i="415"/>
  <c r="E6" i="415"/>
  <c r="E22" i="415"/>
  <c r="E46" i="415"/>
  <c r="E37" i="415"/>
  <c r="E18" i="415"/>
  <c r="E53" i="415"/>
  <c r="E8" i="415"/>
  <c r="E34" i="415"/>
  <c r="E20" i="415"/>
  <c r="E39" i="415"/>
  <c r="E5" i="415"/>
  <c r="E38" i="415"/>
  <c r="E28" i="415"/>
  <c r="E30" i="415"/>
  <c r="E29" i="415"/>
  <c r="E19" i="415"/>
  <c r="E21" i="415"/>
  <c r="E9" i="415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AC237" i="89" l="1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AE235" i="89"/>
  <c r="Z236" i="89" a="1"/>
  <c r="Z236" i="89" l="1"/>
  <c r="P236" i="89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Z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P234" i="89"/>
  <c r="Q234" i="89" s="1"/>
  <c r="AE233" i="89"/>
  <c r="Z234" i="89" a="1"/>
  <c r="Z234" i="89" l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Z233" i="89" a="1"/>
  <c r="Z233" i="89" l="1"/>
  <c r="P233" i="89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I224" i="89" s="1"/>
  <c r="H224" i="89"/>
  <c r="AA224" i="89" a="1"/>
  <c r="F224" i="89" a="1"/>
  <c r="AA224" i="89" l="1"/>
  <c r="M224" i="89"/>
  <c r="F224" i="89"/>
  <c r="H225" i="89"/>
  <c r="I229" i="89"/>
  <c r="N224" i="89" a="1"/>
  <c r="N224" i="89" l="1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Z223" i="89" a="1"/>
  <c r="Z223" i="89" l="1"/>
  <c r="P223" i="89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P226" i="89" l="1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/>
  <c r="Q213" i="89" s="1"/>
  <c r="Z213" i="89" a="1"/>
  <c r="Z213" i="89" l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I211" i="89"/>
  <c r="H211" i="89"/>
  <c r="AA211" i="89" a="1"/>
  <c r="AA211" i="89" l="1"/>
  <c r="M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K206" i="89" l="1"/>
  <c r="M204" i="89"/>
  <c r="I204" i="89"/>
  <c r="AA204" i="89" a="1"/>
  <c r="N204" i="89" a="1"/>
  <c r="AA204" i="89" l="1"/>
  <c r="N204" i="89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P203" i="89" l="1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M188" i="89" l="1"/>
  <c r="I188" i="89" l="1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F187" i="89" a="1"/>
  <c r="I187" i="89" l="1"/>
  <c r="F187" i="89"/>
  <c r="AA187" i="89" a="1"/>
  <c r="N187" i="89" a="1"/>
  <c r="AA187" i="89" l="1"/>
  <c r="N187" i="89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AE180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F179" i="89" a="1"/>
  <c r="F179" i="89" l="1"/>
  <c r="N179" i="89" a="1"/>
  <c r="N179" i="89" l="1"/>
  <c r="D179" i="89"/>
  <c r="P179" i="89" l="1"/>
  <c r="AB179" i="89" a="1"/>
  <c r="S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F178" i="89" a="1"/>
  <c r="M178" i="89" l="1"/>
  <c r="F178" i="89"/>
  <c r="AE178" i="89"/>
  <c r="I183" i="89"/>
  <c r="I181" i="89"/>
  <c r="N178" i="89" a="1"/>
  <c r="N178" i="89" l="1"/>
  <c r="D178" i="89"/>
  <c r="P178" i="89" l="1"/>
  <c r="J177" i="89"/>
  <c r="I177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N170" i="89" a="1"/>
  <c r="AA170" i="89" l="1"/>
  <c r="I175" i="89"/>
  <c r="N170" i="89"/>
  <c r="D170" i="89"/>
  <c r="P170" i="89" l="1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3" i="89"/>
  <c r="K164" i="89"/>
  <c r="AC160" i="89" l="1"/>
  <c r="Y160" i="89"/>
  <c r="U160" i="89"/>
  <c r="J160" i="89"/>
  <c r="Y162" i="89" l="1"/>
  <c r="Y163" i="89" s="1"/>
  <c r="I155" i="89" l="1"/>
  <c r="AG153" i="89" l="1"/>
  <c r="T155" i="89" l="1"/>
  <c r="I156" i="89" s="1"/>
  <c r="M153" i="89" l="1"/>
  <c r="L157" i="89"/>
  <c r="L166" i="89" s="1"/>
  <c r="K155" i="89"/>
  <c r="K157" i="89" l="1"/>
  <c r="K166" i="89" s="1"/>
  <c r="K156" i="89"/>
  <c r="N153" i="89" a="1"/>
  <c r="N153" i="89" l="1"/>
  <c r="Z153" i="89" a="1"/>
  <c r="Z153" i="89" l="1"/>
  <c r="P153" i="89"/>
  <c r="Q153" i="89" s="1"/>
  <c r="Q155" i="89" s="1"/>
  <c r="Q165" i="89" s="1"/>
  <c r="Z152" i="89" l="1"/>
  <c r="AC153" i="89" l="1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AA144" i="89" a="1"/>
  <c r="F144" i="89" a="1"/>
  <c r="AA144" i="89" l="1"/>
  <c r="F144" i="89"/>
  <c r="I146" i="89"/>
  <c r="I147" i="89" s="1"/>
  <c r="K148" i="89"/>
  <c r="K147" i="89"/>
  <c r="N144" i="89" a="1"/>
  <c r="N144" i="89" l="1"/>
  <c r="Z144" i="89" a="1"/>
  <c r="Z144" i="89" l="1"/>
  <c r="P144" i="89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AA138" i="89" a="1"/>
  <c r="F138" i="89" a="1"/>
  <c r="AA138" i="89" l="1"/>
  <c r="F138" i="89"/>
  <c r="AG138" i="89"/>
  <c r="N138" i="89"/>
  <c r="Z138" i="89" s="1" a="1"/>
  <c r="Z138" i="89" l="1"/>
  <c r="P138" i="89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AA137" i="89" a="1"/>
  <c r="F137" i="89" a="1"/>
  <c r="AA137" i="89" l="1"/>
  <c r="M137" i="89"/>
  <c r="F137" i="89"/>
  <c r="N137" i="89"/>
  <c r="Z137" i="89" s="1" a="1"/>
  <c r="Z137" i="89" l="1"/>
  <c r="P137" i="89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I136" i="89"/>
  <c r="H136" i="89"/>
  <c r="AA136" i="89" a="1"/>
  <c r="F136" i="89" a="1"/>
  <c r="AA136" i="89" l="1"/>
  <c r="M136" i="89"/>
  <c r="F136" i="89"/>
  <c r="AG136" i="89"/>
  <c r="I139" i="89"/>
  <c r="I140" i="89" s="1"/>
  <c r="N136" i="89"/>
  <c r="Z136" i="89" s="1" a="1"/>
  <c r="Z136" i="89" l="1"/>
  <c r="P136" i="89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AA129" i="89" a="1"/>
  <c r="F129" i="89" a="1"/>
  <c r="AA129" i="89" l="1"/>
  <c r="F129" i="89"/>
  <c r="I131" i="89"/>
  <c r="I132" i="89" s="1"/>
  <c r="K132" i="89"/>
  <c r="K133" i="89"/>
  <c r="N129" i="89"/>
  <c r="Z129" i="89" s="1" a="1"/>
  <c r="Z129" i="89" l="1"/>
  <c r="P129" i="89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AA123" i="89" a="1"/>
  <c r="F123" i="89" a="1"/>
  <c r="AA123" i="89" l="1"/>
  <c r="F123" i="89"/>
  <c r="AG123" i="89"/>
  <c r="N123" i="89"/>
  <c r="Z123" i="89" s="1" a="1"/>
  <c r="Z123" i="89" l="1"/>
  <c r="P123" i="89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AA122" i="89" a="1"/>
  <c r="F122" i="89" a="1"/>
  <c r="AA122" i="89" l="1"/>
  <c r="F122" i="89"/>
  <c r="I124" i="89"/>
  <c r="I125" i="89" s="1"/>
  <c r="K125" i="89"/>
  <c r="K126" i="89"/>
  <c r="N122" i="89"/>
  <c r="Z122" i="89" s="1" a="1"/>
  <c r="Z122" i="89" l="1"/>
  <c r="P122" i="89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AA116" i="89" a="1"/>
  <c r="F116" i="89" a="1"/>
  <c r="AA116" i="89" l="1"/>
  <c r="F116" i="89"/>
  <c r="AG116" i="89"/>
  <c r="N116" i="89"/>
  <c r="Z116" i="89" s="1" a="1"/>
  <c r="Z116" i="89" l="1"/>
  <c r="P116" i="89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AA115" i="89" a="1"/>
  <c r="F115" i="89" a="1"/>
  <c r="AA115" i="89" l="1"/>
  <c r="M115" i="89"/>
  <c r="F115" i="89"/>
  <c r="I117" i="89"/>
  <c r="I118" i="89" s="1"/>
  <c r="N115" i="89"/>
  <c r="Z115" i="89" s="1" a="1"/>
  <c r="Z115" i="89" l="1"/>
  <c r="P115" i="89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AA109" i="89" a="1"/>
  <c r="N109" i="89"/>
  <c r="Z109" i="89" s="1" a="1"/>
  <c r="Z109" i="89" l="1"/>
  <c r="AA109" i="89"/>
  <c r="P109" i="89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AA108" i="89" a="1"/>
  <c r="F108" i="89" a="1"/>
  <c r="AA108" i="89" l="1"/>
  <c r="M108" i="89"/>
  <c r="F108" i="89"/>
  <c r="I110" i="89"/>
  <c r="I111" i="89" s="1"/>
  <c r="N108" i="89"/>
  <c r="Z108" i="89" s="1" a="1"/>
  <c r="Z108" i="89" l="1"/>
  <c r="P108" i="89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AA95" i="89" a="1"/>
  <c r="AA95" i="89" l="1"/>
  <c r="I97" i="89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I90" i="89"/>
  <c r="H90" i="89"/>
  <c r="AA90" i="89" a="1"/>
  <c r="F90" i="89" a="1"/>
  <c r="AA90" i="89" l="1"/>
  <c r="F90" i="89"/>
  <c r="AG90" i="89"/>
  <c r="N90" i="89"/>
  <c r="Z90" i="89" s="1" a="1"/>
  <c r="Z90" i="89" l="1"/>
  <c r="P90" i="89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AA89" i="89" a="1"/>
  <c r="F89" i="89" a="1"/>
  <c r="AA89" i="89" l="1"/>
  <c r="M89" i="89"/>
  <c r="F89" i="89"/>
  <c r="N89" i="89"/>
  <c r="Z89" i="89" s="1" a="1"/>
  <c r="Z89" i="89" l="1"/>
  <c r="P89" i="89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M82" i="89" l="1"/>
  <c r="H82" i="89"/>
  <c r="I82" i="89" l="1"/>
  <c r="AE82" i="89"/>
  <c r="AA82" i="89" a="1"/>
  <c r="AA82" i="89" l="1"/>
  <c r="P82" i="89"/>
  <c r="Q82" i="89" s="1"/>
  <c r="AE81" i="89"/>
  <c r="S82" i="89" a="1"/>
  <c r="S82" i="89" l="1"/>
  <c r="R82" i="89" a="1"/>
  <c r="R82" i="89" l="1"/>
  <c r="AC82" i="89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I76" i="89"/>
  <c r="H76" i="89"/>
  <c r="AA76" i="89" a="1"/>
  <c r="AA76" i="89" l="1"/>
  <c r="P76" i="89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I75" i="89"/>
  <c r="AA75" i="89" a="1"/>
  <c r="F75" i="89" a="1"/>
  <c r="AA75" i="89" l="1"/>
  <c r="M75" i="89"/>
  <c r="F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AA69" i="89" a="1"/>
  <c r="F69" i="89" a="1"/>
  <c r="AA69" i="89" l="1"/>
  <c r="F69" i="89"/>
  <c r="AE69" i="89"/>
  <c r="N69" i="89" a="1"/>
  <c r="N69" i="89" l="1"/>
  <c r="Z69" i="89" a="1"/>
  <c r="Z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Z63" i="89" a="1"/>
  <c r="Z63" i="89" l="1"/>
  <c r="P63" i="89"/>
  <c r="Q63" i="89" s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AA56" i="89" a="1"/>
  <c r="F56" i="89" a="1"/>
  <c r="AA56" i="89" l="1"/>
  <c r="F56" i="89"/>
  <c r="AE56" i="89"/>
  <c r="N56" i="89" a="1"/>
  <c r="N56" i="89" l="1"/>
  <c r="Z56" i="89" a="1"/>
  <c r="Z56" i="89" l="1"/>
  <c r="P56" i="89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G57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M50" i="89" l="1"/>
  <c r="I50" i="89"/>
  <c r="AA50" i="89" a="1"/>
  <c r="AA50" i="89" l="1"/>
  <c r="AE50" i="89"/>
  <c r="N50" i="89" a="1"/>
  <c r="N50" i="89" l="1"/>
  <c r="P50" i="89" l="1"/>
  <c r="Q50" i="89" s="1"/>
  <c r="AE49" i="89"/>
  <c r="AC50" i="89" l="1"/>
  <c r="Y50" i="89"/>
  <c r="U50" i="89"/>
  <c r="J50" i="89"/>
  <c r="T51" i="89" l="1"/>
  <c r="I52" i="89" s="1"/>
  <c r="K52" i="89" l="1"/>
  <c r="K51" i="89"/>
  <c r="I49" i="89" l="1"/>
  <c r="M49" i="89"/>
  <c r="K60" i="89"/>
  <c r="K59" i="89"/>
  <c r="AA49" i="89" a="1"/>
  <c r="N49" i="89" a="1"/>
  <c r="AA49" i="89" l="1"/>
  <c r="N49" i="89"/>
  <c r="Z49" i="89" a="1"/>
  <c r="Z49" i="89" l="1"/>
  <c r="P49" i="89"/>
  <c r="Q49" i="89" s="1"/>
  <c r="Q51" i="89" s="1"/>
  <c r="I48" i="89"/>
  <c r="L46" i="89"/>
  <c r="K46" i="89"/>
  <c r="AE40" i="89"/>
  <c r="P47" i="89" l="1"/>
  <c r="AC49" i="89"/>
  <c r="Y49" i="89"/>
  <c r="U49" i="89"/>
  <c r="J49" i="89"/>
  <c r="Y51" i="89" l="1"/>
  <c r="Z52" i="89" s="1"/>
  <c r="M40" i="89" l="1"/>
  <c r="I40" i="89"/>
  <c r="AA40" i="89" a="1"/>
  <c r="N40" i="89" a="1"/>
  <c r="AA40" i="89" l="1"/>
  <c r="N40" i="89"/>
  <c r="P40" i="89"/>
  <c r="Q40" i="89" s="1"/>
  <c r="Z40" i="89" a="1"/>
  <c r="Z40" i="89" l="1"/>
  <c r="AE39" i="89"/>
  <c r="AC40" i="89" l="1"/>
  <c r="Y40" i="89"/>
  <c r="U40" i="89"/>
  <c r="J40" i="89"/>
  <c r="A40" i="89"/>
  <c r="W43" i="89" l="1"/>
  <c r="T41" i="89" l="1"/>
  <c r="K42" i="89" l="1"/>
  <c r="K41" i="89"/>
  <c r="M39" i="89"/>
  <c r="I39" i="89"/>
  <c r="AA39" i="89" a="1"/>
  <c r="AA39" i="89" l="1"/>
  <c r="I41" i="89"/>
  <c r="I42" i="89" s="1"/>
  <c r="N39" i="89" a="1"/>
  <c r="N39" i="89" l="1"/>
  <c r="P39" i="89" l="1"/>
  <c r="P42" i="89" s="1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AA34" i="89" a="1"/>
  <c r="N34" i="89" a="1"/>
  <c r="AA34" i="89" l="1"/>
  <c r="N34" i="89"/>
  <c r="P34" i="89"/>
  <c r="Q34" i="89" s="1"/>
  <c r="Z34" i="89" a="1"/>
  <c r="Z34" i="89" l="1"/>
  <c r="AE33" i="89"/>
  <c r="AC34" i="89" l="1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K44" i="89"/>
  <c r="K43" i="89"/>
  <c r="L44" i="89"/>
  <c r="N33" i="89" a="1"/>
  <c r="N33" i="89" l="1"/>
  <c r="I36" i="89"/>
  <c r="P33" i="89" l="1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Z27" i="89" a="1"/>
  <c r="Z27" i="89" l="1"/>
  <c r="P27" i="89"/>
  <c r="Q27" i="89" s="1"/>
  <c r="A27" i="89"/>
  <c r="AE26" i="89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30" i="89"/>
  <c r="K29" i="89"/>
  <c r="AA26" i="89" a="1"/>
  <c r="N26" i="89" a="1"/>
  <c r="AA26" i="89" l="1"/>
  <c r="I28" i="89"/>
  <c r="I29" i="89" s="1"/>
  <c r="K31" i="89"/>
  <c r="N26" i="89"/>
  <c r="P26" i="89" l="1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AE20" i="89"/>
  <c r="I23" i="89"/>
  <c r="N20" i="89" a="1"/>
  <c r="N20" i="89" l="1"/>
  <c r="P20" i="89" l="1"/>
  <c r="Q20" i="89" s="1"/>
  <c r="AJ19" i="89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J19" i="89"/>
  <c r="G18" i="89"/>
  <c r="N19" i="89" a="1"/>
  <c r="N19" i="89" l="1"/>
  <c r="Y19" i="89" s="1"/>
  <c r="U19" i="89"/>
  <c r="Z19" i="89" a="1"/>
  <c r="Z19" i="89" l="1"/>
  <c r="AC19" i="89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AA13" i="89" a="1"/>
  <c r="N13" i="89" a="1"/>
  <c r="AA13" i="89" l="1"/>
  <c r="I15" i="89"/>
  <c r="I16" i="89" s="1"/>
  <c r="N13" i="89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/>
  <c r="Y13" i="89"/>
  <c r="U13" i="89"/>
  <c r="J13" i="89"/>
  <c r="J17" i="89" s="1"/>
  <c r="Y15" i="89" l="1"/>
  <c r="Y16" i="89" l="1"/>
  <c r="P17" i="89"/>
  <c r="M8" i="89" l="1"/>
  <c r="I8" i="89"/>
  <c r="AA8" i="89" a="1"/>
  <c r="AA8" i="89" l="1"/>
  <c r="AF8" i="89"/>
  <c r="AE8" i="89"/>
  <c r="N8" i="89" a="1"/>
  <c r="N8" i="89" l="1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 l="1"/>
  <c r="K11" i="89"/>
  <c r="K10" i="89"/>
  <c r="K18" i="89" s="1"/>
  <c r="AA7" i="89"/>
  <c r="N7" i="89" a="1"/>
  <c r="I9" i="89" l="1"/>
  <c r="I10" i="89" s="1"/>
  <c r="N7" i="89"/>
  <c r="K5" i="89"/>
  <c r="H41" i="2"/>
  <c r="H40" i="2"/>
  <c r="H39" i="2"/>
  <c r="H38" i="2"/>
  <c r="J36" i="2"/>
  <c r="J35" i="2"/>
  <c r="J34" i="2"/>
  <c r="J33" i="2"/>
  <c r="J32" i="2"/>
  <c r="J31" i="2"/>
  <c r="J30" i="2"/>
  <c r="J29" i="2"/>
  <c r="I27" i="2"/>
  <c r="I26" i="2"/>
  <c r="BA20" i="2"/>
  <c r="Z7" i="89"/>
  <c r="J40" i="2" l="1"/>
  <c r="I40" i="2" s="1"/>
  <c r="J39" i="2"/>
  <c r="I39" i="2" s="1"/>
  <c r="J38" i="2"/>
  <c r="I38" i="2" s="1"/>
  <c r="J41" i="2"/>
  <c r="I41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0" i="2" l="1"/>
  <c r="BB20" i="2" l="1"/>
  <c r="BC20" i="2" s="1"/>
  <c r="O20" i="2" l="1"/>
  <c r="S20" i="2" a="1"/>
  <c r="S20" i="2" l="1"/>
  <c r="U20" i="2" s="1"/>
  <c r="AP20" i="2"/>
  <c r="Z20" i="2"/>
  <c r="AV20" i="2" s="1" a="1"/>
  <c r="AV20" i="2" l="1"/>
  <c r="AO20" i="2"/>
  <c r="AE20" i="2"/>
  <c r="AT20" i="2"/>
  <c r="AS20" i="2"/>
  <c r="AL20" i="2"/>
  <c r="AB20" i="2"/>
  <c r="M20" i="2"/>
  <c r="BA19" i="2"/>
  <c r="AM20" i="2" l="1"/>
  <c r="X20" i="2"/>
  <c r="Y20" i="2" s="1"/>
  <c r="I25" i="2" l="1"/>
  <c r="R19" i="2" l="1"/>
  <c r="BB19" i="2" l="1"/>
  <c r="BC19" i="2" s="1"/>
  <c r="L25" i="2" l="1"/>
  <c r="O19" i="2"/>
  <c r="S19" i="2" a="1"/>
  <c r="S19" i="2" l="1"/>
  <c r="AO19" i="2" s="1"/>
  <c r="AP19" i="2"/>
  <c r="Z19" i="2"/>
  <c r="AV19" i="2" s="1" a="1"/>
  <c r="AV19" i="2" l="1"/>
  <c r="U19" i="2"/>
  <c r="AE19" i="2"/>
  <c r="AT19" i="2"/>
  <c r="AS19" i="2"/>
  <c r="AL19" i="2"/>
  <c r="AB19" i="2"/>
  <c r="M19" i="2"/>
  <c r="AM19" i="2" l="1"/>
  <c r="X19" i="2"/>
  <c r="Y19" i="2" s="1"/>
  <c r="BA18" i="2" l="1"/>
  <c r="AF18" i="2" a="1"/>
  <c r="AF18" i="2" l="1"/>
  <c r="Q18" i="2" a="1"/>
  <c r="Q18" i="2" l="1"/>
  <c r="P18" i="2" a="1"/>
  <c r="P18" i="2" l="1"/>
  <c r="R18" i="2" s="1"/>
  <c r="BB18" i="2" l="1"/>
  <c r="BC18" i="2" s="1"/>
  <c r="G18" i="2" a="1"/>
  <c r="G18" i="2" l="1"/>
  <c r="O18" i="2"/>
  <c r="S18" i="2" a="1"/>
  <c r="S18" i="2" l="1"/>
  <c r="U18" i="2" s="1"/>
  <c r="Z18" i="2"/>
  <c r="AV18" i="2" s="1" a="1"/>
  <c r="AV18" i="2" l="1"/>
  <c r="AO18" i="2"/>
  <c r="AP18" i="2"/>
  <c r="AE18" i="2"/>
  <c r="AS18" i="2"/>
  <c r="AT18" i="2"/>
  <c r="AL18" i="2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 s="1"/>
  <c r="L17" i="2" a="1"/>
  <c r="L17" i="2" l="1"/>
  <c r="BB17" i="2"/>
  <c r="BC17" i="2" s="1"/>
  <c r="G17" i="2" a="1"/>
  <c r="G17" i="2" l="1"/>
  <c r="O17" i="2"/>
  <c r="S17" i="2" a="1"/>
  <c r="S17" i="2" l="1"/>
  <c r="AO17" i="2" s="1"/>
  <c r="Z17" i="2"/>
  <c r="AV17" i="2" s="1" a="1"/>
  <c r="AV17" i="2" l="1"/>
  <c r="U17" i="2"/>
  <c r="AP17" i="2"/>
  <c r="AE17" i="2"/>
  <c r="AT17" i="2"/>
  <c r="AS17" i="2"/>
  <c r="AL17" i="2"/>
  <c r="AB17" i="2"/>
  <c r="M17" i="2"/>
  <c r="BA16" i="2"/>
  <c r="AM17" i="2" l="1"/>
  <c r="X17" i="2"/>
  <c r="Y17" i="2" s="1"/>
  <c r="AF16" i="2" a="1"/>
  <c r="AF16" i="2" l="1"/>
  <c r="Q16" i="2" a="1"/>
  <c r="Q16" i="2" l="1"/>
  <c r="P16" i="2" a="1"/>
  <c r="P16" i="2" l="1"/>
  <c r="R16" i="2" s="1"/>
  <c r="BB16" i="2" l="1"/>
  <c r="BC16" i="2" s="1"/>
  <c r="G16" i="2" a="1"/>
  <c r="G16" i="2" l="1"/>
  <c r="K27" i="2"/>
  <c r="L27" i="2"/>
  <c r="O16" i="2"/>
  <c r="S16" i="2" a="1"/>
  <c r="S16" i="2" l="1"/>
  <c r="AP16" i="2" s="1"/>
  <c r="Z16" i="2"/>
  <c r="AV16" i="2" s="1" a="1"/>
  <c r="AV16" i="2" l="1"/>
  <c r="AO16" i="2"/>
  <c r="U16" i="2"/>
  <c r="AE16" i="2"/>
  <c r="AT16" i="2"/>
  <c r="AS16" i="2"/>
  <c r="AL16" i="2"/>
  <c r="AB16" i="2"/>
  <c r="M16" i="2"/>
  <c r="AM16" i="2" l="1"/>
  <c r="X16" i="2"/>
  <c r="Y16" i="2" s="1"/>
  <c r="J42" i="531" l="1"/>
  <c r="BA13" i="2" l="1"/>
  <c r="AF13" i="2" a="1"/>
  <c r="AF13" i="2" l="1"/>
  <c r="Q13" i="2" a="1"/>
  <c r="Q13" i="2" l="1"/>
  <c r="P13" i="2" a="1"/>
  <c r="P13" i="2" l="1"/>
  <c r="R13" i="2" s="1"/>
  <c r="BB13" i="2" l="1"/>
  <c r="BC13" i="2" s="1"/>
  <c r="G13" i="2" a="1"/>
  <c r="G13" i="2" l="1"/>
  <c r="O13" i="2"/>
  <c r="S13" i="2" a="1"/>
  <c r="S13" i="2" l="1"/>
  <c r="AO13" i="2" s="1"/>
  <c r="Z13" i="2"/>
  <c r="AV13" i="2" s="1" a="1"/>
  <c r="AV13" i="2" l="1"/>
  <c r="U13" i="2"/>
  <c r="AP13" i="2"/>
  <c r="AE13" i="2"/>
  <c r="AS13" i="2"/>
  <c r="AT13" i="2"/>
  <c r="AL13" i="2"/>
  <c r="AB13" i="2"/>
  <c r="M13" i="2"/>
  <c r="BA12" i="2"/>
  <c r="AM13" i="2" l="1"/>
  <c r="X13" i="2"/>
  <c r="Y13" i="2" s="1"/>
  <c r="AF12" i="2" a="1"/>
  <c r="AF12" i="2" l="1"/>
  <c r="Q12" i="2" a="1"/>
  <c r="Q12" i="2" l="1"/>
  <c r="P12" i="2" a="1"/>
  <c r="P12" i="2" l="1"/>
  <c r="R12" i="2" s="1"/>
  <c r="BB12" i="2" l="1"/>
  <c r="BC12" i="2" s="1"/>
  <c r="G12" i="2" a="1"/>
  <c r="G12" i="2" l="1"/>
  <c r="O12" i="2"/>
  <c r="S12" i="2" a="1"/>
  <c r="S12" i="2" l="1"/>
  <c r="AO12" i="2" s="1"/>
  <c r="Z12" i="2"/>
  <c r="AV12" i="2" s="1" a="1"/>
  <c r="AV12" i="2" l="1"/>
  <c r="AP12" i="2"/>
  <c r="U12" i="2"/>
  <c r="AE12" i="2"/>
  <c r="AS12" i="2"/>
  <c r="AT12" i="2"/>
  <c r="AL12" i="2"/>
  <c r="AB12" i="2"/>
  <c r="M12" i="2"/>
  <c r="BA11" i="2"/>
  <c r="AM12" i="2" l="1"/>
  <c r="X12" i="2"/>
  <c r="Y12" i="2" s="1"/>
  <c r="R11" i="2" l="1"/>
  <c r="BB11" i="2" l="1"/>
  <c r="BC11" i="2" s="1"/>
  <c r="S11" i="2" a="1"/>
  <c r="S11" i="2" l="1"/>
  <c r="AP11" i="2" s="1"/>
  <c r="O11" i="2"/>
  <c r="AO11" i="2" l="1"/>
  <c r="U11" i="2"/>
  <c r="AE11" i="2" l="1"/>
  <c r="AS11" i="2"/>
  <c r="AT11" i="2"/>
  <c r="AL11" i="2"/>
  <c r="AB11" i="2"/>
  <c r="M11" i="2"/>
  <c r="BA10" i="2"/>
  <c r="AM11" i="2" l="1"/>
  <c r="X11" i="2"/>
  <c r="Y11" i="2" s="1"/>
  <c r="R10" i="2" l="1"/>
  <c r="BB10" i="2" l="1"/>
  <c r="BC10" i="2" s="1"/>
  <c r="O10" i="2" l="1"/>
  <c r="S10" i="2" a="1"/>
  <c r="S10" i="2" l="1"/>
  <c r="U10" i="2" s="1"/>
  <c r="AP10" i="2"/>
  <c r="Z10" i="2"/>
  <c r="AV10" i="2" s="1" a="1"/>
  <c r="AV10" i="2" l="1"/>
  <c r="AO10" i="2"/>
  <c r="AE10" i="2"/>
  <c r="AT10" i="2"/>
  <c r="AS10" i="2"/>
  <c r="AL10" i="2"/>
  <c r="AB10" i="2"/>
  <c r="M10" i="2"/>
  <c r="AM10" i="2" l="1"/>
  <c r="X10" i="2"/>
  <c r="Y10" i="2" s="1"/>
  <c r="J27" i="531" l="1"/>
  <c r="BA7" i="2"/>
  <c r="R7" i="2" l="1"/>
  <c r="BB7" i="2" l="1"/>
  <c r="BC7" i="2" s="1"/>
  <c r="O7" i="2" l="1"/>
  <c r="S7" i="2" a="1"/>
  <c r="S7" i="2" l="1"/>
  <c r="AO7" i="2" s="1"/>
  <c r="U7" i="2" l="1"/>
  <c r="AP7" i="2"/>
  <c r="AE7" i="2"/>
  <c r="AS7" i="2"/>
  <c r="AT7" i="2"/>
  <c r="AL7" i="2"/>
  <c r="AB7" i="2"/>
  <c r="M7" i="2"/>
  <c r="AM7" i="2" l="1"/>
  <c r="X7" i="2"/>
  <c r="Y7" i="2" s="1"/>
  <c r="L26" i="2" l="1"/>
  <c r="BA5" i="2" l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 s="1"/>
  <c r="Z5" i="2"/>
  <c r="AV5" i="2" s="1" a="1"/>
  <c r="AV5" i="2" l="1"/>
  <c r="U5" i="2"/>
  <c r="AP5" i="2"/>
  <c r="AE5" i="2"/>
  <c r="AS5" i="2"/>
  <c r="AT5" i="2"/>
  <c r="AL5" i="2"/>
  <c r="AB5" i="2"/>
  <c r="M5" i="2"/>
  <c r="BA4" i="2"/>
  <c r="AM5" i="2" l="1"/>
  <c r="X5" i="2"/>
  <c r="Y5" i="2" s="1"/>
  <c r="R4" i="2" l="1"/>
  <c r="BB4" i="2" l="1"/>
  <c r="BC4" i="2" s="1"/>
  <c r="O4" i="2" l="1"/>
  <c r="S4" i="2" a="1"/>
  <c r="S4" i="2" l="1"/>
  <c r="AO4" i="2" s="1"/>
  <c r="AP4" i="2" l="1"/>
  <c r="U4" i="2"/>
  <c r="AE4" i="2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40" i="1"/>
  <c r="Q40" i="1"/>
  <c r="N40" i="1" l="1"/>
  <c r="J40" i="1"/>
  <c r="T40" i="1" l="1"/>
  <c r="S39" i="1"/>
  <c r="Q39" i="1"/>
  <c r="N39" i="1" l="1"/>
  <c r="J39" i="1"/>
  <c r="T39" i="1" l="1"/>
  <c r="S38" i="1"/>
  <c r="Q38" i="1"/>
  <c r="N38" i="1" l="1"/>
  <c r="J38" i="1"/>
  <c r="T38" i="1" l="1"/>
  <c r="S37" i="1"/>
  <c r="Q37" i="1"/>
  <c r="N37" i="1" l="1"/>
  <c r="J37" i="1"/>
  <c r="T37" i="1" l="1"/>
  <c r="Q36" i="1"/>
  <c r="N36" i="1" l="1"/>
  <c r="J36" i="1"/>
  <c r="T36" i="1" l="1"/>
  <c r="Q35" i="1"/>
  <c r="C24" i="385" l="1"/>
  <c r="E24" i="385" s="1"/>
  <c r="Q53" i="385"/>
  <c r="N35" i="1"/>
  <c r="J35" i="1"/>
  <c r="S53" i="385" l="1"/>
  <c r="R53" i="385"/>
  <c r="T35" i="1"/>
  <c r="Q34" i="1" l="1"/>
  <c r="N34" i="1" l="1"/>
  <c r="J34" i="1"/>
  <c r="T34" i="1" l="1"/>
  <c r="Q33" i="1"/>
  <c r="N33" i="1" l="1"/>
  <c r="J33" i="1"/>
  <c r="T33" i="1" l="1"/>
  <c r="Q32" i="1"/>
  <c r="N32" i="1" l="1"/>
  <c r="J32" i="1"/>
  <c r="T32" i="1" l="1"/>
  <c r="N30" i="1" l="1"/>
  <c r="J30" i="1"/>
  <c r="T30" i="1" l="1"/>
  <c r="S29" i="1"/>
  <c r="Q29" i="1"/>
  <c r="N29" i="1" l="1"/>
  <c r="J29" i="1"/>
  <c r="T29" i="1" l="1"/>
  <c r="Q28" i="1"/>
  <c r="N28" i="1" l="1"/>
  <c r="J28" i="1"/>
  <c r="T28" i="1" l="1"/>
  <c r="S27" i="1"/>
  <c r="Q27" i="1"/>
  <c r="N27" i="1" l="1"/>
  <c r="J27" i="1"/>
  <c r="T27" i="1" l="1"/>
  <c r="S25" i="1"/>
  <c r="Q25" i="1"/>
  <c r="N25" i="1" l="1"/>
  <c r="J25" i="1"/>
  <c r="T25" i="1" l="1"/>
  <c r="Q23" i="1"/>
  <c r="N23" i="1" l="1"/>
  <c r="J23" i="1"/>
  <c r="T23" i="1" l="1"/>
  <c r="Q22" i="1"/>
  <c r="R14" i="531" l="1"/>
  <c r="P14" i="531" l="1"/>
  <c r="S14" i="531"/>
  <c r="T14" i="531"/>
  <c r="Q14" i="531"/>
  <c r="N22" i="1"/>
  <c r="J22" i="1"/>
  <c r="T22" i="1" l="1"/>
  <c r="Q21" i="1"/>
  <c r="N21" i="1" l="1"/>
  <c r="J21" i="1"/>
  <c r="T21" i="1" l="1"/>
  <c r="Q20" i="1"/>
  <c r="N20" i="1" l="1"/>
  <c r="J20" i="1"/>
  <c r="T20" i="1" l="1"/>
  <c r="S19" i="1"/>
  <c r="Q19" i="1"/>
  <c r="N19" i="1" l="1"/>
  <c r="J19" i="1"/>
  <c r="T19" i="1" l="1"/>
  <c r="Q18" i="1"/>
  <c r="N18" i="1" l="1"/>
  <c r="T18" i="1" l="1"/>
  <c r="N17" i="1" l="1"/>
  <c r="J17" i="1"/>
  <c r="F17" i="1" l="1"/>
  <c r="S16" i="1"/>
  <c r="Q16" i="1"/>
  <c r="N16" i="1" l="1"/>
  <c r="J16" i="1"/>
  <c r="T16" i="1" l="1"/>
  <c r="F16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15" i="1" l="1"/>
  <c r="AH15" i="1"/>
  <c r="BD15" i="2"/>
  <c r="BD14" i="2"/>
  <c r="AI14" i="2"/>
  <c r="V15" i="2"/>
  <c r="AI15" i="2"/>
  <c r="AK14" i="2"/>
  <c r="AK15" i="2"/>
  <c r="W14" i="2"/>
  <c r="W15" i="2"/>
  <c r="V14" i="2"/>
  <c r="BD8" i="2"/>
  <c r="AI8" i="2"/>
  <c r="V8" i="2"/>
  <c r="AK8" i="2"/>
  <c r="W8" i="2"/>
  <c r="P26" i="1"/>
  <c r="AH26" i="1"/>
  <c r="P24" i="1"/>
  <c r="AH24" i="1"/>
  <c r="BD9" i="2"/>
  <c r="V9" i="2"/>
  <c r="I17" i="531" s="1"/>
  <c r="AI9" i="2"/>
  <c r="AK9" i="2"/>
  <c r="W9" i="2"/>
  <c r="BD6" i="2"/>
  <c r="AK6" i="2"/>
  <c r="AI6" i="2"/>
  <c r="V6" i="2"/>
  <c r="W6" i="2"/>
  <c r="P31" i="1"/>
  <c r="AH31" i="1"/>
  <c r="F67" i="54"/>
  <c r="F72" i="54"/>
  <c r="F73" i="54"/>
  <c r="J55" i="54"/>
  <c r="BD20" i="2"/>
  <c r="V20" i="2"/>
  <c r="AI20" i="2"/>
  <c r="AK20" i="2"/>
  <c r="W20" i="2"/>
  <c r="BD19" i="2"/>
  <c r="AK19" i="2"/>
  <c r="V19" i="2"/>
  <c r="AI19" i="2"/>
  <c r="W19" i="2"/>
  <c r="BD18" i="2"/>
  <c r="V18" i="2"/>
  <c r="AK18" i="2"/>
  <c r="AI18" i="2"/>
  <c r="W18" i="2"/>
  <c r="BD17" i="2"/>
  <c r="V17" i="2"/>
  <c r="AK17" i="2"/>
  <c r="AI17" i="2"/>
  <c r="W17" i="2"/>
  <c r="BD16" i="2"/>
  <c r="V16" i="2"/>
  <c r="AI16" i="2"/>
  <c r="AK16" i="2"/>
  <c r="W16" i="2"/>
  <c r="I42" i="531"/>
  <c r="BD13" i="2"/>
  <c r="V13" i="2"/>
  <c r="AK13" i="2"/>
  <c r="AI13" i="2"/>
  <c r="W13" i="2"/>
  <c r="BD12" i="2"/>
  <c r="V12" i="2"/>
  <c r="AK12" i="2"/>
  <c r="AI12" i="2"/>
  <c r="W12" i="2"/>
  <c r="BD11" i="2"/>
  <c r="AK11" i="2"/>
  <c r="V11" i="2"/>
  <c r="AI11" i="2"/>
  <c r="W11" i="2"/>
  <c r="BD10" i="2"/>
  <c r="AK10" i="2"/>
  <c r="AI10" i="2"/>
  <c r="V10" i="2"/>
  <c r="W10" i="2"/>
  <c r="I27" i="531"/>
  <c r="BD7" i="2"/>
  <c r="V7" i="2"/>
  <c r="AK7" i="2"/>
  <c r="AI7" i="2"/>
  <c r="W7" i="2"/>
  <c r="BD5" i="2"/>
  <c r="V5" i="2"/>
  <c r="AK5" i="2"/>
  <c r="AI5" i="2"/>
  <c r="W5" i="2"/>
  <c r="BD4" i="2"/>
  <c r="V4" i="2"/>
  <c r="AK4" i="2"/>
  <c r="S14" i="1" s="1"/>
  <c r="AI4" i="2"/>
  <c r="W4" i="2"/>
  <c r="I8" i="531"/>
  <c r="P40" i="1"/>
  <c r="AH40" i="1"/>
  <c r="P39" i="1"/>
  <c r="AH39" i="1"/>
  <c r="P38" i="1"/>
  <c r="AH38" i="1"/>
  <c r="P37" i="1"/>
  <c r="AH37" i="1"/>
  <c r="P36" i="1"/>
  <c r="AH36" i="1"/>
  <c r="P35" i="1"/>
  <c r="AH35" i="1"/>
  <c r="P34" i="1"/>
  <c r="AH34" i="1"/>
  <c r="P33" i="1"/>
  <c r="AH33" i="1"/>
  <c r="P32" i="1"/>
  <c r="AH32" i="1"/>
  <c r="P30" i="1"/>
  <c r="AH30" i="1"/>
  <c r="P29" i="1"/>
  <c r="AH29" i="1"/>
  <c r="P28" i="1"/>
  <c r="AH28" i="1"/>
  <c r="P27" i="1"/>
  <c r="AH27" i="1"/>
  <c r="P25" i="1"/>
  <c r="AH25" i="1"/>
  <c r="P23" i="1"/>
  <c r="AH23" i="1"/>
  <c r="P22" i="1"/>
  <c r="AH22" i="1"/>
  <c r="P21" i="1"/>
  <c r="AH21" i="1"/>
  <c r="P20" i="1"/>
  <c r="AH20" i="1"/>
  <c r="P19" i="1"/>
  <c r="AH19" i="1"/>
  <c r="P18" i="1"/>
  <c r="AH18" i="1"/>
  <c r="P17" i="1"/>
  <c r="AH17" i="1"/>
  <c r="P16" i="1"/>
  <c r="AH16" i="1"/>
  <c r="P14" i="1"/>
  <c r="AH14" i="1"/>
  <c r="P13" i="1"/>
  <c r="AH13" i="1"/>
  <c r="P12" i="1"/>
  <c r="AH12" i="1"/>
  <c r="AH10" i="1" s="1"/>
  <c r="AD8" i="1"/>
  <c r="AD15" i="1" l="1"/>
  <c r="V15" i="1"/>
  <c r="S28" i="1"/>
  <c r="V28" i="1" s="1"/>
  <c r="S20" i="1"/>
  <c r="V20" i="1" s="1"/>
  <c r="AD26" i="1"/>
  <c r="V26" i="1"/>
  <c r="AI1" i="2"/>
  <c r="S17" i="1"/>
  <c r="V17" i="1" s="1"/>
  <c r="V24" i="1"/>
  <c r="AD24" i="1"/>
  <c r="S35" i="1"/>
  <c r="V35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S32" i="1"/>
  <c r="V32" i="1" s="1"/>
  <c r="S21" i="1"/>
  <c r="V21" i="1" s="1"/>
  <c r="AD31" i="1"/>
  <c r="V31" i="1"/>
  <c r="S33" i="1"/>
  <c r="V33" i="1" s="1"/>
  <c r="S22" i="1"/>
  <c r="V22" i="1" s="1"/>
  <c r="S34" i="1"/>
  <c r="V34" i="1" s="1"/>
  <c r="S18" i="1"/>
  <c r="V18" i="1" s="1"/>
  <c r="V9" i="1" s="1"/>
  <c r="S36" i="1"/>
  <c r="V36" i="1" s="1"/>
  <c r="W1" i="2"/>
  <c r="S23" i="1"/>
  <c r="V23" i="1" s="1"/>
  <c r="V1" i="2"/>
  <c r="J7" i="1"/>
  <c r="AD23" i="1"/>
  <c r="AD30" i="1"/>
  <c r="V30" i="1"/>
  <c r="AD18" i="1"/>
  <c r="AD33" i="1"/>
  <c r="AD22" i="1"/>
  <c r="AD38" i="1"/>
  <c r="V38" i="1"/>
  <c r="AD34" i="1"/>
  <c r="AD12" i="1"/>
  <c r="V12" i="1"/>
  <c r="P10" i="1"/>
  <c r="P7" i="1"/>
  <c r="AD13" i="1"/>
  <c r="V13" i="1"/>
  <c r="AD14" i="1"/>
  <c r="V14" i="1"/>
  <c r="AD39" i="1"/>
  <c r="V39" i="1"/>
  <c r="AD32" i="1"/>
  <c r="AD20" i="1"/>
  <c r="AD35" i="1"/>
  <c r="AD36" i="1"/>
  <c r="AD37" i="1"/>
  <c r="V37" i="1"/>
  <c r="AD28" i="1"/>
  <c r="AD19" i="1"/>
  <c r="V19" i="1"/>
  <c r="AD21" i="1"/>
  <c r="AD25" i="1"/>
  <c r="V25" i="1"/>
  <c r="AD27" i="1"/>
  <c r="V27" i="1"/>
  <c r="AD16" i="1"/>
  <c r="V16" i="1"/>
  <c r="AD17" i="1"/>
  <c r="AD29" i="1"/>
  <c r="V29" i="1"/>
  <c r="AD40" i="1"/>
  <c r="V40" i="1"/>
  <c r="AJ15" i="2" l="1"/>
  <c r="AJ14" i="2"/>
  <c r="AJ8" i="2"/>
  <c r="Q36" i="531"/>
  <c r="P36" i="531"/>
  <c r="T36" i="531"/>
  <c r="S36" i="531"/>
  <c r="R36" i="531"/>
  <c r="AJ9" i="2"/>
  <c r="P51" i="531"/>
  <c r="R49" i="531"/>
  <c r="R51" i="531"/>
  <c r="T51" i="531"/>
  <c r="T49" i="531"/>
  <c r="S51" i="531"/>
  <c r="S49" i="531"/>
  <c r="Q49" i="531"/>
  <c r="Q51" i="531"/>
  <c r="AJ6" i="2"/>
  <c r="AJ19" i="2"/>
  <c r="S7" i="1"/>
  <c r="S10" i="1"/>
  <c r="AJ20" i="2"/>
  <c r="AJ13" i="2"/>
  <c r="AJ12" i="2"/>
  <c r="AJ5" i="2"/>
  <c r="AJ4" i="2"/>
  <c r="AJ11" i="2"/>
  <c r="AJ7" i="2"/>
  <c r="AJ17" i="2"/>
  <c r="AJ10" i="2"/>
  <c r="AJ16" i="2"/>
  <c r="AJ18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40" i="1"/>
  <c r="O40" i="1"/>
  <c r="R39" i="1"/>
  <c r="U40" i="1"/>
  <c r="O39" i="1"/>
  <c r="R38" i="1"/>
  <c r="U39" i="1"/>
  <c r="O38" i="1"/>
  <c r="R37" i="1"/>
  <c r="U38" i="1"/>
  <c r="O37" i="1"/>
  <c r="R36" i="1"/>
  <c r="U37" i="1"/>
  <c r="O36" i="1"/>
  <c r="R35" i="1"/>
  <c r="U36" i="1"/>
  <c r="O35" i="1"/>
  <c r="U35" i="1"/>
  <c r="R34" i="1"/>
  <c r="O34" i="1"/>
  <c r="R33" i="1"/>
  <c r="U34" i="1"/>
  <c r="O33" i="1"/>
  <c r="R32" i="1"/>
  <c r="U33" i="1"/>
  <c r="O32" i="1"/>
  <c r="U32" i="1"/>
  <c r="O30" i="1"/>
  <c r="R29" i="1"/>
  <c r="U30" i="1"/>
  <c r="O29" i="1"/>
  <c r="R28" i="1"/>
  <c r="U29" i="1"/>
  <c r="O28" i="1"/>
  <c r="R27" i="1"/>
  <c r="U28" i="1"/>
  <c r="O27" i="1"/>
  <c r="R25" i="1"/>
  <c r="U27" i="1"/>
  <c r="O25" i="1"/>
  <c r="R23" i="1"/>
  <c r="U25" i="1"/>
  <c r="O23" i="1"/>
  <c r="R22" i="1"/>
  <c r="U23" i="1"/>
  <c r="O22" i="1"/>
  <c r="R21" i="1"/>
  <c r="U22" i="1"/>
  <c r="O21" i="1"/>
  <c r="R20" i="1"/>
  <c r="U21" i="1"/>
  <c r="O20" i="1"/>
  <c r="R19" i="1"/>
  <c r="U20" i="1"/>
  <c r="O19" i="1"/>
  <c r="R18" i="1"/>
  <c r="U19" i="1"/>
  <c r="O18" i="1"/>
  <c r="U18" i="1"/>
  <c r="O17" i="1"/>
  <c r="R16" i="1"/>
  <c r="O16" i="1"/>
  <c r="U16" i="1"/>
  <c r="R14" i="1"/>
  <c r="O14" i="1"/>
  <c r="U14" i="1"/>
  <c r="R13" i="1"/>
  <c r="O13" i="1"/>
  <c r="U13" i="1"/>
  <c r="R12" i="1"/>
  <c r="W10" i="1"/>
  <c r="W15" i="1" s="1"/>
  <c r="O12" i="1"/>
  <c r="U12" i="1"/>
  <c r="V10" i="1"/>
  <c r="B1" i="2" s="1"/>
  <c r="L1" i="2"/>
  <c r="K1" i="2"/>
  <c r="R15" i="1" l="1"/>
  <c r="O15" i="1"/>
  <c r="U15" i="1"/>
  <c r="R24" i="1"/>
  <c r="U9" i="1"/>
  <c r="AH15" i="2"/>
  <c r="AG15" i="2"/>
  <c r="AG14" i="2"/>
  <c r="AH14" i="2"/>
  <c r="AH8" i="2"/>
  <c r="AG8" i="2"/>
  <c r="R26" i="1"/>
  <c r="O26" i="1"/>
  <c r="U26" i="1"/>
  <c r="W26" i="1"/>
  <c r="O24" i="1"/>
  <c r="W24" i="1"/>
  <c r="U24" i="1"/>
  <c r="X103" i="89"/>
  <c r="X110" i="89"/>
  <c r="X146" i="89"/>
  <c r="AH9" i="2"/>
  <c r="L17" i="531" s="1"/>
  <c r="L16" i="531" s="1"/>
  <c r="AG9" i="2"/>
  <c r="K17" i="531" s="1"/>
  <c r="I24" i="531" s="1"/>
  <c r="AH6" i="2"/>
  <c r="AG6" i="2"/>
  <c r="R30" i="1"/>
  <c r="R31" i="1"/>
  <c r="O31" i="1"/>
  <c r="X41" i="89"/>
  <c r="X181" i="89"/>
  <c r="X9" i="89"/>
  <c r="X35" i="89"/>
  <c r="X70" i="89"/>
  <c r="X77" i="89"/>
  <c r="X206" i="89"/>
  <c r="X208" i="89" s="1"/>
  <c r="X226" i="89"/>
  <c r="X28" i="89"/>
  <c r="X64" i="89"/>
  <c r="X97" i="89"/>
  <c r="X139" i="89"/>
  <c r="X172" i="89"/>
  <c r="X12" i="89" s="1"/>
  <c r="W31" i="1"/>
  <c r="U31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0" i="2"/>
  <c r="AH20" i="2"/>
  <c r="AG19" i="2"/>
  <c r="AH19" i="2"/>
  <c r="AG18" i="2"/>
  <c r="AH18" i="2"/>
  <c r="AG17" i="2"/>
  <c r="AH17" i="2"/>
  <c r="AG16" i="2"/>
  <c r="AH16" i="2"/>
  <c r="K42" i="531"/>
  <c r="L42" i="531"/>
  <c r="L41" i="531" s="1"/>
  <c r="AG13" i="2"/>
  <c r="AH13" i="2"/>
  <c r="AG12" i="2"/>
  <c r="AH12" i="2"/>
  <c r="AG11" i="2"/>
  <c r="AH11" i="2"/>
  <c r="AG10" i="2"/>
  <c r="AH10" i="2"/>
  <c r="K27" i="531"/>
  <c r="I34" i="531" s="1"/>
  <c r="L27" i="531"/>
  <c r="L26" i="531" s="1"/>
  <c r="AG7" i="2"/>
  <c r="AH7" i="2"/>
  <c r="AG5" i="2"/>
  <c r="AH5" i="2"/>
  <c r="AG4" i="2"/>
  <c r="AH4" i="2"/>
  <c r="K8" i="531"/>
  <c r="L8" i="531"/>
  <c r="J5" i="1"/>
  <c r="AA27" i="1"/>
  <c r="Y27" i="1"/>
  <c r="Z27" i="1"/>
  <c r="Z28" i="1"/>
  <c r="AA28" i="1"/>
  <c r="Y28" i="1"/>
  <c r="Z20" i="1"/>
  <c r="Y20" i="1"/>
  <c r="AA20" i="1"/>
  <c r="AA13" i="1"/>
  <c r="Y13" i="1"/>
  <c r="Z13" i="1"/>
  <c r="Z32" i="1"/>
  <c r="AA32" i="1"/>
  <c r="Y32" i="1"/>
  <c r="Z33" i="1"/>
  <c r="AA33" i="1"/>
  <c r="Y33" i="1"/>
  <c r="AA40" i="1"/>
  <c r="Z40" i="1"/>
  <c r="Y40" i="1"/>
  <c r="AA35" i="1"/>
  <c r="Y35" i="1"/>
  <c r="Z35" i="1"/>
  <c r="AA36" i="1"/>
  <c r="Z36" i="1"/>
  <c r="Y36" i="1"/>
  <c r="AA29" i="1"/>
  <c r="Z29" i="1"/>
  <c r="Y29" i="1"/>
  <c r="Z38" i="1"/>
  <c r="AA38" i="1"/>
  <c r="Y38" i="1"/>
  <c r="Z23" i="1"/>
  <c r="AA23" i="1"/>
  <c r="Y23" i="1"/>
  <c r="Z19" i="1"/>
  <c r="AA19" i="1"/>
  <c r="Y19" i="1"/>
  <c r="AA12" i="1"/>
  <c r="Y12" i="1"/>
  <c r="Z12" i="1"/>
  <c r="W40" i="1"/>
  <c r="W39" i="1"/>
  <c r="W38" i="1"/>
  <c r="W37" i="1"/>
  <c r="W36" i="1"/>
  <c r="W35" i="1"/>
  <c r="W34" i="1"/>
  <c r="W33" i="1"/>
  <c r="W32" i="1"/>
  <c r="W30" i="1"/>
  <c r="W29" i="1"/>
  <c r="W28" i="1"/>
  <c r="W27" i="1"/>
  <c r="W25" i="1"/>
  <c r="W23" i="1"/>
  <c r="W22" i="1"/>
  <c r="W21" i="1"/>
  <c r="W20" i="1"/>
  <c r="W19" i="1"/>
  <c r="W18" i="1"/>
  <c r="W17" i="1"/>
  <c r="W16" i="1"/>
  <c r="W14" i="1"/>
  <c r="W13" i="1"/>
  <c r="W12" i="1"/>
  <c r="AA21" i="1"/>
  <c r="Z21" i="1"/>
  <c r="Y21" i="1"/>
  <c r="AA30" i="1"/>
  <c r="Z30" i="1"/>
  <c r="Y30" i="1"/>
  <c r="Z22" i="1"/>
  <c r="Y22" i="1"/>
  <c r="AA22" i="1"/>
  <c r="Z25" i="1"/>
  <c r="AA25" i="1"/>
  <c r="Y25" i="1"/>
  <c r="AA34" i="1"/>
  <c r="Z34" i="1"/>
  <c r="Y34" i="1"/>
  <c r="Y37" i="1"/>
  <c r="Z37" i="1"/>
  <c r="AA37" i="1"/>
  <c r="AA14" i="1"/>
  <c r="Z14" i="1"/>
  <c r="Y14" i="1"/>
  <c r="AA39" i="1"/>
  <c r="Y39" i="1"/>
  <c r="Z39" i="1"/>
  <c r="Z16" i="1"/>
  <c r="AA16" i="1"/>
  <c r="Y16" i="1"/>
  <c r="Z17" i="1"/>
  <c r="AA17" i="1"/>
  <c r="Y17" i="1"/>
  <c r="AA18" i="1"/>
  <c r="Y18" i="1"/>
  <c r="Z18" i="1"/>
  <c r="AA15" i="1" l="1"/>
  <c r="Y15" i="1"/>
  <c r="Z15" i="1"/>
  <c r="U6" i="1"/>
  <c r="W6" i="1" s="1"/>
  <c r="AA26" i="1"/>
  <c r="Y26" i="1"/>
  <c r="Z26" i="1"/>
  <c r="Y24" i="1"/>
  <c r="AA24" i="1"/>
  <c r="Z24" i="1"/>
  <c r="R24" i="531"/>
  <c r="T24" i="531"/>
  <c r="P24" i="531"/>
  <c r="S24" i="531"/>
  <c r="Q24" i="531"/>
  <c r="R6" i="1"/>
  <c r="P34" i="531"/>
  <c r="Q34" i="531"/>
  <c r="R34" i="531"/>
  <c r="T34" i="531"/>
  <c r="S34" i="531"/>
  <c r="O6" i="1"/>
  <c r="AA31" i="1"/>
  <c r="Y31" i="1"/>
  <c r="Z31" i="1"/>
  <c r="U5" i="1"/>
  <c r="R5" i="1"/>
  <c r="O5" i="1"/>
  <c r="U8" i="1" l="1"/>
  <c r="AA6" i="1"/>
  <c r="AB6" i="1" s="1"/>
  <c r="R8" i="1"/>
  <c r="AA5" i="1"/>
  <c r="AB5" i="1" s="1"/>
  <c r="Z10" i="1"/>
  <c r="O8" i="1"/>
  <c r="R7" i="1"/>
  <c r="W5" i="1"/>
  <c r="U7" i="1"/>
  <c r="U10" i="1" s="1"/>
  <c r="O7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T1" i="1"/>
  <c r="R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L51" i="338" a="1"/>
  <c r="U51" i="338" a="1"/>
  <c r="V51" i="338" a="1"/>
  <c r="V51" i="338" l="1"/>
  <c r="U51" i="338"/>
  <c r="L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U48" i="338" a="1"/>
  <c r="V48" i="338" a="1"/>
  <c r="L48" i="338" a="1"/>
  <c r="L48" i="338" l="1"/>
  <c r="V48" i="338"/>
  <c r="U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L44" i="338" a="1"/>
  <c r="U44" i="338" a="1"/>
  <c r="V44" i="338" a="1"/>
  <c r="V44" i="338" l="1"/>
  <c r="U44" i="338"/>
  <c r="L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L41" i="338" a="1"/>
  <c r="V41" i="338" a="1"/>
  <c r="U41" i="338" a="1"/>
  <c r="U41" i="338" l="1"/>
  <c r="V41" i="338"/>
  <c r="L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L38" i="338" a="1"/>
  <c r="U38" i="338" a="1"/>
  <c r="V38" i="338" a="1"/>
  <c r="V38" i="338" l="1"/>
  <c r="U38" i="338"/>
  <c r="L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L35" i="338" a="1"/>
  <c r="U35" i="338" a="1"/>
  <c r="V35" i="338" a="1"/>
  <c r="V35" i="338" l="1"/>
  <c r="U35" i="338"/>
  <c r="L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L32" i="338" a="1"/>
  <c r="V32" i="338" a="1"/>
  <c r="U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U31" i="338"/>
  <c r="V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L30" i="338" a="1"/>
  <c r="U30" i="338" a="1"/>
  <c r="V30" i="338" a="1"/>
  <c r="V30" i="338" l="1"/>
  <c r="U30" i="338"/>
  <c r="L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L17" i="338" a="1"/>
  <c r="V17" i="338" a="1"/>
  <c r="U17" i="338" a="1"/>
  <c r="U17" i="338" l="1"/>
  <c r="V17" i="338"/>
  <c r="L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L16" i="338" a="1"/>
  <c r="U16" i="338" a="1"/>
  <c r="V16" i="338" a="1"/>
  <c r="V16" i="338" l="1"/>
  <c r="U16" i="338"/>
  <c r="L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L13" i="338" a="1"/>
  <c r="V13" i="338" a="1"/>
  <c r="U13" i="338" a="1"/>
  <c r="U13" i="338" l="1"/>
  <c r="V13" i="338"/>
  <c r="L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U9" i="338"/>
  <c r="V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P30" i="338" a="1"/>
  <c r="AP15" i="338" a="1"/>
  <c r="AU45" i="338" a="1"/>
  <c r="AP16" i="338" a="1"/>
  <c r="AU42" i="338" a="1"/>
  <c r="AP13" i="338" a="1"/>
  <c r="AP34" i="338" a="1"/>
  <c r="AP40" i="338" a="1"/>
  <c r="AU11" i="338" a="1"/>
  <c r="AU40" i="338" a="1"/>
  <c r="AP14" i="338" a="1"/>
  <c r="AP35" i="338" a="1"/>
  <c r="AP39" i="338" a="1"/>
  <c r="AP29" i="338" a="1"/>
  <c r="AP38" i="338" a="1"/>
  <c r="AU9" i="338" a="1"/>
  <c r="AU18" i="338" a="1"/>
  <c r="AP17" i="338" a="1"/>
  <c r="AP46" i="338" a="1"/>
  <c r="AU10" i="338" a="1"/>
  <c r="AU54" i="338" a="1"/>
  <c r="AP44" i="338" a="1"/>
  <c r="AP49" i="338" a="1"/>
  <c r="AU31" i="338" a="1"/>
  <c r="AU8" i="338" a="1"/>
  <c r="AU47" i="338" a="1"/>
  <c r="AP18" i="338" a="1"/>
  <c r="AP45" i="338" a="1"/>
  <c r="AP47" i="338" a="1"/>
  <c r="AP48" i="338" a="1"/>
  <c r="AU46" i="338" a="1"/>
  <c r="AU33" i="338" a="1"/>
  <c r="AU53" i="338" a="1"/>
  <c r="AU41" i="338" a="1"/>
  <c r="AU51" i="338" a="1"/>
  <c r="AU13" i="338" a="1"/>
  <c r="AU32" i="338" a="1"/>
  <c r="AU50" i="338" a="1"/>
  <c r="AP52" i="338" a="1"/>
  <c r="AP33" i="338" a="1"/>
  <c r="AP32" i="338" a="1"/>
  <c r="AP51" i="338" a="1"/>
  <c r="AU38" i="338" a="1"/>
  <c r="AU34" i="338" a="1"/>
  <c r="AU39" i="338" a="1"/>
  <c r="AU30" i="338" a="1"/>
  <c r="AU44" i="338" a="1"/>
  <c r="AP12" i="338" a="1"/>
  <c r="AP42" i="338" a="1"/>
  <c r="AU17" i="338" a="1"/>
  <c r="AU12" i="338" a="1"/>
  <c r="AU35" i="338" a="1"/>
  <c r="AP8" i="338" a="1"/>
  <c r="AP11" i="338" a="1"/>
  <c r="AU52" i="338" a="1"/>
  <c r="AP53" i="338" a="1"/>
  <c r="AP31" i="338" a="1"/>
  <c r="AU29" i="338" a="1"/>
  <c r="AP37" i="338" a="1"/>
  <c r="AP50" i="338" a="1"/>
  <c r="AU49" i="338" a="1"/>
  <c r="AP41" i="338" a="1"/>
  <c r="AU15" i="338" a="1"/>
  <c r="AP54" i="338" a="1"/>
  <c r="AU16" i="338" a="1"/>
  <c r="AP36" i="338" a="1"/>
  <c r="AU36" i="338" a="1"/>
  <c r="AP9" i="338" a="1"/>
  <c r="AU48" i="338" a="1"/>
  <c r="AU37" i="338" a="1"/>
  <c r="AP10" i="338" a="1"/>
  <c r="H8" i="338" a="1"/>
  <c r="AP38" i="338" l="1"/>
  <c r="AP29" i="338"/>
  <c r="AP39" i="338"/>
  <c r="AP35" i="338"/>
  <c r="AP14" i="338"/>
  <c r="AU40" i="338"/>
  <c r="AU11" i="338"/>
  <c r="AP40" i="338"/>
  <c r="AP34" i="338"/>
  <c r="AP13" i="338"/>
  <c r="AU42" i="338"/>
  <c r="AP16" i="338"/>
  <c r="AU45" i="338"/>
  <c r="AP15" i="338"/>
  <c r="AP30" i="338"/>
  <c r="AP10" i="338"/>
  <c r="AU37" i="338"/>
  <c r="AU48" i="338"/>
  <c r="AP9" i="338"/>
  <c r="AU36" i="338"/>
  <c r="AP36" i="338"/>
  <c r="AU16" i="338"/>
  <c r="AP54" i="338"/>
  <c r="AU15" i="338"/>
  <c r="AP41" i="338"/>
  <c r="AU49" i="338"/>
  <c r="AP50" i="338"/>
  <c r="AP37" i="338"/>
  <c r="AU29" i="338"/>
  <c r="AP31" i="338"/>
  <c r="AP53" i="338"/>
  <c r="AU52" i="338"/>
  <c r="AP11" i="338"/>
  <c r="AP8" i="338"/>
  <c r="AU35" i="338"/>
  <c r="AU12" i="338"/>
  <c r="AU17" i="338"/>
  <c r="AP42" i="338"/>
  <c r="AP12" i="338"/>
  <c r="AU44" i="338"/>
  <c r="AU30" i="338"/>
  <c r="AU39" i="338"/>
  <c r="AU34" i="338"/>
  <c r="AU38" i="338"/>
  <c r="AP51" i="338"/>
  <c r="AP32" i="338"/>
  <c r="AP33" i="338"/>
  <c r="AP52" i="338"/>
  <c r="AU50" i="338"/>
  <c r="AU32" i="338"/>
  <c r="AU13" i="338"/>
  <c r="AU51" i="338"/>
  <c r="AU41" i="338"/>
  <c r="AU53" i="338"/>
  <c r="AU33" i="338"/>
  <c r="AU46" i="338"/>
  <c r="AP48" i="338"/>
  <c r="AP47" i="338"/>
  <c r="AP45" i="338"/>
  <c r="AP18" i="338"/>
  <c r="AU47" i="338"/>
  <c r="AU8" i="338"/>
  <c r="AU31" i="338"/>
  <c r="AP49" i="338"/>
  <c r="AP44" i="338"/>
  <c r="AU54" i="338"/>
  <c r="AU10" i="338"/>
  <c r="AP46" i="338"/>
  <c r="AP17" i="338"/>
  <c r="AU18" i="338"/>
  <c r="AU9" i="338"/>
  <c r="H8" i="338"/>
  <c r="O8" i="338"/>
  <c r="AN3" i="338"/>
  <c r="Q2" i="338"/>
  <c r="Q4" i="338" s="1"/>
  <c r="AM3" i="338"/>
  <c r="E4" i="338"/>
  <c r="E1" i="338" s="1"/>
  <c r="K8" i="338"/>
  <c r="U20" i="252"/>
  <c r="V20" i="252"/>
  <c r="AM38" i="338"/>
  <c r="AR39" i="338"/>
  <c r="AR16" i="338"/>
  <c r="AR17" i="338"/>
  <c r="AM35" i="338"/>
  <c r="AR15" i="338"/>
  <c r="AR38" i="338"/>
  <c r="AM14" i="338"/>
  <c r="AM44" i="338"/>
  <c r="AR10" i="338"/>
  <c r="AM40" i="338"/>
  <c r="AM17" i="338"/>
  <c r="AR42" i="338"/>
  <c r="AM16" i="338"/>
  <c r="AR52" i="338"/>
  <c r="AM8" i="338"/>
  <c r="AR53" i="338"/>
  <c r="AM48" i="338"/>
  <c r="AM9" i="338"/>
  <c r="AM18" i="338"/>
  <c r="AR44" i="338"/>
  <c r="AM47" i="338"/>
  <c r="AM12" i="338"/>
  <c r="AS17" i="338"/>
  <c r="AN9" i="338"/>
  <c r="AN12" i="338"/>
  <c r="AS44" i="338"/>
  <c r="AN18" i="338"/>
  <c r="AS16" i="338"/>
  <c r="AS39" i="338"/>
  <c r="AN16" i="338"/>
  <c r="AS15" i="338"/>
  <c r="AS38" i="338"/>
  <c r="AN38" i="338"/>
  <c r="AN44" i="338"/>
  <c r="AN40" i="338"/>
  <c r="AN17" i="338"/>
  <c r="AS52" i="338"/>
  <c r="AN8" i="338"/>
  <c r="AN35" i="338"/>
  <c r="AN48" i="338"/>
  <c r="AS42" i="338"/>
  <c r="AN14" i="338"/>
  <c r="Q41" i="338" a="1"/>
  <c r="Q47" i="338" a="1"/>
  <c r="Q31" i="338" a="1"/>
  <c r="Q33" i="338" a="1"/>
  <c r="Q51" i="338" a="1"/>
  <c r="AS10" i="338"/>
  <c r="AS53" i="338"/>
  <c r="AN47" i="338"/>
  <c r="Q44" i="338" a="1"/>
  <c r="Q39" i="338" a="1"/>
  <c r="Q15" i="338" a="1"/>
  <c r="Q38" i="338" a="1"/>
  <c r="Q16" i="338" a="1"/>
  <c r="Q17" i="338" a="1"/>
  <c r="Q52" i="338" a="1"/>
  <c r="Q50" i="338" a="1"/>
  <c r="Q32" i="338" a="1"/>
  <c r="Q8" i="338" a="1"/>
  <c r="Q46" i="338" a="1"/>
  <c r="Q36" i="338" a="1"/>
  <c r="Q37" i="338" a="1"/>
  <c r="Q34" i="338" a="1"/>
  <c r="Q35" i="338" a="1"/>
  <c r="Q49" i="338" a="1"/>
  <c r="Q48" i="338" a="1"/>
  <c r="Q53" i="338" a="1"/>
  <c r="Q10" i="338" a="1"/>
  <c r="Q54" i="338" a="1"/>
  <c r="Q13" i="338" a="1"/>
  <c r="Q14" i="338" a="1"/>
  <c r="Q42" i="338" a="1"/>
  <c r="Q30" i="338" a="1"/>
  <c r="Q29" i="338" a="1"/>
  <c r="Q9" i="338" a="1"/>
  <c r="Q45" i="338" a="1"/>
  <c r="Q18" i="338" a="1"/>
  <c r="Q11" i="338" a="1"/>
  <c r="Q40" i="338" a="1"/>
  <c r="Q12" i="338" a="1"/>
  <c r="Q55" i="338" a="1"/>
  <c r="U8" i="338" a="1"/>
  <c r="V8" i="338" a="1"/>
  <c r="L8" i="338" a="1"/>
  <c r="Q51" i="338" l="1"/>
  <c r="Q33" i="338"/>
  <c r="Q31" i="338"/>
  <c r="Q47" i="338"/>
  <c r="Q41" i="338"/>
  <c r="Q35" i="338"/>
  <c r="Q34" i="338"/>
  <c r="Q37" i="338"/>
  <c r="Q36" i="338"/>
  <c r="Q46" i="338"/>
  <c r="Q8" i="338"/>
  <c r="Q32" i="338"/>
  <c r="Q50" i="338"/>
  <c r="Q52" i="338"/>
  <c r="Q17" i="338"/>
  <c r="Q16" i="338"/>
  <c r="Q38" i="338"/>
  <c r="Q15" i="338"/>
  <c r="Q39" i="338"/>
  <c r="Q44" i="338"/>
  <c r="Q40" i="338"/>
  <c r="Q11" i="338"/>
  <c r="Q18" i="338"/>
  <c r="Q45" i="338"/>
  <c r="Q9" i="338"/>
  <c r="Q29" i="338"/>
  <c r="Q30" i="338"/>
  <c r="Q42" i="338"/>
  <c r="Q14" i="338"/>
  <c r="Q13" i="338"/>
  <c r="Q54" i="338"/>
  <c r="Q10" i="338"/>
  <c r="Q53" i="338"/>
  <c r="Q48" i="338"/>
  <c r="Q49" i="338"/>
  <c r="Q12" i="338"/>
  <c r="Q55" i="338"/>
  <c r="L8" i="338"/>
  <c r="V8" i="338"/>
  <c r="U8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M42" i="338"/>
  <c r="AN11" i="338"/>
  <c r="AR50" i="338"/>
  <c r="AM32" i="338"/>
  <c r="AS34" i="338"/>
  <c r="AR36" i="338"/>
  <c r="AR49" i="338"/>
  <c r="AS36" i="338"/>
  <c r="AS45" i="338"/>
  <c r="AR29" i="338"/>
  <c r="AS49" i="338"/>
  <c r="AM54" i="338"/>
  <c r="AM45" i="338"/>
  <c r="AR51" i="338"/>
  <c r="AM34" i="338"/>
  <c r="AS40" i="338"/>
  <c r="AN39" i="338"/>
  <c r="AS51" i="338"/>
  <c r="AN34" i="338"/>
  <c r="AR40" i="338"/>
  <c r="AM39" i="338"/>
  <c r="AR9" i="338"/>
  <c r="AM51" i="338"/>
  <c r="AS9" i="338"/>
  <c r="AN46" i="338"/>
  <c r="AN51" i="338"/>
  <c r="AN29" i="338"/>
  <c r="AM52" i="338"/>
  <c r="AS8" i="338"/>
  <c r="AN52" i="338"/>
  <c r="AN42" i="338"/>
  <c r="AM11" i="338"/>
  <c r="AS50" i="338"/>
  <c r="AN32" i="338"/>
  <c r="AR34" i="338"/>
  <c r="AR45" i="338"/>
  <c r="AS29" i="338"/>
  <c r="AN54" i="338"/>
  <c r="AM46" i="338"/>
  <c r="AM29" i="338"/>
  <c r="AN45" i="338"/>
  <c r="AR48" i="338"/>
  <c r="AS48" i="338"/>
  <c r="AR37" i="338"/>
  <c r="AS37" i="338"/>
  <c r="AR33" i="338"/>
  <c r="AM53" i="338"/>
  <c r="AN37" i="338"/>
  <c r="AN49" i="338"/>
  <c r="AR47" i="338"/>
  <c r="AS18" i="338"/>
  <c r="AR18" i="338"/>
  <c r="AR30" i="338"/>
  <c r="AN50" i="338"/>
  <c r="AR11" i="338"/>
  <c r="AM15" i="338"/>
  <c r="AR41" i="338"/>
  <c r="AS33" i="338"/>
  <c r="AN53" i="338"/>
  <c r="AM37" i="338"/>
  <c r="AM49" i="338"/>
  <c r="AS47" i="338"/>
  <c r="AS46" i="338"/>
  <c r="AR35" i="338"/>
  <c r="AR46" i="338"/>
  <c r="AS32" i="338"/>
  <c r="AM36" i="338"/>
  <c r="AN31" i="338"/>
  <c r="AN10" i="338"/>
  <c r="AM13" i="338"/>
  <c r="AR31" i="338"/>
  <c r="AR13" i="338"/>
  <c r="AS35" i="338"/>
  <c r="AN33" i="338"/>
  <c r="AS30" i="338"/>
  <c r="AM33" i="338"/>
  <c r="AN30" i="338"/>
  <c r="AM31" i="338"/>
  <c r="AR54" i="338"/>
  <c r="AS54" i="338"/>
  <c r="AN15" i="338"/>
  <c r="AN13" i="338"/>
  <c r="AS41" i="338"/>
  <c r="AS13" i="338"/>
  <c r="AN41" i="338"/>
  <c r="AR8" i="338"/>
  <c r="AM30" i="338"/>
  <c r="AR32" i="338"/>
  <c r="AM50" i="338"/>
  <c r="AR12" i="338"/>
  <c r="AN36" i="338"/>
  <c r="AS12" i="338"/>
  <c r="AM10" i="338"/>
  <c r="AS11" i="338"/>
  <c r="AS31" i="338"/>
  <c r="AM41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<sst xmlns="http://schemas.openxmlformats.org/spreadsheetml/2006/main" count="16746" uniqueCount="2466">
  <si>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</si>
  <si>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</si>
  <si>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</si>
  <si>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</si>
  <si>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</si>
  <si>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</si>
  <si>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</si>
  <si>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</si>
  <si>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</si>
  <si>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</si>
  <si>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</si>
  <si>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</si>
  <si>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</si>
  <si>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</si>
  <si>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</si>
  <si>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</si>
  <si>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</si>
  <si>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</si>
  <si>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</si>
  <si>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</si>
  <si>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</si>
  <si>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</si>
  <si>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</si>
  <si>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</si>
  <si>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</si>
  <si>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</si>
  <si>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</si>
  <si>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</si>
  <si>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</si>
  <si>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</si>
  <si>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</si>
  <si>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</si>
  <si>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</si>
  <si>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</si>
  <si>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</si>
  <si>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</si>
  <si>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</si>
  <si>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</si>
  <si>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</si>
  <si>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</si>
  <si>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</si>
  <si>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</si>
  <si>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</si>
  <si>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</si>
  <si>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</si>
  <si>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</si>
  <si>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</si>
  <si>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</si>
  <si>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</si>
  <si>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</si>
  <si>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</si>
  <si>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</si>
  <si>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</si>
  <si>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</si>
  <si>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</si>
  <si>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</si>
  <si>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</si>
  <si>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</si>
  <si>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</si>
  <si>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</si>
  <si>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</si>
  <si>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</si>
  <si>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</si>
  <si>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</si>
  <si>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</si>
  <si>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</si>
  <si>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</si>
  <si>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</si>
  <si>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</si>
  <si>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</si>
  <si>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</si>
  <si>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</si>
  <si>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</si>
  <si>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</si>
  <si>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</si>
  <si>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</si>
  <si>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</si>
  <si>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</si>
  <si>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</si>
  <si>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</si>
  <si>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</si>
  <si>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</si>
  <si>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</si>
  <si>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</si>
  <si>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</si>
  <si>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</si>
  <si>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</si>
  <si>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</si>
  <si>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</si>
  <si>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</si>
  <si>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</si>
  <si>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</si>
  <si>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</si>
  <si>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</si>
  <si>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</si>
  <si>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</si>
  <si>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</si>
  <si>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</si>
  <si>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</si>
  <si>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</si>
  <si>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</si>
  <si>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</si>
  <si>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</si>
  <si>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</si>
  <si>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</si>
  <si>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</si>
  <si>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</si>
  <si>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</si>
  <si>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</si>
  <si>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</si>
  <si>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</si>
  <si>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</si>
  <si>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</si>
  <si>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</si>
  <si>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</si>
  <si>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</si>
  <si>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</si>
  <si>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</si>
  <si>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</si>
  <si>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</si>
  <si>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</si>
  <si>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</si>
  <si>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</si>
  <si>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</si>
  <si>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</si>
  <si>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</si>
  <si>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</si>
  <si>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</si>
  <si>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</si>
  <si>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</si>
  <si>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</si>
  <si>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</si>
  <si>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</si>
  <si>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</si>
  <si>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</si>
  <si>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</si>
  <si>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</si>
  <si>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</si>
  <si>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</si>
  <si>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</si>
  <si>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</si>
  <si>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</si>
  <si>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</si>
  <si>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</si>
  <si>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</si>
  <si>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</si>
  <si>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</si>
  <si>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</si>
  <si>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</si>
  <si>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</si>
  <si>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</si>
  <si>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</si>
  <si>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</si>
  <si>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</si>
  <si>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</si>
  <si>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</si>
  <si>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</si>
  <si>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</si>
  <si>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</si>
  <si>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</si>
  <si>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</si>
  <si>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</si>
  <si>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</si>
  <si>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</si>
  <si>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</si>
  <si>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</si>
  <si>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</si>
  <si>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</si>
  <si>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</si>
  <si>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</si>
  <si>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</si>
  <si>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</si>
  <si>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</si>
  <si>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</si>
  <si>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</si>
  <si>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</si>
  <si>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</si>
  <si>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</si>
  <si>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</si>
  <si>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</si>
  <si>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</si>
  <si>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</si>
  <si>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</si>
  <si>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</si>
  <si>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</si>
  <si>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</si>
  <si>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</si>
  <si>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</si>
  <si>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</si>
  <si>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</si>
  <si>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</si>
  <si>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</si>
  <si>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</si>
  <si>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</si>
  <si>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</si>
  <si>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</si>
  <si>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</si>
  <si>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</si>
  <si>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</si>
  <si>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</si>
  <si>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</si>
  <si>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</si>
  <si>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</si>
  <si>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</si>
  <si>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</si>
  <si>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</si>
  <si>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</si>
  <si>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</si>
  <si>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</si>
  <si>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</si>
  <si>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</si>
  <si>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</si>
  <si>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</si>
  <si>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</si>
  <si>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</si>
  <si>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</si>
  <si>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</si>
  <si>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</si>
  <si>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</si>
  <si>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</si>
  <si>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</si>
  <si>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</si>
  <si>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</si>
  <si>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</si>
  <si>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</si>
  <si>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</si>
  <si>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</si>
  <si>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</si>
  <si>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</si>
  <si>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</si>
  <si>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</si>
  <si>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</si>
  <si>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</si>
  <si>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</si>
  <si>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</si>
  <si>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</si>
  <si>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</si>
  <si>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</si>
  <si>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</si>
  <si>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</si>
  <si>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</si>
  <si>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</si>
  <si>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</si>
  <si>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</si>
  <si>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</si>
  <si>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</si>
  <si>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</si>
  <si>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</si>
  <si>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</si>
  <si>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</si>
  <si>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</si>
  <si>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</si>
  <si>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</si>
  <si>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</si>
  <si>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</si>
  <si>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</si>
  <si>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</si>
  <si>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</si>
  <si>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</si>
  <si>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</si>
  <si>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</si>
  <si>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</si>
  <si>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</si>
  <si>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</si>
  <si>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</si>
  <si>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</si>
  <si>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</si>
  <si>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</si>
  <si>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</si>
  <si>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</si>
  <si>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</si>
  <si>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</si>
  <si>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</si>
  <si>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</si>
  <si>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</si>
  <si>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</si>
  <si>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</si>
  <si>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</si>
  <si>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</si>
  <si>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</si>
  <si>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</si>
  <si>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</si>
  <si>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</si>
  <si>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</si>
  <si>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</si>
  <si>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</si>
  <si>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</si>
  <si>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</si>
  <si>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</si>
  <si>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</si>
  <si>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</si>
  <si>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</si>
  <si>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</si>
  <si>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</si>
  <si>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</si>
  <si>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</si>
  <si>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</si>
  <si>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</si>
  <si>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</si>
  <si>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</si>
  <si>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</si>
  <si>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</si>
  <si>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</si>
  <si>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</si>
  <si>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</si>
  <si>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</si>
  <si>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</si>
  <si>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</si>
  <si>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</si>
  <si>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</si>
  <si>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</si>
  <si>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</si>
  <si>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</si>
  <si>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</si>
  <si>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</si>
  <si>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</si>
  <si>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</si>
  <si>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</si>
  <si>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</si>
  <si>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</si>
  <si>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</si>
  <si>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</si>
  <si>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</si>
  <si>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</si>
  <si>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</si>
  <si>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</si>
  <si>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</si>
  <si>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</si>
  <si>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</si>
  <si>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</si>
  <si>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</si>
  <si>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</si>
  <si>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</si>
  <si>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</si>
  <si>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</si>
  <si>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</si>
  <si>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</si>
  <si>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</si>
  <si>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</si>
  <si>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</si>
  <si>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</si>
  <si>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</si>
  <si>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</si>
  <si>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</si>
  <si>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</si>
  <si>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</si>
  <si>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</si>
  <si>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</si>
  <si>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</si>
  <si>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</si>
  <si>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</si>
  <si>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</si>
  <si>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</si>
  <si>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</si>
  <si>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</si>
  <si>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</si>
  <si>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</si>
  <si>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</si>
  <si>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</si>
  <si>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</si>
  <si>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</si>
  <si>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</si>
  <si>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</si>
  <si>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</si>
  <si>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</si>
  <si>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</si>
  <si>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</si>
  <si>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</si>
  <si>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</si>
  <si>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</si>
  <si>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</si>
  <si>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</si>
  <si>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</si>
  <si>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</si>
  <si>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</si>
  <si>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</si>
  <si>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</si>
  <si>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</si>
  <si>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</si>
  <si>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</si>
  <si>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</si>
  <si>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</si>
  <si>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</si>
  <si>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</si>
  <si>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</si>
  <si>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</si>
  <si>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</si>
  <si>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</si>
  <si>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</si>
  <si>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</si>
  <si>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</si>
  <si>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</si>
  <si>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</si>
  <si>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</si>
  <si>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</si>
  <si>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</si>
  <si>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</si>
  <si>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</si>
  <si>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</si>
  <si>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</si>
  <si>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</si>
  <si>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</si>
  <si>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</si>
  <si>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</si>
  <si>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</si>
  <si>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</si>
  <si>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</si>
  <si>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</si>
  <si>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</si>
  <si>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</si>
  <si>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</si>
  <si>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</si>
  <si>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</si>
  <si>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</si>
  <si>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</si>
  <si>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</si>
  <si>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</si>
  <si>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</si>
  <si>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</si>
  <si>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</si>
  <si>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</si>
  <si>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</si>
  <si>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</si>
  <si>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</si>
  <si>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</si>
  <si>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</si>
  <si>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</si>
  <si>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</si>
  <si>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</si>
  <si>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</si>
  <si>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</si>
  <si>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</si>
  <si>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</si>
  <si>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</si>
  <si>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</si>
  <si>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</si>
  <si>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</si>
  <si>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</si>
  <si>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</si>
  <si>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</si>
  <si>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</si>
  <si>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</si>
  <si>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</si>
  <si>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</si>
  <si>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</si>
  <si>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</si>
  <si>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</si>
  <si>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</si>
  <si>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</si>
  <si>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</si>
  <si>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</si>
  <si>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</si>
  <si>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</si>
  <si>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</si>
  <si>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</si>
  <si>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</si>
  <si>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</si>
  <si>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</si>
  <si>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</si>
  <si>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</si>
  <si>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</si>
  <si>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</si>
  <si>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</si>
  <si>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</si>
  <si>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</si>
  <si>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</si>
  <si>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</si>
  <si>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</si>
  <si>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</si>
  <si>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</si>
  <si>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</si>
  <si>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</si>
  <si>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</si>
  <si>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</si>
  <si>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</si>
  <si>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</si>
  <si>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</si>
  <si>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</si>
  <si>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</si>
  <si>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</si>
  <si>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</si>
  <si>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</si>
  <si>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</si>
  <si>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</si>
  <si>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</si>
  <si>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</si>
  <si>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</si>
  <si>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</si>
  <si>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</si>
  <si>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</si>
  <si>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</si>
  <si>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</si>
  <si>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</si>
  <si>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</si>
  <si>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</si>
  <si>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</si>
  <si>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</si>
  <si>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</si>
  <si>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</si>
  <si>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</si>
  <si>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</si>
  <si>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</si>
  <si>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</si>
  <si>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</si>
  <si>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</si>
  <si>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</si>
  <si>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</si>
  <si>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</si>
  <si>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</si>
  <si>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</si>
  <si>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</si>
  <si>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</si>
  <si>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</si>
  <si>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</si>
  <si>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</si>
  <si>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</si>
  <si>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</si>
  <si>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</si>
  <si>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</si>
  <si>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</si>
  <si>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</si>
  <si>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</si>
  <si>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</si>
  <si>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</si>
  <si>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</si>
  <si>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</si>
  <si>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</si>
  <si>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</si>
  <si>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</si>
  <si>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</si>
  <si>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</si>
  <si>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</si>
  <si>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</si>
  <si>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</si>
  <si>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</si>
  <si>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</si>
  <si>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</si>
  <si>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</si>
  <si>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</si>
  <si>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</si>
  <si>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</si>
  <si>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</si>
  <si>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</si>
  <si>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</si>
  <si>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</si>
  <si>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</si>
  <si>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</si>
  <si>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</si>
  <si>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</si>
  <si>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</si>
  <si>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</si>
  <si>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</si>
  <si>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</si>
  <si>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</si>
  <si>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</si>
  <si>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</si>
  <si>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</si>
  <si>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</si>
  <si>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</si>
  <si>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</si>
  <si>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</si>
  <si>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</si>
  <si>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</si>
  <si>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</si>
  <si>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</si>
  <si>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</si>
  <si>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</si>
  <si>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</si>
  <si>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</si>
  <si>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</si>
  <si>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</si>
  <si>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</si>
  <si>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</si>
  <si>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</si>
  <si>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</si>
  <si>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</si>
  <si>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</si>
  <si>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</si>
  <si>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</si>
  <si>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</si>
  <si>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</si>
  <si>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</si>
  <si>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</si>
  <si>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</si>
  <si>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</si>
  <si>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</si>
  <si>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</si>
  <si>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</si>
  <si>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</si>
  <si>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</si>
  <si>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</si>
  <si>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</si>
  <si>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</si>
  <si>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</si>
  <si>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</si>
  <si>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</si>
  <si>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</si>
  <si>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</si>
  <si>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</si>
  <si>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</si>
  <si>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</si>
  <si>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</si>
  <si>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</si>
  <si>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</si>
  <si>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</si>
  <si>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</si>
  <si>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</si>
  <si>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</si>
  <si>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</si>
  <si>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</si>
  <si>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</si>
  <si>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</si>
  <si>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</si>
  <si>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</si>
  <si>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</si>
  <si>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</si>
  <si>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</si>
  <si>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</si>
  <si>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</si>
  <si>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</si>
  <si>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</si>
  <si>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</si>
  <si>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</si>
  <si>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</si>
  <si>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</si>
  <si>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</si>
  <si>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</si>
  <si>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</si>
  <si>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</si>
  <si>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</si>
  <si>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</si>
  <si>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</si>
  <si>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</si>
  <si>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</si>
  <si>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</si>
  <si>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</si>
  <si>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</si>
  <si>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</si>
  <si>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</si>
  <si>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</si>
  <si>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</si>
  <si>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</si>
  <si>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</si>
  <si>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</si>
  <si>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</si>
  <si>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</si>
  <si>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</si>
  <si>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</si>
  <si>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</si>
  <si>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</si>
  <si>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</si>
  <si>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</si>
  <si>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</si>
  <si>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</si>
  <si>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</si>
  <si>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</si>
  <si>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</si>
  <si>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</si>
  <si>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</si>
  <si>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</si>
  <si>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</si>
  <si>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</si>
  <si>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</si>
  <si>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</si>
  <si>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</si>
  <si>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</si>
  <si>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</si>
  <si>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</si>
  <si>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</si>
  <si>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</si>
  <si>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</si>
  <si>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</si>
  <si>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</si>
  <si>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</si>
  <si>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</si>
  <si>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</si>
  <si>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</si>
  <si>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</si>
  <si>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</si>
  <si>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</si>
  <si>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</si>
  <si>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</si>
  <si>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</si>
  <si>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</si>
  <si>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</si>
  <si>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</si>
  <si>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</si>
  <si>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</si>
  <si>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</si>
  <si>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</si>
  <si>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</si>
  <si>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</si>
  <si>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</si>
  <si>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</si>
  <si>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</si>
  <si>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</si>
  <si>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</si>
  <si>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</si>
  <si>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</si>
  <si>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</si>
  <si>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</si>
  <si>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</si>
  <si>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</si>
  <si>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</si>
  <si>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</si>
  <si>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</si>
  <si>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</si>
  <si>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</si>
  <si>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</si>
  <si>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</si>
  <si>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</si>
  <si>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</si>
  <si>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</si>
  <si>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</si>
  <si>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</si>
  <si>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</si>
  <si>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</si>
  <si>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</si>
  <si>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</si>
  <si>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</si>
  <si>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</si>
  <si>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</si>
  <si>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</si>
  <si>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</si>
  <si>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</si>
  <si>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</si>
  <si>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</si>
  <si>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</si>
  <si>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</si>
  <si>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</si>
  <si>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</si>
  <si>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</si>
  <si>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</si>
  <si>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</si>
  <si>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</si>
  <si>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</si>
  <si>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</si>
  <si>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</si>
  <si>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</si>
  <si>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</si>
  <si>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</si>
  <si>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</si>
  <si>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</si>
  <si>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</si>
  <si>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</si>
  <si>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</si>
  <si>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</si>
  <si>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</si>
  <si>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</si>
  <si>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</si>
  <si>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</si>
  <si>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</si>
  <si>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</si>
  <si>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</si>
  <si>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</si>
  <si>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</si>
  <si>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</si>
  <si>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</si>
  <si>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</si>
  <si>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</si>
  <si>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</si>
  <si>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</si>
  <si>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</si>
  <si>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</si>
  <si>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</si>
  <si>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</si>
  <si>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</si>
  <si>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</si>
  <si>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</si>
  <si>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</si>
  <si>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</si>
  <si>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</si>
  <si>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</si>
  <si>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</si>
  <si>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</si>
  <si>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</si>
  <si>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</si>
  <si>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</si>
  <si>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</si>
  <si>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</si>
  <si>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</si>
  <si>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</si>
  <si>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</si>
  <si>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</si>
  <si>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</si>
  <si>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</si>
  <si>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</si>
  <si>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</si>
  <si>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</si>
  <si>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</si>
  <si>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</si>
  <si>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</si>
  <si>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</si>
  <si>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</si>
  <si>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</si>
  <si>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</si>
  <si>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</si>
  <si>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</si>
  <si>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</si>
  <si>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</si>
  <si>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</si>
  <si>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</si>
  <si>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</si>
  <si>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</si>
  <si>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</si>
  <si>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</si>
  <si>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</si>
  <si>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</si>
  <si>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</si>
  <si>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</si>
  <si>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</si>
  <si>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</si>
  <si>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</si>
  <si>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</si>
  <si>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</si>
  <si>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</si>
  <si>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</si>
  <si>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</si>
  <si>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</si>
  <si>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</si>
  <si>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</si>
  <si>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</si>
  <si>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</si>
  <si>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</si>
  <si>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</si>
  <si>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</si>
  <si>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</si>
  <si>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</si>
  <si>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</si>
  <si>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</si>
  <si>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</si>
  <si>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</si>
  <si>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</si>
  <si>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</si>
  <si>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</si>
  <si>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</si>
  <si>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</si>
  <si>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</si>
  <si>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</si>
  <si>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</si>
  <si>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</si>
  <si>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</si>
  <si>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</si>
  <si>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</si>
  <si>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</si>
  <si>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</si>
  <si>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</si>
  <si>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</si>
  <si>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</si>
  <si>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</si>
  <si>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</si>
  <si>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</si>
  <si>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</si>
  <si>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</si>
  <si>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</si>
  <si>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</si>
  <si>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</si>
  <si>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</si>
  <si>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</si>
  <si>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</si>
  <si>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</si>
  <si>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</si>
  <si>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</si>
  <si>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</si>
  <si>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</si>
  <si>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</si>
  <si>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</si>
  <si>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</si>
  <si>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</si>
  <si>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</si>
  <si>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</si>
  <si>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</si>
  <si>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</si>
  <si>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</si>
  <si>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</si>
  <si>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</si>
  <si>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</si>
  <si>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</si>
  <si>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</si>
  <si>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</si>
  <si>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</si>
  <si>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</si>
  <si>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</si>
  <si>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</si>
  <si>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</si>
  <si>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</si>
  <si>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</si>
  <si>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</si>
  <si>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</si>
  <si>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</si>
  <si>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</si>
  <si>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</si>
  <si>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</si>
  <si>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</si>
  <si>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</si>
  <si>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</si>
  <si>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</si>
  <si>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</si>
  <si>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</si>
  <si>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</si>
  <si>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</si>
  <si>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</si>
  <si>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</si>
  <si>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</si>
  <si>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</si>
  <si>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</si>
  <si>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</si>
  <si>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</si>
  <si>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</si>
  <si>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</si>
  <si>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</si>
  <si>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</si>
  <si>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</si>
  <si>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</si>
  <si>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</si>
  <si>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</si>
  <si>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</si>
  <si>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</si>
  <si>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</si>
  <si>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</si>
  <si>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</si>
  <si>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</si>
  <si>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</si>
  <si>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</si>
  <si>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</si>
  <si>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</si>
  <si>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</si>
  <si>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</si>
  <si>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</si>
  <si>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</si>
  <si>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</si>
  <si>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</si>
  <si>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</si>
  <si>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</si>
  <si>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</si>
  <si>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</si>
  <si>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</si>
  <si>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</si>
  <si>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</si>
  <si>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</si>
  <si>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</si>
  <si>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</si>
  <si>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</si>
  <si>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</si>
  <si>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</si>
  <si>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</si>
  <si>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</si>
  <si>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</si>
  <si>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</si>
  <si>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</si>
  <si>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</si>
  <si>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</si>
  <si>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</si>
  <si>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</si>
  <si>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</si>
  <si>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</si>
  <si>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</si>
  <si>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</si>
  <si>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</si>
  <si>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</si>
  <si>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</si>
  <si>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</si>
  <si>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</si>
  <si>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</si>
  <si>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</si>
  <si>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</si>
  <si>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</si>
  <si>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</si>
  <si>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</si>
  <si>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</si>
  <si>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</si>
  <si>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</si>
  <si>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</si>
  <si>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</si>
  <si>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</si>
  <si>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</si>
  <si>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</si>
  <si>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</si>
  <si>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</si>
  <si>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</si>
  <si>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</si>
  <si>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</si>
  <si>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</si>
  <si>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</si>
  <si>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</si>
  <si>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</si>
  <si>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</si>
  <si>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</si>
  <si>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</si>
  <si>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</si>
  <si>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</si>
  <si>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</si>
  <si>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</si>
  <si>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</si>
  <si>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</si>
  <si>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</si>
  <si>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</si>
  <si>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</si>
  <si>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</si>
  <si>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</si>
  <si>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</si>
  <si>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</si>
  <si>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</si>
  <si>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</si>
  <si>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</si>
  <si>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</si>
  <si>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</si>
  <si>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</si>
  <si>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</si>
  <si>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</si>
  <si>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</si>
  <si>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</si>
  <si>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</si>
  <si>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</si>
  <si>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</si>
  <si>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</si>
  <si>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</si>
  <si>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</si>
  <si>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</si>
  <si>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</si>
  <si>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</si>
  <si>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</si>
  <si>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</si>
  <si>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</si>
  <si>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</si>
  <si>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</si>
  <si>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</si>
  <si>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</si>
  <si>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</si>
  <si>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</si>
  <si>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</si>
  <si>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</si>
  <si>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</si>
  <si>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</si>
  <si>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</si>
  <si>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</si>
  <si>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</si>
  <si>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</si>
  <si>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</si>
  <si>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</si>
  <si>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</si>
  <si>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</si>
  <si>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</si>
  <si>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</si>
  <si>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</si>
  <si>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</si>
  <si>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</si>
  <si>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</si>
  <si>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</si>
  <si>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</si>
  <si>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</si>
  <si>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</si>
  <si>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</si>
  <si>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</si>
  <si>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</si>
  <si>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</si>
  <si>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</si>
  <si>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</si>
  <si>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</si>
  <si>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</si>
  <si>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</si>
  <si>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</si>
  <si>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</si>
  <si>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</si>
  <si>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</si>
  <si>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</si>
  <si>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</si>
  <si>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</si>
  <si>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</si>
  <si>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</si>
  <si>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</si>
  <si>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</si>
  <si>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</si>
  <si>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</si>
  <si>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</si>
  <si>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</si>
  <si>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</si>
  <si>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</si>
  <si>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</si>
  <si>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</si>
  <si>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</si>
  <si>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</si>
  <si>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</si>
  <si>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</si>
  <si>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</si>
  <si>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</si>
  <si>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</si>
  <si>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</si>
  <si>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</si>
  <si>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</si>
  <si>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</si>
  <si>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</si>
  <si>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</si>
  <si>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</si>
  <si>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</si>
  <si>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</si>
  <si>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</si>
  <si>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</si>
  <si>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</si>
  <si>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</si>
  <si>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</si>
  <si>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</si>
  <si>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</si>
  <si>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</si>
  <si>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</si>
  <si>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</si>
  <si>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</si>
  <si>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</si>
  <si>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</si>
  <si>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</si>
  <si>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</si>
  <si>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</si>
  <si>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</si>
  <si>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</si>
  <si>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</si>
  <si>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</si>
  <si>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</si>
  <si>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</si>
  <si>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</si>
  <si>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</si>
  <si>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</si>
  <si>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</si>
  <si>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</si>
  <si>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</si>
  <si>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</si>
  <si>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</si>
  <si>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</si>
  <si>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</si>
  <si>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</si>
  <si>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</si>
  <si>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</si>
  <si>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</si>
  <si>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</si>
  <si>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</si>
  <si>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</si>
  <si>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</si>
  <si>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</si>
  <si>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</si>
  <si>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</si>
  <si>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</si>
  <si>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</si>
  <si>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</si>
  <si>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</si>
  <si>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</si>
  <si>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</si>
  <si>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</si>
  <si>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</si>
  <si>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</si>
  <si>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</si>
  <si>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</si>
  <si>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</si>
  <si>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</si>
  <si>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</si>
  <si>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</si>
  <si>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</si>
  <si>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</si>
  <si>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</si>
  <si>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</si>
  <si>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</si>
  <si>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</si>
  <si>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</si>
  <si>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</si>
  <si>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</si>
  <si>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</si>
  <si>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</si>
  <si>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</si>
  <si>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</si>
  <si>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</si>
  <si>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</si>
  <si>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</si>
  <si>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</si>
  <si>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</si>
  <si>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</si>
  <si>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</si>
  <si>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</si>
  <si>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</si>
  <si>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</si>
  <si>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</si>
  <si>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</si>
  <si>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</si>
  <si>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</si>
  <si>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</si>
  <si>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</si>
  <si>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</si>
  <si>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</si>
  <si>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</si>
  <si>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</si>
  <si>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</si>
  <si>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</si>
  <si>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</si>
  <si>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</si>
  <si>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</si>
  <si>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</si>
  <si>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</si>
  <si>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</si>
  <si>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</si>
  <si>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</si>
  <si>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</si>
  <si>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</si>
  <si>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</si>
  <si>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</si>
  <si>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</si>
  <si>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</si>
  <si>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</si>
  <si>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</si>
  <si>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</si>
  <si>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</si>
  <si>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</si>
  <si>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</si>
  <si>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</si>
  <si>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</si>
  <si>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</si>
  <si>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</si>
  <si>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</si>
  <si>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</si>
  <si>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</si>
  <si>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</si>
  <si>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</si>
  <si>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</si>
  <si>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</si>
  <si>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</si>
  <si>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</si>
  <si>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</si>
  <si>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</si>
  <si>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</si>
  <si>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</si>
  <si>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</si>
  <si>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</si>
  <si>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</si>
  <si>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</si>
  <si>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</si>
  <si>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</si>
  <si>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</si>
  <si>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</si>
  <si>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</si>
  <si>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</si>
  <si>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</si>
  <si>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</si>
  <si>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</si>
  <si>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</si>
  <si>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</si>
  <si>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</si>
  <si>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</si>
  <si>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</si>
  <si>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</si>
  <si>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</si>
  <si>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</si>
  <si>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</si>
  <si>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</si>
  <si>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</si>
  <si>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</si>
  <si>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</si>
  <si>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</si>
  <si>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</si>
  <si>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</si>
  <si>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</si>
  <si>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</si>
  <si>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</si>
  <si>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</si>
  <si>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</si>
  <si>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</si>
  <si>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</si>
  <si>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</si>
  <si>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</si>
  <si>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</si>
  <si>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</si>
  <si>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</si>
  <si>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</si>
  <si>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</si>
  <si>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</si>
  <si>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</si>
  <si>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</si>
  <si>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</si>
  <si>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</si>
  <si>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</si>
  <si>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</si>
  <si>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</si>
  <si>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</si>
  <si>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</si>
  <si>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</si>
  <si>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</si>
  <si>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</si>
  <si>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</si>
  <si>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</si>
  <si>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</si>
  <si>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</si>
  <si>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</si>
  <si>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</si>
  <si>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</si>
  <si>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</si>
  <si>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</si>
  <si>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</si>
  <si>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</si>
  <si>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</si>
  <si>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</si>
  <si>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</si>
  <si>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</si>
  <si>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</si>
  <si>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</si>
  <si>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</si>
  <si>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</si>
  <si>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</si>
  <si>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</si>
  <si>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</si>
  <si>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</si>
  <si>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</si>
  <si>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</si>
  <si>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</si>
  <si>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</si>
  <si>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</si>
  <si>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</si>
  <si>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</si>
  <si>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</si>
  <si>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</si>
  <si>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</si>
  <si>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</si>
  <si>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</si>
  <si>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</si>
  <si>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</si>
  <si>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</si>
  <si>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</si>
  <si>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</si>
  <si>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</si>
  <si>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</si>
  <si>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</si>
  <si>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</si>
  <si>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</si>
  <si>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</si>
  <si>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</si>
  <si>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</si>
  <si>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</si>
  <si>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</si>
  <si>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</si>
  <si>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</si>
  <si>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</si>
  <si>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</si>
  <si>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</si>
  <si>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</si>
  <si>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</si>
  <si>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</si>
  <si>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</si>
  <si>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</si>
  <si>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</si>
  <si>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</si>
  <si>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</si>
  <si>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</si>
  <si>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</si>
  <si>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</si>
  <si>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</si>
  <si>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</si>
  <si>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</si>
  <si>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</si>
  <si>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</si>
  <si>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</si>
  <si>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</si>
  <si>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</si>
  <si>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</si>
  <si>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</si>
  <si>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</si>
  <si>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</si>
  <si>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</si>
  <si>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</si>
  <si>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</si>
  <si>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</si>
  <si>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</si>
  <si>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</si>
  <si>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</si>
  <si>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</si>
  <si>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</si>
  <si>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</si>
  <si>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</si>
  <si>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</si>
  <si>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</si>
  <si>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</si>
  <si>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</si>
  <si>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</si>
  <si>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</si>
  <si>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</si>
  <si>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</si>
  <si>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</si>
  <si>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</si>
  <si>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</si>
  <si>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</si>
  <si>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</si>
  <si>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</si>
  <si>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</si>
  <si>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</si>
  <si>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</si>
  <si>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</si>
  <si>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</si>
  <si>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</si>
  <si>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</si>
  <si>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</si>
  <si>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</si>
  <si>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</si>
  <si>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</si>
  <si>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</si>
  <si>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</si>
  <si>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</si>
  <si>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</si>
  <si>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</si>
  <si>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</si>
  <si>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</si>
  <si>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</si>
  <si>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</si>
  <si>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</si>
  <si>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</si>
  <si>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</si>
  <si>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</si>
  <si>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</si>
  <si>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</si>
  <si>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</si>
  <si>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</si>
  <si>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</si>
  <si>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</si>
  <si>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</si>
  <si>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</si>
  <si>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</si>
  <si>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</si>
  <si>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</si>
  <si>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</si>
  <si>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</si>
  <si>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</si>
  <si>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</si>
  <si>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</si>
  <si>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</si>
  <si>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</si>
  <si>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</si>
  <si>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</si>
  <si>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</si>
  <si>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</si>
  <si>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</si>
  <si>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</si>
  <si>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</si>
  <si>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</si>
  <si>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</si>
  <si>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</si>
  <si>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</si>
  <si>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</si>
  <si>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</si>
  <si>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</si>
  <si>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</si>
  <si>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</si>
  <si>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</si>
  <si>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</si>
  <si>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</si>
  <si>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</si>
  <si>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</si>
  <si>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</si>
  <si>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</si>
  <si>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</si>
  <si>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</si>
  <si>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</si>
  <si>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</si>
  <si>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</si>
  <si>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</si>
  <si>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</si>
  <si>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</si>
  <si>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</si>
  <si>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</si>
  <si>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</si>
  <si>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</si>
  <si>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</si>
  <si>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</si>
  <si>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</si>
  <si>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</si>
  <si>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</si>
  <si>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</si>
  <si>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</si>
  <si>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</si>
  <si>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</si>
  <si>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</si>
  <si>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</si>
  <si>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</si>
  <si>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</si>
  <si>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</si>
  <si>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</si>
  <si>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</si>
  <si>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</si>
  <si>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</si>
  <si>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</si>
  <si>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</si>
  <si>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</si>
  <si>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</si>
  <si>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</si>
  <si>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</si>
  <si>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</si>
  <si>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</si>
  <si>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</si>
  <si>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</si>
  <si>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</si>
  <si>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</si>
  <si>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</si>
  <si>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</si>
  <si>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</si>
  <si>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</si>
  <si>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</si>
  <si>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</si>
  <si>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</si>
  <si>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</si>
  <si>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</si>
  <si>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</si>
  <si>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</si>
  <si>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</si>
  <si>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</si>
  <si>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</si>
  <si>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</si>
  <si>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</si>
  <si>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</si>
  <si>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</si>
  <si>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</si>
  <si>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</si>
  <si>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</si>
  <si>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</si>
  <si>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</si>
  <si>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</si>
  <si>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</si>
  <si>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</si>
  <si>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</si>
  <si>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</si>
  <si>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</si>
  <si>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</si>
  <si>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</si>
  <si>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</si>
  <si>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</si>
  <si>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</si>
  <si>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</si>
  <si>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</si>
  <si>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</si>
  <si>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</si>
  <si>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</si>
  <si>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</si>
  <si>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</si>
  <si>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</si>
  <si>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</si>
  <si>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</si>
  <si>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</si>
  <si>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</si>
  <si>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</si>
  <si>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</si>
  <si>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</si>
  <si>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</si>
  <si>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</si>
  <si>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</si>
  <si>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</si>
  <si>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</si>
  <si>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</si>
  <si>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</si>
  <si>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</si>
  <si>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</si>
  <si>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</si>
  <si>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</si>
  <si>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</si>
  <si>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</si>
  <si>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</si>
  <si>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</si>
  <si>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</si>
  <si>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</si>
  <si>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</si>
  <si>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</si>
  <si>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</si>
  <si>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</si>
  <si>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</si>
  <si>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</si>
  <si>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</si>
  <si>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</si>
  <si>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</si>
  <si>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</si>
  <si>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</si>
  <si>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</si>
  <si>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</si>
  <si>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</si>
  <si>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</si>
  <si>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</si>
  <si>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</si>
  <si>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</si>
  <si>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</si>
  <si>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</si>
  <si>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</si>
  <si>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</si>
  <si>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</si>
  <si>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</si>
  <si>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</si>
  <si>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</si>
  <si>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</si>
  <si>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</si>
  <si>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</si>
  <si>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</si>
  <si>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</si>
  <si>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</si>
  <si>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</si>
  <si>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</si>
  <si>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</si>
  <si>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</si>
  <si>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</si>
  <si>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</si>
  <si>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</si>
  <si>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</si>
  <si>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</si>
  <si>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</si>
  <si>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</si>
  <si>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</si>
  <si>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</si>
  <si>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</si>
  <si>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</si>
  <si>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</si>
  <si>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</si>
  <si>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</si>
  <si>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</si>
  <si>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</si>
  <si>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</si>
  <si>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</si>
  <si>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</si>
  <si>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</si>
  <si>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</si>
  <si>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</si>
  <si>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</si>
  <si>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</si>
  <si>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</si>
  <si>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</si>
  <si>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</si>
  <si>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</si>
  <si>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</si>
  <si>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</si>
  <si>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</si>
  <si>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</si>
  <si>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</si>
  <si>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</si>
  <si>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</si>
  <si>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</si>
  <si>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</si>
  <si>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</si>
  <si>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</si>
  <si>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</si>
  <si>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</si>
  <si>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</si>
  <si>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</si>
  <si>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</si>
  <si>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</si>
  <si>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</si>
  <si>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</si>
  <si>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</si>
  <si>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</si>
  <si>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</si>
  <si>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</si>
  <si>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</si>
  <si>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</si>
  <si>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</si>
  <si>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</si>
  <si>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</si>
  <si>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</si>
  <si>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</si>
  <si>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</si>
  <si>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</si>
  <si>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</si>
  <si>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</si>
  <si>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</si>
  <si>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</si>
  <si>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</si>
  <si>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</si>
  <si>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</si>
  <si>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</si>
  <si>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</si>
  <si>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</si>
  <si>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</si>
  <si>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</si>
  <si>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</si>
  <si>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</si>
  <si>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</si>
  <si>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</si>
  <si>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</si>
  <si>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</si>
  <si>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</si>
  <si>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</si>
  <si>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</si>
  <si>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</si>
  <si>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</si>
  <si>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</si>
  <si>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</si>
  <si>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</si>
  <si>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</si>
  <si>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</si>
  <si>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</si>
  <si>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</si>
  <si>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</si>
  <si>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</si>
  <si>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</si>
  <si>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</si>
  <si>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</si>
  <si>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</si>
  <si>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</si>
  <si>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</si>
  <si>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</si>
  <si>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</si>
  <si>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</si>
  <si>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</si>
  <si>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</si>
  <si>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</si>
  <si>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</si>
  <si>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</si>
  <si>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</si>
  <si>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</si>
  <si>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</si>
  <si>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</si>
  <si>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</si>
  <si>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</si>
  <si>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</si>
  <si>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</si>
  <si>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</si>
  <si>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</si>
  <si>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</si>
  <si>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</si>
  <si>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</si>
  <si>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</si>
  <si>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</si>
  <si>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</si>
  <si>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</si>
  <si>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</si>
  <si>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</si>
  <si>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</si>
  <si>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</si>
  <si>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</si>
  <si>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</si>
  <si>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</si>
  <si>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</si>
  <si>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</si>
  <si>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</si>
  <si>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</si>
  <si>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</si>
  <si>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</si>
  <si>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</si>
  <si>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</si>
  <si>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</si>
  <si>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</si>
  <si>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</si>
  <si>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</si>
  <si>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</si>
  <si>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</si>
  <si>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</si>
  <si>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</si>
  <si>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</si>
  <si>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</si>
  <si>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</si>
  <si>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</si>
  <si>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</si>
  <si>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</si>
  <si>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</si>
  <si>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</si>
  <si>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</si>
  <si>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</si>
  <si>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</si>
  <si>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</si>
  <si>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</si>
  <si>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</si>
  <si>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</si>
  <si>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</si>
  <si>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</si>
  <si>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</si>
  <si>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</si>
  <si>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</si>
  <si>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</si>
  <si>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</si>
  <si>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</si>
  <si>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</si>
  <si>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</si>
  <si>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</si>
  <si>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</si>
  <si>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</si>
  <si>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</si>
  <si>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</si>
  <si>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</si>
  <si>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</si>
  <si>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</si>
  <si>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</si>
  <si>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</si>
  <si>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</si>
  <si>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</si>
  <si>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</si>
  <si>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</si>
  <si>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</si>
  <si>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</si>
  <si>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</si>
  <si>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</si>
  <si>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</si>
  <si>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</si>
  <si>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</si>
  <si>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</si>
  <si>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</si>
  <si>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</si>
  <si>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</si>
  <si>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</si>
  <si>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</si>
  <si>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</si>
  <si>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</si>
  <si>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</si>
  <si>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</si>
  <si>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</si>
  <si>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</si>
  <si>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</si>
  <si>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</si>
  <si>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</si>
  <si>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</si>
  <si>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</si>
  <si>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</si>
  <si>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</si>
  <si>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</si>
  <si>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</si>
  <si>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</si>
  <si>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</si>
  <si>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</si>
  <si>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</si>
  <si>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</si>
  <si>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</si>
  <si>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</si>
  <si>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</si>
  <si>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</si>
  <si>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</si>
  <si>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</si>
  <si>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</si>
  <si>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</si>
  <si>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</si>
  <si>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</si>
  <si>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</si>
  <si>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</si>
  <si>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</si>
  <si>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</si>
  <si>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</si>
  <si>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</si>
  <si>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</si>
  <si>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</si>
  <si>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</si>
  <si>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</si>
  <si>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</si>
  <si>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</si>
  <si>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</si>
  <si>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</si>
  <si>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</si>
  <si>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</si>
  <si>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</si>
  <si>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</si>
  <si>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</si>
  <si>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</si>
  <si>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</si>
  <si>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</si>
  <si>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</si>
  <si>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</si>
  <si>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</si>
  <si>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</si>
  <si>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</si>
  <si>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</si>
  <si>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</si>
  <si>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</si>
  <si>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</si>
  <si>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</si>
  <si>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</si>
  <si>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</si>
  <si>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</si>
  <si>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</si>
  <si>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</si>
  <si>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</si>
  <si>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</si>
  <si>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</si>
  <si>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</si>
  <si>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</si>
  <si>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</si>
  <si>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</si>
  <si>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</si>
  <si>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</si>
  <si>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</si>
  <si>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</si>
  <si>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</si>
  <si>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</si>
  <si>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</si>
  <si>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</si>
  <si>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</si>
  <si>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</si>
  <si>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</si>
  <si>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</si>
  <si>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</si>
  <si>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</si>
  <si>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</si>
  <si>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</si>
  <si>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</si>
  <si>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</si>
  <si>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</si>
  <si>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</si>
  <si>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</si>
  <si>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</si>
  <si>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</si>
  <si>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</si>
  <si>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</si>
  <si>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</si>
  <si>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</si>
  <si>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</si>
  <si>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</si>
  <si>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</si>
  <si>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</si>
  <si>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</si>
  <si>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</si>
  <si>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</si>
  <si>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</si>
  <si>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</si>
  <si>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</si>
  <si>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</si>
  <si>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</si>
  <si>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</si>
  <si>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</si>
  <si>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</si>
  <si>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</si>
  <si>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</si>
  <si>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</si>
  <si>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</si>
  <si>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</si>
  <si>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</si>
  <si>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</si>
  <si>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</si>
  <si>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</si>
  <si>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</si>
  <si>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</si>
  <si>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</si>
  <si>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</si>
  <si>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</si>
  <si>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</si>
  <si>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</si>
  <si>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</si>
  <si>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</si>
  <si>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</si>
  <si>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</si>
  <si>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</si>
  <si>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</si>
  <si>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</si>
  <si>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</si>
  <si>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</si>
  <si>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</si>
  <si>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</si>
  <si>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</si>
  <si>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</si>
  <si>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</si>
  <si>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</si>
  <si>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</si>
  <si>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</si>
  <si>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</si>
  <si>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</si>
  <si>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</si>
  <si>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</si>
  <si>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</si>
  <si>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</si>
  <si>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</si>
  <si>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</si>
  <si>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</si>
  <si>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</si>
  <si>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</si>
  <si>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</si>
  <si>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</si>
  <si>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</si>
  <si>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</si>
  <si>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</si>
  <si>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</si>
  <si>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</si>
  <si>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</si>
  <si>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</si>
  <si>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</si>
  <si>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</si>
  <si>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</si>
  <si>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</si>
  <si>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</si>
  <si>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</si>
  <si>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</si>
  <si>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</si>
  <si>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</si>
  <si>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</si>
  <si>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</si>
  <si>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</si>
  <si>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</si>
  <si>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</si>
  <si>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</si>
  <si>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</si>
  <si>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</si>
  <si>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</si>
  <si>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</si>
  <si>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</si>
  <si>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</si>
  <si>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</si>
  <si>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</si>
  <si>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</si>
  <si>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</si>
  <si>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</si>
  <si>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</si>
  <si>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</si>
  <si>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</si>
  <si>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</si>
  <si>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</si>
  <si>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</si>
  <si>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</si>
  <si>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</si>
  <si>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</si>
  <si>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</si>
  <si>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</si>
  <si>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</si>
  <si>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</si>
  <si>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</si>
  <si>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</si>
  <si>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</si>
  <si>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</si>
  <si>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</si>
  <si>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</si>
  <si>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</si>
  <si>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</si>
  <si>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</si>
  <si>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</si>
  <si>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</si>
  <si>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</si>
  <si>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</si>
  <si>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</si>
  <si>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</si>
  <si>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</si>
  <si>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</si>
  <si>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</si>
  <si>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</si>
  <si>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</si>
  <si>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</si>
  <si>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</si>
  <si>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</si>
  <si>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</si>
  <si>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</si>
  <si>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</si>
  <si>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</si>
  <si>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</si>
  <si>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</si>
  <si>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</si>
  <si>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</si>
  <si>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</si>
  <si>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</si>
  <si>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</si>
  <si>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</si>
  <si>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</si>
  <si>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</si>
  <si>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</si>
  <si>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</si>
  <si>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</si>
  <si>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</si>
  <si>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</si>
  <si>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</si>
  <si>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</si>
  <si>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</si>
  <si>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</si>
  <si>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</si>
  <si>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</si>
  <si>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</si>
  <si>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</si>
  <si>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</si>
  <si>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</si>
  <si>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</si>
  <si>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</si>
  <si>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</si>
  <si>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</si>
  <si>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</si>
  <si>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</si>
  <si>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</si>
  <si>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</si>
  <si>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</si>
  <si>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</si>
  <si>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</si>
  <si>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</si>
  <si>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</si>
  <si>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</si>
  <si>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</si>
  <si>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</si>
  <si>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</si>
  <si>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</si>
  <si>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</si>
  <si>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</si>
  <si>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</si>
  <si>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</si>
  <si>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</si>
  <si>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</si>
  <si>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</si>
  <si>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</si>
  <si>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</si>
  <si>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</si>
  <si>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</si>
  <si>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</si>
  <si>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</si>
  <si>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</si>
  <si>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</si>
  <si>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</si>
  <si>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</si>
  <si>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</si>
  <si>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</si>
  <si>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</si>
  <si>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</si>
  <si>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</si>
  <si>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</si>
  <si>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</si>
  <si>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</si>
  <si>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</si>
  <si>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</si>
  <si>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</si>
  <si>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</si>
  <si>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</si>
  <si>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</si>
  <si>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</si>
  <si>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</si>
  <si>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</si>
  <si>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</si>
  <si>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</si>
  <si>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</si>
  <si>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</si>
  <si>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</si>
  <si>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</si>
  <si>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</si>
  <si>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</si>
  <si>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</si>
  <si>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</si>
  <si>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</si>
  <si>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</si>
  <si>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</si>
  <si>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</si>
  <si>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</si>
  <si>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</si>
  <si>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</si>
  <si>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</si>
  <si>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</si>
  <si>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</si>
  <si>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</si>
  <si>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</si>
  <si>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</si>
  <si>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</si>
  <si>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</si>
  <si>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</si>
  <si>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</si>
  <si>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</si>
  <si>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</si>
  <si>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</si>
  <si>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</si>
  <si>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</si>
  <si>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</si>
  <si>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</si>
  <si>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</si>
  <si>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</si>
  <si>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</si>
  <si>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</si>
  <si>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</si>
  <si>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</si>
  <si>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</si>
  <si>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</si>
  <si>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</si>
  <si>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</si>
  <si>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</si>
  <si>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</si>
  <si>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</si>
  <si>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</si>
  <si>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</si>
  <si>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</si>
  <si>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</si>
  <si>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</si>
  <si>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</si>
  <si>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</si>
  <si>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</si>
  <si>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</si>
  <si>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</si>
  <si>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</si>
  <si>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</si>
  <si>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</si>
  <si>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</si>
  <si>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</si>
  <si>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</si>
  <si>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</si>
  <si>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</si>
  <si>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</si>
  <si>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</si>
  <si>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</si>
  <si>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</si>
  <si>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</si>
  <si>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</si>
  <si>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</si>
  <si>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</si>
  <si>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</si>
  <si>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</si>
  <si>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</si>
  <si>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</si>
  <si>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</si>
  <si>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</si>
  <si>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</si>
  <si>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</si>
  <si>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</si>
  <si>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</si>
  <si>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</si>
  <si>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</si>
  <si>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</si>
  <si>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</si>
  <si>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</si>
  <si>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</si>
  <si>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</si>
  <si>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</si>
  <si>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</si>
  <si>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</si>
  <si>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</si>
  <si>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</si>
  <si>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</si>
  <si>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</si>
  <si>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</si>
  <si>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</si>
  <si>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</si>
  <si>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</si>
  <si>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</si>
  <si>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</si>
  <si>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</si>
  <si>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</si>
  <si>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</si>
  <si>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</si>
  <si>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</si>
  <si>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</si>
  <si>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</si>
  <si>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</si>
  <si>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</si>
  <si>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</si>
  <si>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</si>
  <si>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</si>
  <si>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</si>
  <si>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</si>
  <si>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</si>
  <si>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</si>
  <si>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</si>
  <si>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</si>
  <si>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</si>
  <si>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</si>
  <si>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</si>
  <si>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</si>
  <si>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</si>
  <si>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</si>
  <si>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</si>
  <si>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</si>
  <si>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</si>
  <si>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</si>
  <si>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</si>
  <si>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</si>
  <si>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</si>
  <si>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</si>
  <si>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</si>
  <si>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</si>
  <si>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</si>
  <si>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</si>
  <si>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</si>
  <si>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</si>
  <si>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</si>
  <si>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</si>
  <si>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</si>
  <si>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</si>
  <si>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</si>
  <si>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</si>
  <si>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</si>
  <si>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</si>
  <si>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</si>
  <si>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</si>
  <si>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</si>
  <si>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</si>
  <si>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</si>
  <si>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</si>
  <si>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</si>
  <si>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</si>
  <si>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</si>
  <si>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</si>
  <si>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</si>
  <si>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</si>
  <si>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</si>
  <si>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</si>
  <si>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</si>
  <si>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DELL DIVIDEND_</t>
  </si>
  <si>
    <t>000660 KP</t>
  </si>
  <si>
    <t>SNDK US 02/20/26 C500</t>
  </si>
  <si>
    <t>MRVL US 03/20/26 P70</t>
  </si>
  <si>
    <t>QQQ US 01/21/26 P616</t>
  </si>
  <si>
    <t>QQQ US 01/23/26 P615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</si>
  <si>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</si>
  <si>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</si>
  <si>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</si>
  <si>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</si>
  <si>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</si>
  <si>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</si>
  <si>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</si>
  <si>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</si>
  <si>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</si>
  <si>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</si>
  <si>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</si>
  <si>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</si>
  <si>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</si>
  <si>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</si>
  <si>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</si>
  <si>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</si>
  <si>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</si>
  <si>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</si>
  <si>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</si>
  <si>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</si>
  <si>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</si>
  <si>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</si>
  <si>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</si>
  <si>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</si>
  <si>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</si>
  <si>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</si>
  <si>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</si>
  <si>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</si>
  <si>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</si>
  <si>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</si>
  <si>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</si>
  <si>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</si>
  <si>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</si>
  <si>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</si>
  <si>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</si>
  <si>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</si>
  <si>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</si>
  <si>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</si>
  <si>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</si>
  <si>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</si>
  <si>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</si>
  <si>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</si>
  <si>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</si>
  <si>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</si>
  <si>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</si>
  <si>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</si>
  <si>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</si>
  <si>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</si>
  <si>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</si>
  <si>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</si>
  <si>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</si>
  <si>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</si>
  <si>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</si>
  <si>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</si>
  <si>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</si>
  <si>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</si>
  <si>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</si>
  <si>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</si>
  <si>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</si>
  <si>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</si>
  <si>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</si>
  <si>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</si>
  <si>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</si>
  <si>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</si>
  <si>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</si>
  <si>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</si>
  <si>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</si>
  <si>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</si>
  <si>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</si>
  <si>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</si>
  <si>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</si>
  <si>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</si>
  <si>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</si>
  <si>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</si>
  <si>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</si>
  <si>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</si>
  <si>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</si>
  <si>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</si>
  <si>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</si>
  <si>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</si>
  <si>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</si>
  <si>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</si>
  <si>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</si>
  <si>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</si>
  <si>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</si>
  <si>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</si>
  <si>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</si>
  <si>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</si>
  <si>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</si>
  <si>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</si>
  <si>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</si>
  <si>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</si>
  <si>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</si>
  <si>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</si>
  <si>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</si>
  <si>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</si>
  <si>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</si>
  <si>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</si>
  <si>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</si>
  <si>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</si>
  <si>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</si>
  <si>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</si>
  <si>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</si>
  <si>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</si>
  <si>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</si>
  <si>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</si>
  <si>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</si>
  <si>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</si>
  <si>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</si>
  <si>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</si>
  <si>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</si>
  <si>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</si>
  <si>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</si>
  <si>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</si>
  <si>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</si>
  <si>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</si>
  <si>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</si>
  <si>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</si>
  <si>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</si>
  <si>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</si>
  <si>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</si>
  <si>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</si>
  <si>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</si>
  <si>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</si>
  <si>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</si>
  <si>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</si>
  <si>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</si>
  <si>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</si>
  <si>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</si>
  <si>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</si>
  <si>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</si>
  <si>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</si>
  <si>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</si>
  <si>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</si>
  <si>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Provision Global Bonds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</si>
  <si>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</si>
  <si>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</si>
  <si>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</si>
  <si>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</si>
  <si>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</si>
  <si>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</si>
  <si>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</si>
  <si>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</si>
  <si>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</si>
  <si>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</si>
  <si>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</si>
  <si>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MSFT US 01/30/26 C490</t>
  </si>
  <si>
    <t>MSFT US 01/30/26 C490 Equity</t>
  </si>
  <si>
    <t>NVDA US 01/30/26 C195</t>
  </si>
  <si>
    <t>NVDA US 01/30/26 C195 Equity</t>
  </si>
  <si>
    <t>195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</si>
  <si>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</si>
  <si>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</si>
  <si>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</si>
  <si>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</si>
  <si>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</si>
  <si>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</si>
  <si>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</si>
  <si>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</si>
  <si>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</si>
  <si>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</si>
  <si>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</si>
  <si>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</si>
  <si>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</si>
  <si>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</si>
  <si>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</si>
  <si>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</si>
  <si>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</si>
  <si>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</si>
  <si>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</si>
  <si>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</si>
  <si>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</si>
  <si>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</si>
  <si>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</si>
  <si>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</si>
  <si>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</si>
  <si>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</si>
  <si>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C450</t>
  </si>
  <si>
    <t>MSFT US 02/20/26 P410</t>
  </si>
  <si>
    <t>MSFT US 02/20/26 C445</t>
  </si>
  <si>
    <t>MSFT US 02/20/26 C435</t>
  </si>
  <si>
    <t>005930 KS</t>
  </si>
  <si>
    <t>YSS</t>
  </si>
  <si>
    <t>QQQ US 01/30/26 P620 Equity</t>
  </si>
  <si>
    <t>620</t>
  </si>
  <si>
    <t>META US 07/17/26 C750</t>
  </si>
  <si>
    <t>AAPL US 04/17/26 C260</t>
  </si>
  <si>
    <t>AAPL US 04/17/26 C280</t>
  </si>
  <si>
    <t>QQQ US 01/30/26 P619</t>
  </si>
  <si>
    <t>Expo QQQ Adj</t>
  </si>
  <si>
    <t>market</t>
  </si>
  <si>
    <t>2OG6P 25450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</si>
</sst>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470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1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5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0" fontId="0" fillId="14" borderId="0" xfId="0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170" fontId="0" fillId="0" borderId="57" xfId="190" applyNumberFormat="1" applyFont="1" applyFill="1" applyBorder="1"/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170" fontId="0" fillId="0" borderId="58" xfId="190" applyNumberFormat="1" applyFont="1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166" fontId="0" fillId="0" borderId="0" xfId="0" applyNumberFormat="1" applyFill="1"/>
    <xf numFmtId="196" fontId="0" fillId="0" borderId="0" xfId="0" applyNumberFormat="1" applyFill="1"/>
    <xf numFmtId="170" fontId="107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172" fontId="106" fillId="0" borderId="0" xfId="0" applyNumberFormat="1" applyFont="1" applyFill="1" applyAlignment="1"/>
    <xf numFmtId="1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106" fillId="0" borderId="0" xfId="0" applyNumberFormat="1" applyFont="1" applyFill="1" applyAlignment="1"/>
    <xf numFmtId="10" fontId="106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  <xf numFmtId="166" fontId="0" fillId="0" borderId="0" xfId="0" applyNumberFormat="1" applyFill="1" applyAlignment="1">
      <alignment horizontal="right"/>
    </xf>
  </cellXfs>
  <cellStyles count="5470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27387.11</v>
        <stp/>
        <stp>BDP|17098946093906753306|22</stp>
        <stp>HSI Index</stp>
        <stp>LAST_PRICE</stp>
        <tr r="H18" s="252"/>
        <tr r="H18" s="252"/>
      </tp>
      <tp>
        <v>403.46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3" s="2"/>
        <tr r="F63" s="89"/>
      </tp>
      <tp>
        <v>0.50216376781463623</v>
        <stp/>
        <stp>BDP|17313826581786805603|22</stp>
        <stp>AMZN US 07/17/26 C250 Equity</stp>
        <stp>DELTA_MID_RT</stp>
        <tr r="W234" s="89"/>
      </tp>
      <tp t="s">
        <v>#N/A Real Time</v>
        <stp/>
        <stp>BDP|9106857053131827566|22</stp>
        <stp>SPXW US 12/31/25 C6950 Index</stp>
        <stp>DELTA_MID_RT</stp>
        <tr r="W160" s="89"/>
      </tp>
      <tp>
        <v>0.650745689868927</v>
        <stp/>
        <stp>BDP|16080044180315030458|22</stp>
        <stp>META US 04/17/26 C690 Equity</stp>
        <stp>DELTA_MID_RT</stp>
        <tr r="W169" s="89"/>
        <tr r="W186" s="89"/>
      </tp>
      <tp>
        <v>2.12</v>
        <stp/>
        <stp>BDP|9946810605715956638|22</stp>
        <stp>AMAT US 01/23/26 P280 Equity</stp>
        <stp>ask</stp>
        <tr r="L56" s="89"/>
      </tp>
      <tp>
        <v>3.3</v>
        <stp/>
        <stp>BDP|6404964195248120774|22</stp>
        <stp>DELL US 02/06/26 P115 Equity</stp>
        <stp>ask</stp>
        <tr r="L49" s="89"/>
      </tp>
      <tp>
        <v>2.6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BDP|17155453654371349226|22</stp>
        <stp>2OG6P 25450 Index</stp>
        <stp>QUOTED_CURRENCY_REALTIME</stp>
        <tr r="F153" s="89"/>
      </tp>
      <tp t="s">
        <v>USD</v>
        <stp/>
        <stp>BDP|6836574577411751820|22</stp>
        <stp>MRVL US 03/20/26 P75 Equity</stp>
        <stp>QUOTED_CURRENCY_REALTIME</stp>
        <tr r="G11" s="2"/>
      </tp>
      <tp>
        <v>1.62</v>
        <stp/>
        <stp>BDP|9697370432367542899|22</stp>
        <stp>NVDA US 02/06/26 C197.5 Equity</stp>
        <stp>bid</stp>
        <tr r="K3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18.75</v>
        <stp/>
        <stp>BDP|5846012848698429799|22</stp>
        <stp>MSFT US 07/17/26 C470 Equity</stp>
        <stp>bid</stp>
        <tr r="K235" s="89"/>
      </tp>
      <tp>
        <v>0.65943145751953125</v>
        <stp/>
        <stp>BDP|11737212965379664006|22</stp>
        <stp>META US 07/17/26 C680 Equity</stp>
        <stp>DELTA_MID_RT</stp>
        <tr r="W233" s="89"/>
      </tp>
      <tp>
        <v>-0.11759088933467865</v>
        <stp/>
        <stp>BDP|2162853239863021436|22</stp>
        <stp>TSM US 06/18/26 C380 Equity</stp>
        <stp>theta_mid_rt</stp>
        <tr r="AN20" s="2"/>
      </tp>
      <tp>
        <v>0.83656555414199829</v>
        <stp/>
        <stp>BDP|10012779820456568860|22</stp>
        <stp>META US 02/27/26 C660 Equity</stp>
        <stp>DELTA_MID_RT</stp>
        <tr r="W180" s="89"/>
      </tp>
      <tp>
        <v>35.22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53.44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0.19848623871803284</v>
        <stp/>
        <stp>BDP|14091170888152008254|22</stp>
        <stp>ASHR US 02/20/26 C35 Equity</stp>
        <stp>DELTA_MID_RT</stp>
        <tr r="AF4" s="2"/>
      </tp>
      <tp>
        <v>0.53755307197570801</v>
        <stp/>
        <stp>BDP|10111712063840980805|22</stp>
        <stp>AAPL US 04/17/26 C260 Equity</stp>
        <stp>DELTA_MID_RT</stp>
        <tr r="AF14" s="2"/>
        <tr r="W7" s="89"/>
      </tp>
      <tp t="s">
        <v>#N/A Real Time</v>
        <stp/>
        <stp>BDP|3350828662352011280|22</stp>
        <stp>RFSWZ4C3 2360 Index</stp>
        <stp>ask</stp>
        <tr r="L122" s="89"/>
      </tp>
      <tp>
        <v>-0.269317626953125</v>
        <stp/>
        <stp>BDP|17295184878350823401|22</stp>
        <stp>INTC US 07/17/26 P40 Equity</stp>
        <stp>DELTA_MID_RT</stp>
        <tr r="AF18" s="2"/>
        <tr r="W197" s="89"/>
      </tp>
      <tp>
        <v>0.61183708906173706</v>
        <stp/>
        <stp>BDP|13298101022063198194|22</stp>
        <stp>META US 07/17/26 C700 Equity</stp>
        <stp>DELTA_MID_RT</stp>
        <tr r="AF9" s="2"/>
        <tr r="W27" s="89"/>
        <tr r="W187" s="89"/>
        <tr r="W171" s="89"/>
      </tp>
      <tp>
        <v>1.32</v>
        <stp/>
        <stp>BDP|6389157119875502262|22</stp>
        <stp>DELL US 02/06/26 P110 Equity</stp>
        <stp>ask</stp>
        <tr r="L50" s="89"/>
      </tp>
      <tp>
        <v>430.29</v>
        <stp/>
        <stp>BDP|274803756834169207|22</stp>
        <stp>MSFT EQUITY</stp>
        <stp>LAST_PRICE</stp>
        <tr r="C7" s="1"/>
      </tp>
    </main>
    <main first="bofaddin.rtdserver">
      <tp t="s">
        <v>#N/A Real Time</v>
        <stp/>
        <stp>BDP|2891447407704048860|22</stp>
        <stp>IMBWK5C4 5840 Index</stp>
        <stp>bid</stp>
        <tr r="K89" s="89"/>
      </tp>
      <tp>
        <v>8.1</v>
        <stp/>
        <stp>BDP|9574732227585956892|22</stp>
        <stp>MSFT US 02/20/26 C435 Equity</stp>
        <stp>bid</stp>
        <tr r="K204" s="89"/>
      </tp>
      <tp t="s">
        <v>USD</v>
        <stp/>
        <stp>BDP|6256704095836032074|22</stp>
        <stp>INTC US 07/17/26 C50 Equity</stp>
        <stp>QUOTED_CURRENCY_REALTIME</stp>
        <tr r="G17" s="2"/>
        <tr r="F196" s="89"/>
      </tp>
      <tp t="s">
        <v>USD</v>
        <stp/>
        <stp>BDP|7525271008399615963|22</stp>
        <stp>MRVL US 03/20/26 P80 Equity</stp>
        <stp>QUOTED_CURRENCY_REALTIME</stp>
        <tr r="G12" s="2"/>
        <tr r="F62" s="89"/>
      </tp>
      <tp>
        <v>3.45</v>
        <stp/>
        <stp>BDP|3676228802807623682|22</stp>
        <stp>MSFT US 02/20/26 C450 Equity</stp>
        <stp>bid</stp>
        <tr r="K203" s="89"/>
      </tp>
      <tp>
        <v>8.1999999999999993</v>
        <stp/>
        <stp>BDP|6466187796004974975|22</stp>
        <stp>MSFT US 02/20/26 C435 Equity</stp>
        <stp>ask</stp>
        <tr r="L204" s="89"/>
      </tp>
      <tp>
        <v>68.81</v>
        <stp/>
        <stp>BDP|3505174117914270567|22</stp>
        <stp>KRE Equity</stp>
        <stp>LAST PRICE</stp>
        <tr r="I54" s="338"/>
      </tp>
      <tp>
        <v>3.55</v>
        <stp/>
        <stp>BDP|4001374458224189612|22</stp>
        <stp>MSFT US 02/20/26 C450 Equity</stp>
        <stp>ask</stp>
        <tr r="L203" s="89"/>
      </tp>
      <tp>
        <v>259.64999999999998</v>
        <stp/>
        <stp>BDP|9630309169962502325|22</stp>
        <stp>IWM Equity</stp>
        <stp>LAST PRICE</stp>
        <tr r="I48" s="338"/>
        <tr r="I49" s="338"/>
      </tp>
      <tp>
        <v>14.7</v>
        <stp/>
        <stp>BDP|5246680316890063223|22</stp>
        <stp>NVDA US 05/15/26 C200 Equity</stp>
        <stp>bid</stp>
        <tr r="P6" s="2"/>
      </tp>
      <tp>
        <v>54.9</v>
        <stp/>
        <stp>BDP|3590605343208203473|22</stp>
        <stp>META US 07/17/26 C750 Equity</stp>
        <stp>ask</stp>
        <tr r="Q8" s="2"/>
        <tr r="L188" s="89"/>
      </tp>
      <tp t="s">
        <v>#N/A Requesting Data...3002510305</v>
        <stp/>
        <stp>BDP|17013938858517156635</stp>
        <tr r="AR17" s="2"/>
      </tp>
      <tp t="s">
        <v>#N/A Requesting Data...2653002992</v>
        <stp/>
        <stp>BDP|15582332073698885344</stp>
        <tr r="G19" s="446"/>
      </tp>
      <tp t="s">
        <v>#N/A N/A</v>
        <stp/>
        <stp>BDP|18146375769712507536</stp>
        <tr r="E2" s="1"/>
        <tr r="K35" s="1"/>
      </tp>
      <tp t="s">
        <v>#N/A Requesting Data...2904125637</v>
        <stp/>
        <stp>BDP|13135230879275111937</stp>
        <tr r="AJ12" s="338"/>
      </tp>
      <tp t="s">
        <v>#N/A Requesting Data...1899327802</v>
        <stp/>
        <stp>BDP|17278629169738623577</stp>
        <tr r="N19" s="252"/>
        <tr r="N19" s="252"/>
      </tp>
      <tp t="s">
        <v>#N/A Requesting Data...2338198344</v>
        <stp/>
        <stp>BDP|17052781431848040118</stp>
        <tr r="V212" s="89"/>
      </tp>
      <tp t="s">
        <v>#N/A Requesting Data...2336483359</v>
        <stp/>
        <stp>BDP|15581562198526337530</stp>
        <tr r="AK12" s="338"/>
      </tp>
      <tp t="s">
        <v>#N/A Requesting Data...2026704673</v>
        <stp/>
        <stp>BDP|13286384604342093849</stp>
        <tr r="X45" s="338"/>
      </tp>
      <tp t="s">
        <v>#N/A Requesting Data...2282362878</v>
        <stp/>
        <stp>BDP|16845320119919973779</stp>
        <tr r="D76" s="89"/>
      </tp>
      <tp t="s">
        <v>#N/A Requesting Data...3476103595</v>
        <stp/>
        <stp>BDP|10697032249217899983</stp>
        <tr r="L10" s="338"/>
        <tr r="L47" s="338"/>
        <tr r="L53" s="338"/>
        <tr r="J10" s="338"/>
        <tr r="L44" s="338"/>
        <tr r="H44" s="338"/>
        <tr r="H47" s="338"/>
        <tr r="L48" s="338"/>
        <tr r="H48" s="338"/>
        <tr r="J53" s="338"/>
      </tp>
      <tp t="s">
        <v>#N/A Requesting Data...1986997272</v>
        <stp/>
        <stp>BDP|18304888293894101754</stp>
        <tr r="S9" s="338"/>
      </tp>
      <tp t="s">
        <v>#N/A Requesting Data...3609386179</v>
        <stp/>
        <stp>BDP|10639276692284852548</stp>
        <tr r="F28" s="446"/>
      </tp>
      <tp t="s">
        <v>#N/A N/A</v>
        <stp/>
        <stp>BDP|14190738544629840416</stp>
        <tr r="K1" s="2"/>
      </tp>
      <tp t="s">
        <v>#N/A Requesting Data...4096239099</v>
        <stp/>
        <stp>BDP|10749518787913680498</stp>
        <tr r="G41" s="446"/>
      </tp>
      <tp t="s">
        <v>#N/A Requesting Data...3211432774</v>
        <stp/>
        <stp>BDP|15491877244086779510</stp>
        <tr r="C90" s="89"/>
      </tp>
      <tp t="s">
        <v>#N/A Requesting Data...2411401934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Data...2047777581</v>
        <stp/>
        <stp>BDP|12497145892616892699</stp>
        <tr r="D102" s="89"/>
      </tp>
      <tp t="s">
        <v>#N/A Requesting Data...3864033620</v>
        <stp/>
        <stp>BDP|14492417491683249054</stp>
        <tr r="AJ41" s="338"/>
        <tr r="AJ42" s="338"/>
      </tp>
      <tp t="s">
        <v>#N/A Requesting Data...2016304207</v>
        <stp/>
        <stp>BDP|17859999151229570867</stp>
        <tr r="E8" s="89"/>
      </tp>
      <tp t="s">
        <v>#N/A Requesting Data...1920122219</v>
        <stp/>
        <stp>BDP|13840950528096738417</stp>
        <tr r="L42" s="338"/>
        <tr r="J42" s="338"/>
      </tp>
      <tp t="s">
        <v>#N/A Requesting Data...3669381512</v>
        <stp/>
        <stp>BDP|10145867011121078252</stp>
        <tr r="E171" s="89"/>
        <tr r="E187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Data...2032962146</v>
        <stp/>
        <stp>BDP|10020321410941159965</stp>
        <tr r="S42" s="338"/>
      </tp>
      <tp t="s">
        <v>#N/A Requesting Data...3418434262</v>
        <stp/>
        <stp>BDP|11794748141588350041</stp>
        <tr r="AJ8" s="338"/>
        <tr r="AJ9" s="338"/>
      </tp>
      <tp t="s">
        <v>#N/A Requesting Data...2184942231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N/A</v>
        <stp/>
        <stp>BDP|16757205954548058378</stp>
        <tr r="AI25" s="1"/>
      </tp>
      <tp t="s">
        <v>#N/A Requesting Data...2513644432</v>
        <stp/>
        <stp>BDP|16761382649589718257</stp>
        <tr r="AB20" s="1"/>
        <tr r="F27" s="446"/>
      </tp>
      <tp t="s">
        <v>#N/A Requesting Data...1978490474</v>
        <stp/>
        <stp>BDP|11629287799981255124</stp>
        <tr r="C68" s="89"/>
      </tp>
      <tp t="s">
        <v>#N/A N/A</v>
        <stp/>
        <stp>BDP|10560430593062313514</stp>
        <tr r="AG37" s="1"/>
      </tp>
      <tp t="s">
        <v>#N/A N/A</v>
        <stp/>
        <stp>BDP|13546818454494181070</stp>
        <tr r="AC37" s="1"/>
      </tp>
      <tp t="e">
        <v>#N/A</v>
        <stp/>
        <stp>BDH|10097910716274795641</stp>
        <tr r="T18" s="252"/>
        <tr r="W18" s="252"/>
      </tp>
      <tp t="e">
        <v>#N/A</v>
        <stp/>
        <stp>BDH|11251651795162090652</stp>
        <tr r="AN12" s="338"/>
      </tp>
      <tp t="s">
        <v>#N/A Real Time</v>
        <stp/>
        <stp>BDP|14244088115833890454|22</stp>
        <stp>SCH5C   6250 Index</stp>
        <stp>DELTA_MID_RT</stp>
        <tr r="W96" s="89"/>
      </tp>
      <tp>
        <v>0.52264863252639771</v>
        <stp/>
        <stp>BDP|11754717216942473893|22</stp>
        <stp>INTC US 07/17/26 C50 Equity</stp>
        <stp>DELTA_MID_RT</stp>
        <tr r="AF17" s="2"/>
        <tr r="W196" s="89"/>
      </tp>
      <tp>
        <v>12.3</v>
        <stp/>
        <stp>BDP|4828129288805035374|22</stp>
        <stp>AAPL US 04/17/26 C260 Equity</stp>
        <stp>ask</stp>
        <tr r="Q14" s="2"/>
        <tr r="L7" s="89"/>
      </tp>
      <tp>
        <v>0.30921751260757446</v>
        <stp/>
        <stp>BDP|15091267836171787049|22</stp>
        <stp>AVGO US 06/18/26 C410 Equity</stp>
        <stp>DELTA_MID_RT</stp>
        <tr r="W222" s="89"/>
      </tp>
      <tp>
        <v>24.55</v>
        <stp/>
        <stp>BDP|9892279240398643988|22</stp>
        <stp>AVGO US 06/18/26 P300 Equity</stp>
        <stp>bid</stp>
        <tr r="K224" s="89"/>
      </tp>
      <tp t="s">
        <v>#N/A Requesting Data...2054171864</v>
        <stp/>
        <stp>BDP|14708527546846978837</stp>
        <tr r="F22" s="446"/>
      </tp>
      <tp t="s">
        <v>#N/A N/A</v>
        <stp/>
        <stp>BDP|18327357577430154792</stp>
        <tr r="AB15" s="1"/>
      </tp>
      <tp t="s">
        <v>#N/A Requesting Data...4214141044</v>
        <stp/>
        <stp>BDP|17382508591454336498</stp>
        <tr r="F10" s="446"/>
      </tp>
      <tp t="s">
        <v>#N/A N/A</v>
        <stp/>
        <stp>BDP|17953939637996030051</stp>
        <tr r="AI26" s="1"/>
      </tp>
      <tp t="s">
        <v>#N/A Requesting Data...2156523539</v>
        <stp/>
        <stp>BDP|15393992280169008616</stp>
        <tr r="F24" s="446"/>
      </tp>
      <tp t="s">
        <v>#N/A Requesting Data...3361950860</v>
        <stp/>
        <stp>BDP|10256865635189905931</stp>
        <tr r="AC22" s="1"/>
        <tr r="D26" s="446"/>
      </tp>
      <tp t="s">
        <v>#N/A Requesting Data...3568861185</v>
        <stp/>
        <stp>BDP|16456696081243656014</stp>
        <tr r="E237" s="89"/>
      </tp>
      <tp t="s">
        <v>#N/A Requesting Data...3235380002</v>
        <stp/>
        <stp>BDP|16326536432018842310</stp>
        <tr r="E102" s="89"/>
      </tp>
      <tp t="s">
        <v>#N/A Requesting Data...4237095424</v>
        <stp/>
        <stp>BDP|14305045698741171731</stp>
        <tr r="AD11" s="2"/>
      </tp>
      <tp t="s">
        <v>#N/A Requesting Data...3882324973</v>
        <stp/>
        <stp>BDP|10846290148809317467</stp>
        <tr r="T47" s="338"/>
      </tp>
      <tp t="s">
        <v>#N/A Requesting Data...2175314929</v>
        <stp/>
        <stp>BDP|17908300451053627923</stp>
        <tr r="C11" s="2"/>
      </tp>
      <tp t="s">
        <v>#N/A N/A</v>
        <stp/>
        <stp>BDP|15319109960459527098</stp>
        <tr r="AC6" s="2"/>
      </tp>
      <tp t="s">
        <v>#N/A Requesting Data...2071745053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Data...2105757474</v>
        <stp/>
        <stp>BDP|11569977534954801402</stp>
        <tr r="D63" s="89"/>
      </tp>
      <tp t="s">
        <v>#N/A Requesting Data...2299237143</v>
        <stp/>
        <stp>BDP|14945010294650760658</stp>
        <tr r="L37" s="338"/>
        <tr r="H37" s="338"/>
      </tp>
      <tp t="s">
        <v>#N/A Requesting Data...2610434404</v>
        <stp/>
        <stp>BDP|12625403616855824991</stp>
        <tr r="F15" s="446"/>
      </tp>
      <tp t="s">
        <v>#N/A Requesting Data...4013323607</v>
        <stp/>
        <stp>BDP|14416377574372571935</stp>
        <tr r="D101" s="89"/>
      </tp>
      <tp t="s">
        <v>#N/A Requesting Data...2788434751</v>
        <stp/>
        <stp>BDP|11745089010498747381</stp>
        <tr r="T75" s="89"/>
      </tp>
      <tp t="s">
        <v>#N/A Requesting Data...3528346000</v>
        <stp/>
        <stp>BDP|10942621120688011798</stp>
        <tr r="V55" s="338"/>
      </tp>
      <tp t="s">
        <v>#N/A Requesting Data...3820956441</v>
        <stp/>
        <stp>BDP|14853590894083718008</stp>
        <tr r="V12" s="338"/>
      </tp>
      <tp t="s">
        <v>#N/A Requesting Data...2521836155</v>
        <stp/>
        <stp>BDP|13154673264950579831</stp>
        <tr r="P8" s="338"/>
      </tp>
      <tp t="s">
        <v>#N/A Requesting Data...3018278308</v>
        <stp/>
        <stp>BDP|18352383299971018866</stp>
        <tr r="V96" s="89"/>
      </tp>
      <tp t="s">
        <v>#N/A Requesting Data...4000238794</v>
        <stp/>
        <stp>BDP|10865582194811567656</stp>
        <tr r="C170" s="89"/>
        <tr r="C26" s="89"/>
      </tp>
      <tp t="s">
        <v>#N/A Requesting Data...2524419063</v>
        <stp/>
        <stp>BDP|15688519024610633913</stp>
        <tr r="C17" s="2"/>
      </tp>
      <tp t="s">
        <v>#N/A Requesting Data...3746442164</v>
        <stp/>
        <stp>BDP|18149202901248495937</stp>
        <tr r="AH8" s="338"/>
        <tr r="AH9" s="338"/>
      </tp>
      <tp t="s">
        <v>#N/A Requesting Data...3637192213</v>
        <stp/>
        <stp>BDP|17812279814258546797</stp>
        <tr r="U12" s="338"/>
      </tp>
      <tp t="s">
        <v>#N/A Requesting Data...3299954513</v>
        <stp/>
        <stp>BDP|16354487536428919237</stp>
        <tr r="P36" s="338"/>
      </tp>
      <tp t="s">
        <v>#N/A Requesting Data...3743340318</v>
        <stp/>
        <stp>BDP|12938986196201541855</stp>
        <tr r="T9" s="338"/>
      </tp>
      <tp t="e">
        <v>#N/A</v>
        <stp/>
        <stp>BDH|13488997533110413278</stp>
        <tr r="AP35" s="338"/>
        <tr r="AP14" s="338"/>
      </tp>
      <tp t="s">
        <v>#N/A Requesting Data...2077993459</v>
        <stp/>
        <stp>BDP|16382697175628205742</stp>
        <tr r="K2" s="2"/>
        <tr r="J1" s="24"/>
      </tp>
      <tp t="s">
        <v>#N/A Requesting Data...3769830451</v>
        <stp/>
        <stp>BDP|15424437415758390085</stp>
        <tr r="C14" s="2"/>
      </tp>
      <tp t="s">
        <v>#N/A Requesting Data...2605012275</v>
        <stp/>
        <stp>BDP|14534507482414865574</stp>
        <tr r="AF38" s="1"/>
        <tr r="AF17" s="338"/>
        <tr r="AF18" s="338"/>
      </tp>
      <tp t="s">
        <v>#N/A Requesting Data...3288193736</v>
        <stp/>
        <stp>BDP|18104805924642791891</stp>
        <tr r="AK9" s="338"/>
      </tp>
      <tp t="s">
        <v>#N/A Requesting Data...3194785943</v>
        <stp/>
        <stp>BDP|18319033186521864931</stp>
        <tr r="T224" s="89"/>
      </tp>
      <tp t="s">
        <v>#N/A Requesting Data...2996120915</v>
        <stp/>
        <stp>BDP|11421352885480139296</stp>
        <tr r="AK18" s="338"/>
      </tp>
      <tp t="s">
        <v>#N/A N/A</v>
        <stp/>
        <stp>BDP|14385972258221788175</stp>
        <tr r="K39" s="1"/>
      </tp>
      <tp t="s">
        <v>#N/A Requesting Data...2781512712</v>
        <stp/>
        <stp>BDP|11146698923399494409</stp>
        <tr r="Q55" s="338"/>
      </tp>
      <tp t="s">
        <v>#N/A Requesting Data...3373426922</v>
        <stp/>
        <stp>BDP|14368247967240567849</stp>
        <tr r="AK48" s="338"/>
        <tr r="AK49" s="338"/>
      </tp>
      <tp t="s">
        <v>#N/A N/A</v>
        <stp/>
        <stp>BDP|18355353104331140221</stp>
        <tr r="E6" s="1"/>
      </tp>
      <tp t="s">
        <v>#N/A Requesting Data...3488861401</v>
        <stp/>
        <stp>BDP|14339764599746958441</stp>
        <tr r="L14" s="252"/>
        <tr r="L14" s="252"/>
      </tp>
      <tp t="s">
        <v>#N/A Requesting Data...3471487681</v>
        <stp/>
        <stp>BDP|13273727322169541747</stp>
        <tr r="S31" s="338"/>
      </tp>
      <tp t="s">
        <v>#N/A Requesting Data...3010036706</v>
        <stp/>
        <stp>BDP|18059086409648276807</stp>
        <tr r="X13" s="338"/>
      </tp>
      <tp t="s">
        <v>#N/A Requesting Data...2859746371</v>
        <stp/>
        <stp>BDP|14077436120512876887</stp>
        <tr r="AH14" s="338"/>
        <tr r="AH35" s="338"/>
      </tp>
      <tp t="s">
        <v>#N/A Requesting Data...2300214076</v>
        <stp/>
        <stp>BDP|15744958059654008590</stp>
        <tr r="M11" s="252"/>
      </tp>
      <tp t="s">
        <v>#N/A N/A</v>
        <stp/>
        <stp>BDP|16147946263357092639</stp>
        <tr r="AA153" s="89"/>
        <tr r="Z153" s="89"/>
      </tp>
      <tp t="s">
        <v>#N/A Requesting Data...2422036736</v>
        <stp/>
        <stp>BDP|13690707356499397067</stp>
        <tr r="AG42" s="338"/>
      </tp>
      <tp t="s">
        <v>#N/A Requesting Data...3554006844</v>
        <stp/>
        <stp>BDP|12538321051928445466</stp>
        <tr r="AR12" s="2"/>
      </tp>
      <tp t="s">
        <v>#N/A Requesting Data...3157874205</v>
        <stp/>
        <stp>BDP|13052160308013823928</stp>
        <tr r="L16" s="252"/>
        <tr r="L16" s="252"/>
      </tp>
      <tp t="s">
        <v>#N/A Requesting Data...2264276778</v>
        <stp/>
        <stp>BDP|10630112845779481422</stp>
        <tr r="T8" s="338"/>
      </tp>
      <tp t="s">
        <v>#N/A N/A</v>
        <stp/>
        <stp>BDP|11209184266078842639</stp>
        <tr r="AC19" s="1"/>
      </tp>
      <tp t="s">
        <v>#N/A Requesting Data...2610769988</v>
        <stp/>
        <stp>BDP|14264052336898754717</stp>
        <tr r="AA9" s="2"/>
        <tr r="T171" s="89"/>
        <tr r="T187" s="89"/>
        <tr r="T27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Data...2580698230</v>
        <stp/>
        <stp>BDP|18091505366056640561</stp>
        <tr r="D69" s="89"/>
      </tp>
      <tp t="s">
        <v>#N/A Requesting Data...2822250555</v>
        <stp/>
        <stp>BDP|17203212740478165145</stp>
        <tr r="AA195" s="89"/>
        <tr r="Z195" s="89"/>
      </tp>
      <tp t="e">
        <v>#N/A</v>
        <stp/>
        <stp>BDH|14636986518896862261</stp>
        <tr r="AR11" s="338"/>
      </tp>
      <tp t="e">
        <v>#N/A</v>
        <stp/>
        <stp>BDH|17048297044779058031</stp>
        <tr r="AS45" s="338"/>
      </tp>
      <tp t="s">
        <v>#N/A Real Time</v>
        <stp/>
        <stp>BDP|3928061582338749570|22</stp>
        <stp>MRYWZ4C4 2390 Index</stp>
        <stp>bid</stp>
        <tr r="K129" s="89"/>
      </tp>
      <tp>
        <v>0.48662263154983521</v>
        <stp/>
        <stp>BDP|10080332628046700882|22</stp>
        <stp>NVDA US 05/15/26 C200 Equity</stp>
        <stp>DELTA_MID_RT</stp>
        <tr r="AF6" s="2"/>
      </tp>
      <tp>
        <v>29.55</v>
        <stp/>
        <stp>BDP|1262865218775301973|22</stp>
        <stp>GOOG US 07/17/26 C350 Equity</stp>
        <stp>ask</stp>
        <tr r="L236" s="89"/>
      </tp>
      <tp>
        <v>0.38000532984733582</v>
        <stp/>
        <stp>BDP|12751338922919034266|22</stp>
        <stp>MSFT US 07/17/26 C470 Equity</stp>
        <stp>DELTA_MID_RT</stp>
        <tr r="W235" s="89"/>
      </tp>
      <tp t="s">
        <v>#N/A N/A</v>
        <stp/>
        <stp>BDP|14228839741476914704</stp>
        <tr r="AF39" s="1"/>
      </tp>
      <tp t="s">
        <v>#N/A Requesting Data...2480009142</v>
        <stp/>
        <stp>BDP|13108014284305863746</stp>
        <tr r="AH29" s="338"/>
        <tr r="AH30" s="338"/>
        <tr r="AJ29" s="338"/>
        <tr r="AJ30" s="338"/>
      </tp>
      <tp t="s">
        <v>#N/A Requesting Data...2869731431</v>
        <stp/>
        <stp>BDP|16161490436721422919</stp>
        <tr r="D19" s="89"/>
      </tp>
      <tp t="s">
        <v>#N/A Requesting Data...3979319923</v>
        <stp/>
        <stp>BDP|18084144309549296940</stp>
        <tr r="X46" s="338"/>
      </tp>
      <tp t="s">
        <v>#N/A Requesting Data...3110711202</v>
        <stp/>
        <stp>BDP|14080496093764135415</stp>
        <tr r="P8" s="252"/>
      </tp>
      <tp t="s">
        <v>#N/A Requesting Data...2477013602</v>
        <stp/>
        <stp>BDP|10379287684220430311</stp>
        <tr r="F4" s="2"/>
      </tp>
      <tp t="s">
        <v>#N/A Requesting Data...2826155591</v>
        <stp/>
        <stp>BDP|15959271808308527692</stp>
        <tr r="AD9" s="2"/>
        <tr r="V171" s="89"/>
        <tr r="V187" s="89"/>
        <tr r="V27" s="89"/>
      </tp>
      <tp t="s">
        <v>#N/A N/A</v>
        <stp/>
        <stp>BDP|14444687789645642697</stp>
        <tr r="L31" s="1"/>
      </tp>
      <tp t="s">
        <v>#N/A Requesting Data...3627092388</v>
        <stp/>
        <stp>BDP|13667922398723991985</stp>
        <tr r="O8" s="252"/>
      </tp>
      <tp t="s">
        <v>#N/A Requesting Data...3328026424</v>
        <stp/>
        <stp>BDP|10669609054893745987</stp>
        <tr r="T15" s="2"/>
        <tr r="O8" s="89"/>
      </tp>
      <tp t="s">
        <v>#N/A Requesting Data...2478727903</v>
        <stp/>
        <stp>BDP|14804043862572092927</stp>
        <tr r="D33" s="89"/>
      </tp>
      <tp t="s">
        <v>#N/A Requesting Data...3931872212</v>
        <stp/>
        <stp>BDP|11569233714862664985</stp>
        <tr r="E10" s="2"/>
      </tp>
      <tp t="s">
        <v>#N/A Requesting Data...3477717455</v>
        <stp/>
        <stp>BDP|16922257546430083956</stp>
        <tr r="E7" s="2"/>
      </tp>
      <tp t="s">
        <v>#N/A Requesting Data...3507305099</v>
        <stp/>
        <stp>BDP|14084731383605893774</stp>
        <tr r="T30" s="338"/>
      </tp>
      <tp t="s">
        <v>#N/A Requesting Data...4130500632</v>
        <stp/>
        <stp>BDP|17920955902274781369</stp>
        <tr r="AK13" s="338"/>
      </tp>
      <tp t="s">
        <v>#N/A Requesting Data...2385599506</v>
        <stp/>
        <stp>BDP|15814817125237185133</stp>
        <tr r="AK11" s="338"/>
      </tp>
      <tp t="s">
        <v>#N/A Requesting Data...2221634148</v>
        <stp/>
        <stp>BDP|10683822754613362720</stp>
        <tr r="C89" s="89"/>
      </tp>
      <tp t="s">
        <v>#N/A Requesting Data...3357625579</v>
        <stp/>
        <stp>BDP|14905890171093180111</stp>
        <tr r="U18" s="338"/>
      </tp>
      <tp t="s">
        <v>#N/A Requesting Data...3005778872</v>
        <stp/>
        <stp>BDP|17719503394081403362</stp>
        <tr r="AH37" s="338"/>
        <tr r="AJ37" s="338"/>
      </tp>
      <tp t="s">
        <v>#N/A N/A</v>
        <stp/>
        <stp>BDP|18279909896309755834</stp>
        <tr r="AG14" s="1"/>
      </tp>
      <tp t="s">
        <v>#N/A Requesting Data...2355246663</v>
        <stp/>
        <stp>BDP|12571041380342291138</stp>
        <tr r="F34" s="446"/>
      </tp>
      <tp t="s">
        <v>#N/A N/A</v>
        <stp/>
        <stp>BDP|18294824894201725105</stp>
        <tr r="AC18" s="2"/>
        <tr r="AC16" s="2"/>
        <tr r="AC17" s="2"/>
      </tp>
      <tp t="s">
        <v>#N/A Requesting Data...2380647106</v>
        <stp/>
        <stp>BDP|16648478878978208488</stp>
        <tr r="O178" s="89"/>
        <tr r="O179" s="89"/>
      </tp>
      <tp t="s">
        <v>#N/A Requesting Data...2831070953</v>
        <stp/>
        <stp>BDP|13659806942011456735</stp>
        <tr r="P7" s="252"/>
      </tp>
      <tp t="s">
        <v>#N/A Requesting Data...3267170164</v>
        <stp/>
        <stp>BDP|18096821285957052647</stp>
        <tr r="F18" s="446"/>
      </tp>
      <tp t="s">
        <v>#N/A Requesting Data...2078190597</v>
        <stp/>
        <stp>BDP|15656413080994607429</stp>
        <tr r="AA188" s="89"/>
        <tr r="Z188" s="89"/>
      </tp>
      <tp t="s">
        <v>#N/A Requesting Data...3283738547</v>
        <stp/>
        <stp>BDP|13020371554755200921</stp>
        <tr r="AD14" s="2"/>
        <tr r="V7" s="89"/>
      </tp>
      <tp t="s">
        <v>#N/A Requesting Data...2793942912</v>
        <stp/>
        <stp>BDP|17046967805152979583</stp>
        <tr r="V89" s="89"/>
      </tp>
      <tp t="s">
        <v>#N/A N/A</v>
        <stp/>
        <stp>BDP|12912684483811638411</stp>
        <tr r="L25" s="1"/>
        <tr r="L26" s="1"/>
      </tp>
      <tp t="s">
        <v>#N/A Requesting Data...3826657516</v>
        <stp/>
        <stp>BDP|17800905748963418018</stp>
        <tr r="V52" s="338"/>
      </tp>
      <tp t="s">
        <v>#N/A Requesting Data...2354223753</v>
        <stp/>
        <stp>BDP|16080473360335288805</stp>
        <tr r="AF22" s="1"/>
        <tr r="AF10" s="338"/>
        <tr r="AF11" s="338"/>
        <tr r="AF33" s="338"/>
      </tp>
      <tp t="s">
        <v>#N/A Requesting Data...3944456776</v>
        <stp/>
        <stp>BDP|18082660766744672526</stp>
        <tr r="X34" s="338"/>
      </tp>
      <tp t="s">
        <v>#N/A Requesting Data...2534610702</v>
        <stp/>
        <stp>BDP|16257040632264100814</stp>
        <tr r="V237" s="89"/>
      </tp>
      <tp t="s">
        <v>#N/A N/A</v>
        <stp/>
        <stp>BDP|17620015100226350806</stp>
        <tr r="AG23" s="1"/>
      </tp>
      <tp t="s">
        <v>#N/A Requesting Data...3683598307</v>
        <stp/>
        <stp>BDP|17113464131298207134</stp>
        <tr r="O6" s="252"/>
      </tp>
      <tp t="s">
        <v>#N/A Requesting Data...3111865986</v>
        <stp/>
        <stp>BDP|16284628867238126714</stp>
        <tr r="AD10" s="2"/>
      </tp>
      <tp t="s">
        <v>#N/A Requesting Data...2238835519</v>
        <stp/>
        <stp>BDP|13465906218584984636</stp>
        <tr r="U48" s="338"/>
      </tp>
      <tp t="s">
        <v>#N/A N/A</v>
        <stp/>
        <stp>BDP|15116597352486368118|22</stp>
        <stp>2OG6P 25450 Index</stp>
        <stp>ask</stp>
        <tr r="L153" s="89"/>
      </tp>
      <tp t="e">
        <v>#N/A</v>
        <stp/>
        <stp>BDH|13096786293900685455</stp>
        <tr r="AN41" s="338"/>
        <tr r="AN42" s="338"/>
      </tp>
      <tp t="s">
        <v>#N/A Requesting Data...3166953692</v>
        <stp/>
        <stp>BDP|13370676866274995925</stp>
        <tr r="V29" s="338"/>
      </tp>
      <tp t="s">
        <v>#N/A Requesting Data...3803964189</v>
        <stp/>
        <stp>BDP|16549461050648260185</stp>
        <tr r="V48" s="338"/>
      </tp>
      <tp t="s">
        <v>#N/A Requesting Data...3159345300</v>
        <stp/>
        <stp>BDP|14539375968436522979</stp>
        <tr r="F18" s="2"/>
      </tp>
      <tp t="s">
        <v>#N/A Requesting Data...3785875133</v>
        <stp/>
        <stp>BDP|11883811462826271727</stp>
        <tr r="AI13" s="338"/>
        <tr r="AK13" s="338"/>
      </tp>
      <tp t="s">
        <v>#N/A Requesting Data...3346368288</v>
        <stp/>
        <stp>BDP|15816931278674113197</stp>
        <tr r="C4" s="2"/>
      </tp>
      <tp t="s">
        <v>#N/A Requesting Data...3704886377</v>
        <stp/>
        <stp>BDP|16651632599577766000</stp>
        <tr r="T20" s="89"/>
      </tp>
      <tp t="s">
        <v>#N/A N/A</v>
        <stp/>
        <stp>BDP|15466705637537159880</stp>
        <tr r="AF12" s="1"/>
      </tp>
      <tp t="s">
        <v>#N/A Requesting Data...2748743029</v>
        <stp/>
        <stp>BDP|13773404769917079849</stp>
        <tr r="X41" s="338"/>
      </tp>
      <tp t="s">
        <v>#N/A Requesting Data...2452545750</v>
        <stp/>
        <stp>BDP|17094237872549842544</stp>
        <tr r="P11" s="338"/>
      </tp>
      <tp t="s">
        <v>#N/A Requesting Data...3930854541</v>
        <stp/>
        <stp>BDP|11238984157816656563</stp>
        <tr r="O211" s="89"/>
      </tp>
      <tp t="s">
        <v>#N/A Requesting Data...3279549194</v>
        <stp/>
        <stp>BDP|17894084826469233293</stp>
        <tr r="D10" s="2"/>
      </tp>
      <tp t="s">
        <v>#N/A Requesting Data...4226765283</v>
        <stp/>
        <stp>BDP|16326348528261420875</stp>
        <tr r="AH37" s="338"/>
      </tp>
      <tp t="s">
        <v>#N/A Requesting Data...3869989482</v>
        <stp/>
        <stp>BDP|10719787797623635315</stp>
        <tr r="AR7" s="2"/>
      </tp>
      <tp t="s">
        <v>#N/A Requesting Data...4058448563</v>
        <stp/>
        <stp>BDP|17255225148738161764</stp>
        <tr r="E8" s="2"/>
      </tp>
      <tp t="s">
        <v>#N/A Requesting Data...3709410580</v>
        <stp/>
        <stp>BDP|12942600097452969197</stp>
        <tr r="AI30" s="338"/>
      </tp>
      <tp t="s">
        <v>#N/A Requesting Data...2718329222</v>
        <stp/>
        <stp>BDP|11004855748816491574</stp>
        <tr r="Z145" s="89"/>
        <tr r="AA145" s="89"/>
      </tp>
      <tp t="s">
        <v>#N/A Requesting Data...2561162333</v>
        <stp/>
        <stp>BDP|13321932753372613352</stp>
        <tr r="S50" s="338"/>
      </tp>
      <tp t="s">
        <v>#N/A N/A</v>
        <stp/>
        <stp>BDP|14026845325197194708</stp>
        <tr r="AB27" s="1"/>
      </tp>
      <tp t="s">
        <v>#N/A Requesting Data...3155468229</v>
        <stp/>
        <stp>BDP|18139099943730098283</stp>
        <tr r="X42" s="338"/>
      </tp>
      <tp t="s">
        <v>#N/A Requesting Data...2733034897</v>
        <stp/>
        <stp>BDP|17559419213548458414</stp>
        <tr r="Q30" s="338"/>
      </tp>
      <tp t="s">
        <v>#N/A Requesting Data...2932177877</v>
        <stp/>
        <stp>BDP|14818954946994919376</stp>
        <tr r="T55" s="338"/>
      </tp>
      <tp t="s">
        <v>#N/A Requesting Data...3018829532</v>
        <stp/>
        <stp>BDP|16547593626468626792</stp>
        <tr r="V90" s="89"/>
      </tp>
      <tp t="s">
        <v>#N/A Requesting Data...3424406323</v>
        <stp/>
        <stp>BDP|12254931781748441511</stp>
        <tr r="AA4" s="2"/>
      </tp>
      <tp t="s">
        <v>#N/A N/A</v>
        <stp/>
        <stp>BDP|16747972762296741126</stp>
        <tr r="AF27" s="1"/>
      </tp>
      <tp t="s">
        <v>#N/A Requesting Data...2504342263</v>
        <stp/>
        <stp>BDP|10277773846639500409</stp>
        <tr r="E225" s="89"/>
      </tp>
      <tp t="s">
        <v>#N/A Requesting Data...2976496419</v>
        <stp/>
        <stp>BDP|15391597190645842246</stp>
        <tr r="U41" s="338"/>
      </tp>
      <tp t="e">
        <v>#N/A</v>
        <stp/>
        <stp>BDH|18351647787151556911</stp>
        <tr r="AR54" s="338"/>
      </tp>
      <tp t="e">
        <v>#N/A</v>
        <stp/>
        <stp>BDH|16874641981465396368</stp>
        <tr r="AS18" s="338"/>
      </tp>
      <tp>
        <v>-0.58483940362930298</v>
        <stp/>
        <stp>BDP|12363987419731278955|22</stp>
        <stp>MRVL US 03/20/26 P85 Equity</stp>
        <stp>DELTA_MID_RT</stp>
        <tr r="AF10" s="2"/>
      </tp>
      <tp>
        <v>0.50905394554138184</v>
        <stp/>
        <stp>BDP|18110796337974702583|22</stp>
        <stp>AVGO US 06/18/26 C350 Equity</stp>
        <stp>DELTA_MID_RT</stp>
        <tr r="AF5" s="2"/>
        <tr r="W223" s="89"/>
      </tp>
      <tp>
        <v>52.35</v>
        <stp/>
        <stp>BDP|5056262684534913710|22</stp>
        <stp>LITE US 03/20/26 C420 Equity</stp>
        <stp>mid</stp>
        <tr r="L7" s="2"/>
      </tp>
      <tp>
        <v>-0.21046191453933716</v>
        <stp/>
        <stp>BDP|13664804564066341271|22</stp>
        <stp>MSFT US 02/20/26 P410 Equity</stp>
        <stp>DELTA_MID_RT</stp>
        <tr r="W205" s="89"/>
        <tr r="W213" s="89"/>
      </tp>
      <tp t="s">
        <v>#N/A N/A</v>
        <stp/>
        <stp>BDP|14736502366221001988</stp>
        <tr r="AG21" s="1"/>
      </tp>
      <tp t="s">
        <v>#N/A Requesting Data...2482209442</v>
        <stp/>
        <stp>BDP|14590387959435843851</stp>
        <tr r="P18" s="252"/>
      </tp>
      <tp t="s">
        <v>#N/A Requesting Data...3306904408</v>
        <stp/>
        <stp>BDP|11647623474426955905</stp>
        <tr r="D34" s="89"/>
      </tp>
      <tp t="s">
        <v>#N/A Requesting Data...3842728380</v>
        <stp/>
        <stp>BDP|13791594013149475126</stp>
        <tr r="M13" s="252"/>
      </tp>
      <tp t="s">
        <v>#N/A Requesting Data...2724716543</v>
        <stp/>
        <stp>BDP|17874986578052725446</stp>
        <tr r="P50" s="338"/>
      </tp>
      <tp t="s">
        <v>#N/A N/A</v>
        <stp/>
        <stp>BDP|12067346968488625077</stp>
        <tr r="K9" s="1"/>
      </tp>
      <tp t="s">
        <v>#N/A Requesting Data...3858461308</v>
        <stp/>
        <stp>BDP|16409736918268434763</stp>
        <tr r="AD15" s="2"/>
        <tr r="V8" s="89"/>
      </tp>
      <tp t="s">
        <v>#N/A Requesting Data...2647366630</v>
        <stp/>
        <stp>BDP|12930748263249803590</stp>
        <tr r="V47" s="338"/>
      </tp>
      <tp t="s">
        <v>#N/A Requesting Data...2819452544</v>
        <stp/>
        <stp>BDP|10458872348380612322</stp>
        <tr r="D32" s="446"/>
      </tp>
      <tp t="s">
        <v>#N/A Requesting Data...3674730001</v>
        <stp/>
        <stp>BDP|17591857746666872206</stp>
        <tr r="T233" s="89"/>
      </tp>
      <tp t="s">
        <v>#N/A Requesting Data...3324323013</v>
        <stp/>
        <stp>BDP|17326978713770046094</stp>
        <tr r="V205" s="89"/>
        <tr r="V213" s="89"/>
      </tp>
      <tp t="s">
        <v>#N/A Requesting Data...3248777150</v>
        <stp/>
        <stp>BDP|11607763991426641696</stp>
        <tr r="O180" s="89"/>
      </tp>
      <tp t="s">
        <v>#N/A N/A</v>
        <stp/>
        <stp>BDP|12446616610012704839</stp>
        <tr r="AF14" s="1"/>
      </tp>
      <tp t="s">
        <v>#N/A Requesting Data...2217674231</v>
        <stp/>
        <stp>BDP|16111091406080680995</stp>
        <tr r="S20" s="252"/>
      </tp>
      <tp t="s">
        <v>#N/A N/A</v>
        <stp/>
        <stp>BDP|12917284443828342304</stp>
        <tr r="AC38" s="1"/>
      </tp>
      <tp t="s">
        <v>#N/A Requesting Data...4097765312</v>
        <stp/>
        <stp>BDP|12803911852087939635</stp>
        <tr r="Q37" s="338"/>
      </tp>
      <tp t="s">
        <v>#N/A Requesting Data...3468531288</v>
        <stp/>
        <stp>BDP|12565777765454100870</stp>
        <tr r="AK45" s="338"/>
      </tp>
      <tp t="s">
        <v>#N/A Requesting Data...4194697157</v>
        <stp/>
        <stp>BDP|14757904724106470662</stp>
        <tr r="C115" s="89"/>
      </tp>
      <tp t="s">
        <v>#N/A Requesting Data...3985349696</v>
        <stp/>
        <stp>BDP|15520885965692162698</stp>
        <tr r="P35" s="338"/>
      </tp>
      <tp t="s">
        <v>#N/A N/A</v>
        <stp/>
        <stp>BDP|18411820983824502305</stp>
        <tr r="E9" s="1"/>
        <tr r="K22" s="1"/>
      </tp>
      <tp t="s">
        <v>#N/A Requesting Data...2857430967</v>
        <stp/>
        <stp>BDP|10301624500660028915</stp>
        <tr r="O82" s="89"/>
      </tp>
      <tp t="s">
        <v>#N/A Requesting Data...3652927609</v>
        <stp/>
        <stp>BDP|10592246107754169947</stp>
        <tr r="AR18" s="2"/>
      </tp>
      <tp t="s">
        <v>#N/A Requesting Data...3900067024</v>
        <stp/>
        <stp>BDP|18187575182553363942</stp>
        <tr r="S29" s="338"/>
      </tp>
      <tp t="s">
        <v>#N/A N/A</v>
        <stp/>
        <stp>BDP|15088949515073653147</stp>
        <tr r="AI27" s="1"/>
      </tp>
      <tp t="s">
        <v>#N/A Requesting Data...2860021628</v>
        <stp/>
        <stp>BDP|12559765690110808384</stp>
        <tr r="L6" s="252"/>
        <tr r="L6" s="252"/>
      </tp>
      <tp t="s">
        <v>#N/A Requesting Data...3408484201</v>
        <stp/>
        <stp>BDP|16650855945696243361</stp>
        <tr r="O235" s="89"/>
      </tp>
      <tp t="s">
        <v>#N/A Requesting Data...2945939098</v>
        <stp/>
        <stp>BDP|10141273456439406166</stp>
        <tr r="U40" s="338"/>
      </tp>
      <tp t="s">
        <v>#N/A Requesting Data...2323915239</v>
        <stp/>
        <stp>BDP|15650822721567670765</stp>
        <tr r="AF15" s="338"/>
        <tr r="AF39" s="338"/>
        <tr r="AG40" s="338"/>
      </tp>
      <tp t="s">
        <v>#N/A Requesting Data...3882518159</v>
        <stp/>
        <stp>BDP|10661203894173514722</stp>
        <tr r="P40" s="338"/>
      </tp>
      <tp t="s">
        <v>#N/A Requesting Data...3110063379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Data...4129686971</v>
        <stp/>
        <stp>BDP|16644071595826516655</stp>
        <tr r="M17" s="252"/>
      </tp>
      <tp t="s">
        <v>#N/A Requesting Data...3234144188</v>
        <stp/>
        <stp>BDP|10282731194108712961</stp>
        <tr r="X32" s="338"/>
      </tp>
      <tp t="s">
        <v>#N/A Requesting Data...2722663934</v>
        <stp/>
        <stp>BDP|11825565969849644458</stp>
        <tr r="G26" s="446"/>
      </tp>
      <tp t="s">
        <v>#N/A Requesting Data...2443630847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Data...3968777559</v>
        <stp/>
        <stp>BDP|10754652992714129477</stp>
        <tr r="E170" s="89"/>
        <tr r="E26" s="89"/>
      </tp>
      <tp t="s">
        <v>#N/A Requesting Data...4233290901</v>
        <stp/>
        <stp>BDP|13743925468151835237</stp>
        <tr r="AF52" s="338"/>
        <tr r="AF53" s="338"/>
        <tr r="AF54" s="338"/>
      </tp>
      <tp t="e">
        <v>#N/A</v>
        <stp/>
        <stp>BDH|13652800087929269523</stp>
        <tr r="AR18" s="338"/>
      </tp>
      <tp t="e">
        <v>#N/A</v>
        <stp/>
        <stp>BDH|15595015697976471554</stp>
        <tr r="AU29" s="338"/>
      </tp>
      <tp t="e">
        <v>#N/A</v>
        <stp/>
        <stp>BDH|15301870027157436707</stp>
        <tr r="T7" s="252"/>
        <tr r="W7" s="252"/>
      </tp>
      <tp t="e">
        <v>#N/A</v>
        <stp/>
        <stp>BDH|17666701358278844208</stp>
        <tr r="AP54" s="338"/>
        <tr r="AP53" s="338"/>
        <tr r="AP52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0.51924973726272583</v>
        <stp/>
        <stp>BDP|91139731021883834|22</stp>
        <stp>GOOG US 07/17/26 C350 Equity</stp>
        <stp>DELTA_MID_RT</stp>
        <tr r="W236" s="89"/>
      </tp>
      <tp>
        <v>4.25</v>
        <stp/>
        <stp>BDP|7680890729121353321|22</stp>
        <stp>AAPL US 04/17/26 C280 Equity</stp>
        <stp>bid</stp>
        <tr r="P15" s="2"/>
        <tr r="K8" s="89"/>
      </tp>
      <tp t="s">
        <v>#N/A Requesting Data...3127991356</v>
        <stp/>
        <stp>BDP|10552070608995420954</stp>
        <tr r="O9" s="252"/>
      </tp>
      <tp t="s">
        <v>#N/A Requesting Data...4015837147</v>
        <stp/>
        <stp>BDP|15489180332173336860</stp>
        <tr r="T12" s="2"/>
        <tr r="O62" s="89"/>
      </tp>
      <tp t="s">
        <v>#N/A Requesting Data...3092840019</v>
        <stp/>
        <stp>BDP|10638509007919355098</stp>
        <tr r="Q34" s="338"/>
      </tp>
      <tp t="s">
        <v>#N/A Requesting Data...2982916546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Data...4280800547</v>
        <stp/>
        <stp>BDP|16048814305041128389</stp>
        <tr r="AH12" s="338"/>
        <tr r="AJ12" s="338"/>
      </tp>
      <tp t="s">
        <v>#N/A Requesting Data...2699625645</v>
        <stp/>
        <stp>BDP|17315018787765860602</stp>
        <tr r="U29" s="338"/>
      </tp>
      <tp t="s">
        <v>#N/A Requesting Data...3167752392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Data...3572288077</v>
        <stp/>
        <stp>BDP|15549933334837718499</stp>
        <tr r="AJ36" s="338"/>
      </tp>
      <tp t="s">
        <v>#N/A Requesting Data...3524342597</v>
        <stp/>
        <stp>BDP|13021422978704305879</stp>
        <tr r="F33" s="446"/>
      </tp>
      <tp t="s">
        <v>#N/A N/A</v>
        <stp/>
        <stp>BDP|16521478898015424206</stp>
        <tr r="AV9" s="2"/>
        <tr r="AV8" s="2"/>
        <tr r="R169" s="89"/>
        <tr r="R170" s="89"/>
        <tr r="R171" s="89"/>
        <tr r="R187" s="89"/>
        <tr r="R233" s="89"/>
        <tr r="R27" s="89"/>
        <tr r="R180" s="89"/>
        <tr r="R26" s="89"/>
        <tr r="R188" s="89"/>
        <tr r="R186" s="89"/>
      </tp>
      <tp t="s">
        <v>#N/A Requesting Data...3675552427</v>
        <stp/>
        <stp>BDP|16877024025140252836</stp>
        <tr r="F37" s="446"/>
      </tp>
      <tp t="s">
        <v>#N/A Requesting Data...2449659790</v>
        <stp/>
        <stp>BDP|10608928655856941660</stp>
        <tr r="C15" s="2"/>
      </tp>
      <tp t="s">
        <v>#N/A Requesting Data...2708137952</v>
        <stp/>
        <stp>BDP|11873488141545455841</stp>
        <tr r="AK12" s="338"/>
      </tp>
      <tp t="s">
        <v>#N/A Requesting Data...3476456833</v>
        <stp/>
        <stp>BDP|10918059229437544914</stp>
        <tr r="S14" s="252"/>
      </tp>
      <tp t="s">
        <v>#N/A Requesting Data...2549276616</v>
        <stp/>
        <stp>BDP|17459985945086122091</stp>
        <tr r="F19" s="252"/>
      </tp>
      <tp t="s">
        <v>#N/A Requesting Data...3890720304</v>
        <stp/>
        <stp>BDP|16146881818116826586</stp>
        <tr r="P41" s="338"/>
      </tp>
      <tp t="s">
        <v>#N/A Requesting Data...3455550817</v>
        <stp/>
        <stp>BDP|16305130988474048795</stp>
        <tr r="C16" s="2"/>
      </tp>
      <tp t="s">
        <v>#N/A Requesting Data...2198548242</v>
        <stp/>
        <stp>BDP|15485843473026578068</stp>
        <tr r="U54" s="338"/>
      </tp>
      <tp t="s">
        <v>#N/A Requesting Data...2602769292</v>
        <stp/>
        <stp>BDP|14702322456147385934</stp>
        <tr r="U47" s="338"/>
      </tp>
      <tp t="s">
        <v>#N/A Requesting Data...2806915342</v>
        <stp/>
        <stp>BDP|13405037176711243908</stp>
        <tr r="E137" s="89"/>
      </tp>
      <tp t="s">
        <v>#N/A N/A</v>
        <stp/>
        <stp>BDP|17431748397947127250</stp>
        <tr r="AG30" s="1"/>
      </tp>
      <tp t="s">
        <v>#N/A Requesting Data...2833431802</v>
        <stp/>
        <stp>BDP|12945955828165458035</stp>
        <tr r="Z96" s="89"/>
        <tr r="AA96" s="89"/>
      </tp>
      <tp t="s">
        <v>#N/A Requesting Data...2721989522</v>
        <stp/>
        <stp>BDP|14217961267851904682</stp>
        <tr r="AD12" s="2"/>
        <tr r="V62" s="89"/>
      </tp>
      <tp t="s">
        <v>#N/A Requesting Data...4229683915</v>
        <stp/>
        <stp>BDP|16199643097561563420</stp>
        <tr r="C129" s="89"/>
      </tp>
      <tp t="s">
        <v>#N/A N/A</v>
        <stp/>
        <stp>BDP|18308090109307424329</stp>
        <tr r="K34" s="1"/>
      </tp>
      <tp t="s">
        <v>#N/A Requesting Data...3127152285</v>
        <stp/>
        <stp>BDP|14259965167551312659</stp>
        <tr r="F6" s="2"/>
      </tp>
      <tp t="s">
        <v>#N/A Requesting Data...3718419827</v>
        <stp/>
        <stp>BDP|12674764301591512809</stp>
        <tr r="C205" s="89"/>
        <tr r="C213" s="89"/>
      </tp>
      <tp t="s">
        <v>#N/A Requesting Data...2232108414</v>
        <stp/>
        <stp>BDP|14535010240339641566</stp>
        <tr r="AA16" s="2"/>
        <tr r="T195" s="89"/>
      </tp>
      <tp t="s">
        <v>#N/A Requesting Data...2316574178</v>
        <stp/>
        <stp>BDP|12025675637399291269</stp>
        <tr r="O15" s="252"/>
      </tp>
      <tp t="s">
        <v>#N/A Requesting Data...3586126262</v>
        <stp/>
        <stp>BDP|11664873615115482148</stp>
        <tr r="V69" s="89"/>
      </tp>
      <tp t="s">
        <v>#N/A Requesting Data...2241401871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Data...2681029685</v>
        <stp/>
        <stp>BDP|12603143287034451379</stp>
        <tr r="AC20" s="1"/>
        <tr r="D27" s="446"/>
      </tp>
      <tp t="s">
        <v>#N/A Requesting Data...3651988716</v>
        <stp/>
        <stp>BDP|10004210412887167840</stp>
        <tr r="D40" s="446"/>
      </tp>
      <tp t="e">
        <v>#N/A</v>
        <stp/>
        <stp>BDH|17836054683567760484</stp>
        <tr r="AS35" s="338"/>
        <tr r="AN50" s="338"/>
        <tr r="AS37" s="338"/>
        <tr r="AN51" s="338"/>
        <tr r="AS36" s="338"/>
        <tr r="AS34" s="338"/>
      </tp>
      <tp t="e">
        <v>#N/A</v>
        <stp/>
        <stp>BDH|13392831222951112430</stp>
        <tr r="J11" s="252"/>
      </tp>
      <tp t="e">
        <v>#N/A</v>
        <stp/>
        <stp>BDH|10934947468350139371</stp>
        <tr r="AN14" s="338"/>
        <tr r="AN35" s="338"/>
      </tp>
      <tp t="e">
        <v>#N/A</v>
        <stp/>
        <stp>BDH|16077204590977329612</stp>
        <tr r="AN30" s="338"/>
        <tr r="AN29" s="338"/>
      </tp>
      <tp t="e">
        <v>#N/A</v>
        <stp/>
        <stp>BDH|14866787747103766878</stp>
        <tr r="AU11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e">
        <v>#N/A</v>
        <stp/>
        <stp>BDH|18195428168141635759</stp>
        <tr r="AR42" s="338"/>
      </tp>
      <tp>
        <v>-0.30709168314933777</v>
        <stp/>
        <stp>BDP|15300860136715577647|22</stp>
        <stp>AVGO US 06/18/26 P300 Equity</stp>
        <stp>DELTA_MID_RT</stp>
        <tr r="W224" s="89"/>
      </tp>
      <tp>
        <v>391.84</v>
        <stp/>
        <stp>BDP|336164456245703188|22</stp>
        <stp>LITE US Equity</stp>
        <stp>LAST_PRICE</stp>
        <tr r="Z7" s="2"/>
      </tp>
      <tp t="s">
        <v>#N/A Real Time</v>
        <stp/>
        <stp>BDP|4430211455615003459|22</stp>
        <stp>4OX4C    20500 Index</stp>
        <stp>bid</stp>
        <tr r="K108" s="89"/>
      </tp>
      <tp>
        <v>0.27686971426010132</v>
        <stp/>
        <stp>BDP|2598103699700497103|22</stp>
        <stp>NVDA US 02/06/26 C197.5 Equity</stp>
        <stp>DELTA_MID_RT</stp>
        <tr r="W33" s="89"/>
      </tp>
      <tp t="s">
        <v>#N/A Requesting Data...2268005061</v>
        <stp/>
        <stp>BDP|10830436782351213025</stp>
        <tr r="AG13" s="338"/>
      </tp>
      <tp t="s">
        <v>#N/A Requesting Data...2540472892</v>
        <stp/>
        <stp>BDP|16101110071044873900</stp>
        <tr r="S19" s="252"/>
      </tp>
      <tp t="s">
        <v>#N/A Requesting Data...3318753800</v>
        <stp/>
        <stp>BDP|17375751787424053193</stp>
        <tr r="T90" s="89"/>
      </tp>
      <tp t="s">
        <v>#N/A Requesting Data...3694781967</v>
        <stp/>
        <stp>BDP|15805166451638287462</stp>
        <tr r="S18" s="338"/>
      </tp>
      <tp t="s">
        <v>#N/A Requesting Data...3723088101</v>
        <stp/>
        <stp>BDP|18446461901708890906</stp>
        <tr r="S45" s="338"/>
      </tp>
      <tp t="s">
        <v>#N/A Requesting Data...3824045492</v>
        <stp/>
        <stp>BDP|12514485676904256829</stp>
        <tr r="E160" s="89"/>
      </tp>
      <tp t="s">
        <v>#N/A Requesting Data...3521807474</v>
        <stp/>
        <stp>BDP|12136202912939805519</stp>
        <tr r="T205" s="89"/>
        <tr r="T213" s="89"/>
      </tp>
      <tp t="s">
        <v>#N/A Requesting Data...3502239286</v>
        <stp/>
        <stp>BDP|10028687100653384862</stp>
        <tr r="T5" s="2"/>
        <tr r="O223" s="89"/>
      </tp>
      <tp t="s">
        <v>#N/A Requesting Data...3570231229</v>
        <stp/>
        <stp>BDP|17519811246675934365</stp>
        <tr r="Q49" s="338"/>
      </tp>
      <tp t="s">
        <v>#N/A Requesting Data...3785579138</v>
        <stp/>
        <stp>BDP|15843140282036113720</stp>
        <tr r="G22" s="446"/>
      </tp>
      <tp t="s">
        <v>#N/A Requesting Data...3891050159</v>
        <stp/>
        <stp>BDP|11847564369457057888</stp>
        <tr r="F13" s="252"/>
      </tp>
      <tp t="s">
        <v>#N/A Requesting Data...3320019621</v>
        <stp/>
        <stp>BDP|13571664718169245067</stp>
        <tr r="U14" s="338"/>
      </tp>
      <tp t="s">
        <v>#N/A Requesting Data...3063642676</v>
        <stp/>
        <stp>BDP|17319342610009091197</stp>
        <tr r="G27" s="446"/>
      </tp>
      <tp t="s">
        <v>#N/A N/A</v>
        <stp/>
        <stp>BDP|11924439292996409721</stp>
        <tr r="AG34" s="1"/>
      </tp>
      <tp t="s">
        <v>#N/A Requesting Data...2847756511</v>
        <stp/>
        <stp>BDP|14882210397437387533</stp>
        <tr r="T42" s="338"/>
      </tp>
      <tp t="s">
        <v>#N/A Requesting Data...4241247510</v>
        <stp/>
        <stp>BDP|16174661133786135858</stp>
        <tr r="L12" s="338"/>
        <tr r="H12" s="338"/>
      </tp>
      <tp t="s">
        <v>#N/A Requesting Data...3006440118</v>
        <stp/>
        <stp>BDP|17115834681353057933</stp>
        <tr r="U31" s="338"/>
      </tp>
      <tp t="s">
        <v>#N/A Requesting Data...3920483817</v>
        <stp/>
        <stp>BDP|15668854101229733957</stp>
        <tr r="V82" s="89"/>
      </tp>
      <tp t="s">
        <v>#N/A Requesting Data...3825956790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2" s="89"/>
        <tr r="R81" s="89"/>
      </tp>
      <tp t="s">
        <v>#N/A Requesting Data...3006137711</v>
        <stp/>
        <stp>BDP|18074111082599132509</stp>
        <tr r="D196" s="89"/>
      </tp>
      <tp t="s">
        <v>#N/A Requesting Data...2346049316</v>
        <stp/>
        <stp>BDP|16200988588058493248</stp>
        <tr r="AA224" s="89"/>
        <tr r="Z224" s="89"/>
      </tp>
      <tp t="s">
        <v>#N/A Requesting Data...3652869045</v>
        <stp/>
        <stp>BDP|17051618884910746406</stp>
        <tr r="T44" s="338"/>
      </tp>
      <tp t="s">
        <v>#N/A Requesting Data...3625131453</v>
        <stp/>
        <stp>BDP|14959318848357778920</stp>
        <tr r="T41" s="338"/>
      </tp>
      <tp t="s">
        <v>#N/A Requesting Data...4085584736</v>
        <stp/>
        <stp>BDP|15219096160618738682</stp>
        <tr r="X17" s="338"/>
      </tp>
      <tp t="s">
        <v>#N/A Requesting Data...2443958461</v>
        <stp/>
        <stp>BDP|14574759861540790819</stp>
        <tr r="S34" s="338"/>
      </tp>
      <tp t="s">
        <v>#N/A Requesting Data...3336380224</v>
        <stp/>
        <stp>BDP|17898461283376389092</stp>
        <tr r="D40" s="89"/>
      </tp>
      <tp t="s">
        <v>#N/A Requesting Data...2367586974</v>
        <stp/>
        <stp>BDP|12063939312664514322</stp>
        <tr r="N17" s="252"/>
        <tr r="N17" s="252"/>
      </tp>
      <tp t="s">
        <v>#N/A Requesting Data...2954924496</v>
        <stp/>
        <stp>BDP|11934537446469823426</stp>
        <tr r="E6" s="2"/>
      </tp>
      <tp t="e">
        <v>#N/A</v>
        <stp/>
        <stp>BDH|13352422705079309305</stp>
        <tr r="AM50" s="338"/>
        <tr r="AR35" s="338"/>
        <tr r="AR37" s="338"/>
        <tr r="AR34" s="338"/>
        <tr r="AM51" s="338"/>
        <tr r="AR36" s="338"/>
      </tp>
      <tp t="e">
        <v>#N/A</v>
        <stp/>
        <stp>BDH|13885285882450008494</stp>
        <tr r="J17" s="252"/>
      </tp>
      <tp>
        <v>621.87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83.51</v>
        <stp/>
        <stp>BDP|3617422536658376331|22</stp>
        <stp>XLP Equity</stp>
        <stp>LAST PRICE</stp>
        <tr r="I9" s="338"/>
      </tp>
      <tp>
        <v>80</v>
        <stp/>
        <stp>BDP|4911432985148125573|22</stp>
        <stp>META US 07/17/26 C700 Equity</stp>
        <stp>ask</stp>
        <tr r="Q9" s="2"/>
        <tr r="L27" s="89"/>
        <tr r="L187" s="89"/>
        <tr r="L171" s="89"/>
      </tp>
      <tp>
        <v>0.23941123485565186</v>
        <stp/>
        <stp>BDP|17883794052074029184|22</stp>
        <stp>MSFT US 02/20/26 C450 Equity</stp>
        <stp>DELTA_MID_RT</stp>
        <tr r="W203" s="89"/>
      </tp>
      <tp t="s">
        <v>#N/A Requesting Data...2732362604</v>
        <stp/>
        <stp>BDP|12339741374220877028</stp>
        <tr r="AB16" s="1"/>
        <tr r="F21" s="446"/>
      </tp>
      <tp t="s">
        <v>#N/A Requesting Data...3190552327</v>
        <stp/>
        <stp>BDP|10313697833123536458</stp>
        <tr r="E11" s="2"/>
      </tp>
      <tp t="s">
        <v>#N/A Requesting Data...3632745074</v>
        <stp/>
        <stp>BDP|15108137503044913212</stp>
        <tr r="T170" s="89"/>
        <tr r="T26" s="89"/>
      </tp>
      <tp t="s">
        <v>#N/A Requesting Data...3669413367</v>
        <stp/>
        <stp>BDP|12562291822957166773</stp>
        <tr r="X15" s="338"/>
        <tr r="X39" s="338"/>
      </tp>
      <tp t="s">
        <v>#N/A Requesting Data...2700345912</v>
        <stp/>
        <stp>BDP|17646594623933242160</stp>
        <tr r="AJ8" s="338"/>
        <tr r="AJ9" s="338"/>
      </tp>
      <tp t="s">
        <v>#N/A Requesting Data...2935300639</v>
        <stp/>
        <stp>BDP|10920319565786030158</stp>
        <tr r="E116" s="89"/>
      </tp>
      <tp t="s">
        <v>#N/A Requesting Data...2715978936</v>
        <stp/>
        <stp>BDP|11988979111049200256</stp>
        <tr r="AK29" s="338"/>
      </tp>
      <tp t="s">
        <v>#N/A Requesting Data...2530631453</v>
        <stp/>
        <stp>BDP|15123503718841871299</stp>
        <tr r="T211" s="89"/>
      </tp>
      <tp t="s">
        <v>#N/A Requesting Data...3901438202</v>
        <stp/>
        <stp>BDP|12832425312094016130</stp>
        <tr r="D6" s="2"/>
      </tp>
      <tp t="s">
        <v>#N/A Requesting Data...3763127079</v>
        <stp/>
        <stp>BDP|10430788467275400653</stp>
        <tr r="AA236" s="89"/>
        <tr r="Z236" s="89"/>
      </tp>
      <tp t="s">
        <v>#N/A N/A</v>
        <stp/>
        <stp>BDP|15571587832455231410</stp>
        <tr r="AC26" s="1"/>
      </tp>
      <tp t="s">
        <v>#N/A Requesting Data...3750235930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Data...3074853188</v>
        <stp/>
        <stp>BDP|14776745928063005042</stp>
        <tr r="T136" s="89"/>
      </tp>
      <tp t="s">
        <v>#N/A Requesting Data...3225828813</v>
        <stp/>
        <stp>BDP|12776798055890176257</stp>
        <tr r="V211" s="89"/>
      </tp>
      <tp t="s">
        <v>#N/A Requesting Data...3651381704</v>
        <stp/>
        <stp>BDP|16719292853193179031</stp>
        <tr r="T19" s="2"/>
      </tp>
      <tp t="s">
        <v>#N/A Requesting Data...3674086550</v>
        <stp/>
        <stp>BDP|13796779298948123776</stp>
        <tr r="C136" s="89"/>
      </tp>
      <tp t="s">
        <v>#N/A Requesting Data...3534950674</v>
        <stp/>
        <stp>BDP|13805405504302407767</stp>
        <tr r="AA197" s="89"/>
        <tr r="Z197" s="89"/>
      </tp>
      <tp t="s">
        <v>#N/A Requesting Data...4078755969</v>
        <stp/>
        <stp>BDP|17104168856602664398</stp>
        <tr r="E211" s="89"/>
      </tp>
      <tp t="s">
        <v>#N/A Requesting Data...3645977416</v>
        <stp/>
        <stp>BDP|16819116934213136521</stp>
        <tr r="F10" s="2"/>
      </tp>
      <tp t="s">
        <v>#N/A Requesting Data...2636380065</v>
        <stp/>
        <stp>BDP|13150872693841225199</stp>
        <tr r="AR6" s="2"/>
      </tp>
      <tp t="s">
        <v>#N/A Requesting Data...2438754903</v>
        <stp/>
        <stp>BDP|13698454327306550105</stp>
        <tr r="T180" s="89"/>
      </tp>
      <tp t="s">
        <v>#N/A Requesting Data...2823086067</v>
        <stp/>
        <stp>BDP|16047448851216675329</stp>
        <tr r="V68" s="89"/>
      </tp>
      <tp t="s">
        <v>#N/A Requesting Data...3958443541</v>
        <stp/>
        <stp>BDP|11508769458308909921</stp>
        <tr r="Q45" s="338"/>
      </tp>
      <tp t="s">
        <v>#N/A Requesting Data...3264159567</v>
        <stp/>
        <stp>BDP|11875259860180843752</stp>
        <tr r="L9" s="252"/>
        <tr r="L9" s="252"/>
      </tp>
      <tp t="s">
        <v>#N/A Requesting Data...3412063639</v>
        <stp/>
        <stp>BDP|17193753013640317341</stp>
        <tr r="AA18" s="2"/>
        <tr r="T197" s="89"/>
      </tp>
      <tp t="s">
        <v>#N/A Requesting Data...3007086998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2" s="2"/>
        <tr r="AC13" s="2"/>
        <tr r="AC11" s="2"/>
        <tr r="AC10" s="2"/>
      </tp>
      <tp t="s">
        <v>#N/A Requesting Data...4007053409</v>
        <stp/>
        <stp>BDP|10392302271721368734</stp>
        <tr r="AJ15" s="338"/>
        <tr r="AJ39" s="338"/>
        <tr r="AK40" s="338"/>
      </tp>
      <tp t="s">
        <v>#N/A Requesting Data...3795911001</v>
        <stp/>
        <stp>BDP|13077127063164089235</stp>
        <tr r="L29" s="338"/>
        <tr r="H29" s="338"/>
        <tr r="L30" s="338"/>
        <tr r="H30" s="338"/>
      </tp>
      <tp t="s">
        <v>#N/A Requesting Data...2617079028</v>
        <stp/>
        <stp>BDP|17190454425561690252</stp>
        <tr r="AR14" s="2"/>
      </tp>
      <tp t="s">
        <v>#N/A Requesting Data...2514678679</v>
        <stp/>
        <stp>BDP|15616266803836462358</stp>
        <tr r="P18" s="338"/>
      </tp>
      <tp t="s">
        <v>#N/A Requesting Data...3032360596</v>
        <stp/>
        <stp>BDP|12909617883408150686</stp>
        <tr r="F17" s="446"/>
      </tp>
      <tp t="s">
        <v>#N/A Requesting Data...3129159942</v>
        <stp/>
        <stp>BDP|12668630201684454223</stp>
        <tr r="T40" s="338"/>
      </tp>
      <tp t="s">
        <v>#N/A Requesting Data...3466591057</v>
        <stp/>
        <stp>BDP|14907590063523957686</stp>
        <tr r="D39" s="446"/>
      </tp>
      <tp t="s">
        <v>#N/A Requesting Data...3454070161</v>
        <stp/>
        <stp>BDP|15427086549125422631</stp>
        <tr r="F29" s="446"/>
      </tp>
      <tp t="s">
        <v>#N/A Requesting Data...3325961546</v>
        <stp/>
        <stp>BDP|12603611155092450139</stp>
        <tr r="P44" s="338"/>
      </tp>
      <tp t="s">
        <v>#N/A Requesting Data...3064575831</v>
        <stp/>
        <stp>BDP|15070758468347809116</stp>
        <tr r="Z75" s="89"/>
        <tr r="AA75" s="89"/>
      </tp>
      <tp t="s">
        <v>#N/A Requesting Data...3329090492</v>
        <stp/>
        <stp>BDP|14733502401484175730</stp>
        <tr r="V13" s="89"/>
      </tp>
      <tp t="s">
        <v>#N/A Requesting Data...3450449150</v>
        <stp/>
        <stp>BDP|12650903035052242853</stp>
        <tr r="T50" s="338"/>
      </tp>
      <tp t="s">
        <v>#N/A Requesting Data...3348540391</v>
        <stp/>
        <stp>BDP|15097578277281717435</stp>
        <tr r="AK13" s="338"/>
      </tp>
      <tp t="s">
        <v>#N/A N/A</v>
        <stp/>
        <stp>BDP|17445646416605654744</stp>
        <tr r="R55" s="89"/>
        <tr r="R56" s="89"/>
      </tp>
      <tp t="s">
        <v>#N/A Requesting Data...2437566430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19" s="2"/>
        <tr r="AC20" s="2"/>
      </tp>
      <tp t="s">
        <v>#N/A Requesting Data...3813161918</v>
        <stp/>
        <stp>BDP|10540491936722929740</stp>
        <tr r="F13" s="446"/>
      </tp>
      <tp t="s">
        <v>#N/A Requesting Data...4131756150</v>
        <stp/>
        <stp>BDP|12465228967747275351</stp>
        <tr r="F5" s="2"/>
      </tp>
      <tp t="s">
        <v>#N/A Requesting Data...3568461017</v>
        <stp/>
        <stp>BDP|14883124263986960762</stp>
        <tr r="E212" s="89"/>
      </tp>
      <tp t="s">
        <v>#N/A Requesting Data...3618264129</v>
        <stp/>
        <stp>BDP|11774657841727499618</stp>
        <tr r="AA7" s="2"/>
      </tp>
      <tp t="e">
        <v>#N/A</v>
        <stp/>
        <stp>BDH|17220079290198638431</stp>
        <tr r="W20" s="252"/>
        <tr r="T20" s="252"/>
      </tp>
      <tp t="e">
        <v>#N/A</v>
        <stp/>
        <stp>BDH|17584423057877396301</stp>
        <tr r="J7" s="252"/>
      </tp>
      <tp>
        <v>122.41</v>
        <stp/>
        <stp>BDP|1868269163989593436|22</stp>
        <stp>EWY Equity</stp>
        <stp>LAST_PRICE</stp>
        <tr r="I27" s="1"/>
      </tp>
      <tp t="e">
        <v>#N/A</v>
        <stp/>
        <stp>BDH|10361767054571419171</stp>
        <tr r="AM31" s="338"/>
        <tr r="AM32" s="338"/>
      </tp>
      <tp t="e">
        <v>#N/A</v>
        <stp/>
        <stp>BDH|12296335843507697008</stp>
        <tr r="AM47" s="338"/>
        <tr r="AM48" s="338"/>
        <tr r="AR53" s="338"/>
        <tr r="AR10" s="338"/>
        <tr r="AM44" s="338"/>
      </tp>
      <tp t="e">
        <v>#N/A</v>
        <stp/>
        <stp>BDH|13433517978227188448</stp>
        <tr r="J12" s="252"/>
      </tp>
      <tp>
        <v>65.599999999999994</v>
        <stp/>
        <stp>BDP|3322764634781769714|22</stp>
        <stp>META US 02/27/26 C660 Equity</stp>
        <stp>ask</stp>
        <tr r="L180" s="89"/>
      </tp>
      <tp t="s">
        <v>#N/A N/A</v>
        <stp/>
        <stp>BDP|15895214585768543406</stp>
        <tr r="AB21" s="1"/>
      </tp>
      <tp t="s">
        <v>#N/A N/A</v>
        <stp/>
        <stp>BDP|12506693576836787640</stp>
        <tr r="AC21" s="1"/>
      </tp>
      <tp t="s">
        <v>#N/A N/A</v>
        <stp/>
        <stp>BDP|12913717425274232066</stp>
        <tr r="AG25" s="1"/>
      </tp>
      <tp t="s">
        <v>#N/A N/A</v>
        <stp/>
        <stp>BDP|16916588204673977342</stp>
        <tr r="AB153" s="89"/>
      </tp>
      <tp t="s">
        <v>#N/A Requesting Data...4106966420</v>
        <stp/>
        <stp>BDP|14952713124422363077</stp>
        <tr r="AI54" s="338"/>
      </tp>
      <tp t="s">
        <v>#N/A Requesting Data...2763344275</v>
        <stp/>
        <stp>BDP|14312053142406869542</stp>
        <tr r="V33" s="89"/>
      </tp>
      <tp t="s">
        <v>#N/A N/A</v>
        <stp/>
        <stp>BDP|17344183941382189338</stp>
        <tr r="AB203" s="89"/>
        <tr r="AB204" s="89"/>
        <tr r="AB205" s="89"/>
        <tr r="AB211" s="89"/>
        <tr r="AB212" s="89"/>
        <tr r="AB213" s="89"/>
        <tr r="AB235" s="89"/>
      </tp>
      <tp t="s">
        <v>#N/A Requesting Data...3734068074</v>
        <stp/>
        <stp>BDP|12659323579531227475</stp>
        <tr r="C137" s="89"/>
      </tp>
      <tp t="s">
        <v>#N/A N/A</v>
        <stp/>
        <stp>BDP|11928681486748964459</stp>
        <tr r="AV15" s="2"/>
        <tr r="AV14" s="2"/>
        <tr r="R7" s="89"/>
        <tr r="R8" s="89"/>
      </tp>
      <tp t="s">
        <v>#N/A Requesting Data...2592618402</v>
        <stp/>
        <stp>BDP|13685951603788859137</stp>
        <tr r="T138" s="89"/>
      </tp>
      <tp t="s">
        <v>#N/A Requesting Data...2809805900</v>
        <stp/>
        <stp>BDP|11504832141296984841</stp>
        <tr r="O81" s="89"/>
      </tp>
      <tp t="s">
        <v>#N/A Requesting Data...3728128997</v>
        <stp/>
        <stp>BDP|16973005602894719115</stp>
        <tr r="P19" s="252"/>
      </tp>
      <tp t="s">
        <v>#N/A Requesting Data...3611830873</v>
        <stp/>
        <stp>BDP|12197625641431851271</stp>
        <tr r="D13" s="2"/>
        <tr r="C63" s="89"/>
      </tp>
      <tp t="s">
        <v>#N/A Requesting Data...2670254373</v>
        <stp/>
        <stp>BDP|14061654258613093712</stp>
        <tr r="Z116" s="89"/>
        <tr r="AA116" s="89"/>
      </tp>
      <tp t="s">
        <v>#N/A Requesting Data...3400068071</v>
        <stp/>
        <stp>BDP|11585397164616268161</stp>
        <tr r="D116" s="89"/>
      </tp>
      <tp t="s">
        <v>#N/A Requesting Data...2966252814</v>
        <stp/>
        <stp>BDP|18214340488518015823</stp>
        <tr r="V236" s="89"/>
      </tp>
      <tp t="s">
        <v>#N/A Requesting Data...3579428530</v>
        <stp/>
        <stp>BDP|12861943665177076956</stp>
        <tr r="AF12" s="338"/>
      </tp>
      <tp t="s">
        <v>#N/A Requesting Data...4111401677</v>
        <stp/>
        <stp>BDP|16310224704590045790</stp>
        <tr r="AA39" s="89"/>
        <tr r="Z39" s="89"/>
      </tp>
      <tp t="s">
        <v>#N/A Requesting Data...4087849254</v>
        <stp/>
        <stp>BDP|15919437567850131436</stp>
        <tr r="G28" s="446"/>
      </tp>
      <tp t="s">
        <v>#N/A Requesting Data...3202809166</v>
        <stp/>
        <stp>BDP|17345659231843132294</stp>
        <tr r="X31" s="338"/>
      </tp>
      <tp t="s">
        <v>#N/A N/A</v>
        <stp/>
        <stp>BDP|13934642593416417954</stp>
        <tr r="AI40" s="1"/>
      </tp>
      <tp t="s">
        <v>#N/A Requesting Data...4121422815</v>
        <stp/>
        <stp>BDP|11636396119835192597</stp>
        <tr r="T69" s="89"/>
      </tp>
      <tp t="s">
        <v>#N/A Requesting Data...3423445374</v>
        <stp/>
        <stp>BDP|17039732835313216359</stp>
        <tr r="G13" s="446"/>
      </tp>
      <tp t="s">
        <v>#N/A Requesting Data...2507759907</v>
        <stp/>
        <stp>BDP|10212284669224289309</stp>
        <tr r="G15" s="446"/>
      </tp>
      <tp t="s">
        <v>#N/A Requesting Data...2444575817</v>
        <stp/>
        <stp>BDP|16462724592283769820</stp>
        <tr r="Z69" s="89"/>
        <tr r="AA69" s="89"/>
      </tp>
      <tp t="s">
        <v>#N/A N/A</v>
        <stp/>
        <stp>BDP|14477773684938548023</stp>
        <tr r="AI23" s="1"/>
      </tp>
      <tp t="s">
        <v>#N/A Requesting Data...4218492423</v>
        <stp/>
        <stp>BDP|16582836999550942450</stp>
        <tr r="O56" s="89"/>
      </tp>
      <tp t="s">
        <v>#N/A Requesting Data...3570564038</v>
        <stp/>
        <stp>BDP|16139528108117140790</stp>
        <tr r="AA8" s="2"/>
        <tr r="T188" s="89"/>
      </tp>
      <tp t="s">
        <v>#N/A Requesting Data...3520848249</v>
        <stp/>
        <stp>BDP|10628744726607068175</stp>
        <tr r="C225" s="89"/>
      </tp>
      <tp t="s">
        <v>#N/A Requesting Data...2594362348</v>
        <stp/>
        <stp>BDP|16931852689404443127</stp>
        <tr r="AB17" s="1"/>
        <tr r="F23" s="446"/>
      </tp>
      <tp t="s">
        <v>#N/A Requesting Data...4010463480</v>
        <stp/>
        <stp>BDP|14461057417982680435</stp>
        <tr r="AA13" s="2"/>
        <tr r="T63" s="89"/>
      </tp>
      <tp t="s">
        <v>#N/A Requesting Data...3954815022</v>
        <stp/>
        <stp>BDP|14468716151160495523</stp>
        <tr r="AA27" s="89"/>
        <tr r="AA171" s="89"/>
        <tr r="AA187" s="89"/>
        <tr r="Z27" s="89"/>
        <tr r="Z171" s="89"/>
        <tr r="Z187" s="89"/>
      </tp>
      <tp t="s">
        <v>#N/A Requesting Data...4258570764</v>
        <stp/>
        <stp>BDP|10330813923328172124</stp>
        <tr r="C81" s="89"/>
      </tp>
      <tp t="s">
        <v>#N/A N/A</v>
        <stp/>
        <stp>BDP|17214529260663576400</stp>
        <tr r="AC25" s="1"/>
      </tp>
      <tp t="s">
        <v>#N/A Requesting Data...4071566774</v>
        <stp/>
        <stp>BDP|11246696260120787292</stp>
        <tr r="F10" s="252"/>
      </tp>
      <tp t="s">
        <v>#N/A Requesting Data...3068950453</v>
        <stp/>
        <stp>BDP|12471502019462895701</stp>
        <tr r="Q41" s="338"/>
      </tp>
      <tp t="s">
        <v>#N/A Requesting Data...4112318100</v>
        <stp/>
        <stp>BDP|15227373250511500153</stp>
        <tr r="X14" s="338"/>
      </tp>
      <tp t="s">
        <v>#N/A Requesting Data...4227311932</v>
        <stp/>
        <stp>BDP|13044527620903591424</stp>
        <tr r="U15" s="338"/>
        <tr r="U39" s="338"/>
      </tp>
      <tp t="s">
        <v>#N/A Requesting Data...4033253008</v>
        <stp/>
        <stp>BDP|11488079128501837162</stp>
        <tr r="T9" s="2"/>
        <tr r="O171" s="89"/>
        <tr r="O187" s="89"/>
        <tr r="O27" s="89"/>
      </tp>
      <tp t="s">
        <v>#N/A N/A</v>
        <stp/>
        <stp>BDP|16066178257148215968</stp>
        <tr r="AV10" s="2"/>
        <tr r="AV12" s="2"/>
        <tr r="AV13" s="2"/>
        <tr r="AV11" s="2"/>
        <tr r="R62" s="89"/>
        <tr r="R63" s="89"/>
      </tp>
      <tp t="s">
        <v>#N/A N/A</v>
        <stp/>
        <stp>BDP|12718343677950174519</stp>
        <tr r="E7" s="1"/>
        <tr r="K23" s="1"/>
      </tp>
      <tp t="s">
        <v>#N/A Requesting Data...3061641728</v>
        <stp/>
        <stp>BDP|14592404034766531631</stp>
        <tr r="S53" s="338"/>
      </tp>
      <tp t="s">
        <v>#N/A Requesting Data...3991655931</v>
        <stp/>
        <stp>BDP|12699517143758716846</stp>
        <tr r="AA34" s="89"/>
        <tr r="Z34" s="89"/>
      </tp>
      <tp t="s">
        <v>#N/A Requesting Data...3627723375</v>
        <stp/>
        <stp>BDP|12148860832943674947</stp>
        <tr r="D7" s="89"/>
      </tp>
      <tp t="s">
        <v>#N/A Requesting Data...3328356764</v>
        <stp/>
        <stp>BDP|11486261538490579386</stp>
        <tr r="AH55" s="338"/>
        <tr r="AI14" s="338"/>
        <tr r="AI55" s="338"/>
      </tp>
      <tp t="s">
        <v>#N/A Requesting Data...2795953933</v>
        <stp/>
        <stp>BDP|11303561937597356363</stp>
        <tr r="E204" s="89"/>
      </tp>
      <tp t="s">
        <v>#N/A Requesting Data...3690827506</v>
        <stp/>
        <stp>BDP|10407776681355403913</stp>
        <tr r="AI9" s="338"/>
      </tp>
      <tp t="s">
        <v>#N/A N/A</v>
        <stp/>
        <stp>BDP|14730076527710394522</stp>
        <tr r="K3" s="1"/>
      </tp>
      <tp t="e">
        <v>#N/A</v>
        <stp/>
        <stp>BDH|16674376776746011738</stp>
        <tr r="AN13" s="338"/>
        <tr r="AN34" s="338"/>
      </tp>
      <tp t="e">
        <v>#N/A</v>
        <stp/>
        <stp>BDH|14583815225278766527</stp>
        <tr r="J8" s="252"/>
      </tp>
      <tp t="e">
        <v>#N/A</v>
        <stp/>
        <stp>BDH|13607368440580028791</stp>
        <tr r="AS30" s="338"/>
      </tp>
      <tp t="e">
        <v>#N/A</v>
        <stp/>
        <stp>BDH|13258984923362159933</stp>
        <tr r="AR48" s="338"/>
        <tr r="AR49" s="338"/>
      </tp>
      <tp t="s">
        <v>#N/A Real Time</v>
        <stp/>
        <stp>BDP|8550151833773817651|22</stp>
        <stp>3OF5C    22500 Index</stp>
        <stp>bid</stp>
        <tr r="K109" s="89"/>
      </tp>
      <tp>
        <v>77.599999999999994</v>
        <stp/>
        <stp>BDP|3120711432826724576|22</stp>
        <stp>META US 07/17/26 C700 Equity</stp>
        <stp>bid</stp>
        <tr r="P9" s="2"/>
        <tr r="K27" s="89"/>
        <tr r="K187" s="89"/>
        <tr r="K171" s="89"/>
      </tp>
      <tp t="s">
        <v>#N/A N/A</v>
        <stp/>
        <stp>BDP|14881796519496077416</stp>
        <tr r="AC30" s="1"/>
      </tp>
      <tp t="s">
        <v>#N/A N/A</v>
        <stp/>
        <stp>BDP|13215475469594762530</stp>
        <tr r="AB89" s="89"/>
        <tr r="AB90" s="89"/>
      </tp>
      <tp t="s">
        <v>#N/A Requesting Data...3854894320</v>
        <stp/>
        <stp>BDP|10384653628097195348</stp>
        <tr r="V33" s="338"/>
      </tp>
      <tp t="s">
        <v>#N/A Requesting Data...4164771205</v>
        <stp/>
        <stp>BDP|15830810886156463309</stp>
        <tr r="Z89" s="89"/>
        <tr r="AA89" s="89"/>
      </tp>
      <tp t="s">
        <v>#N/A Requesting Data...2541294336</v>
        <stp/>
        <stp>BDP|16329127935980609498</stp>
        <tr r="M9" s="252"/>
      </tp>
      <tp t="s">
        <v>#N/A Requesting Data...3298858364</v>
        <stp/>
        <stp>BDP|10213293417720387350</stp>
        <tr r="V20" s="89"/>
      </tp>
      <tp t="s">
        <v>#N/A Requesting Data...2965262429</v>
        <stp/>
        <stp>BDP|14136785762373472653</stp>
        <tr r="P12" s="338"/>
      </tp>
      <tp t="s">
        <v>#N/A Requesting Data...4285080740</v>
        <stp/>
        <stp>BDP|10907713945543986097</stp>
        <tr r="AJ12" s="338"/>
      </tp>
      <tp t="s">
        <v>#N/A Requesting Data...4208450685</v>
        <stp/>
        <stp>BDP|18157396268365948849</stp>
        <tr r="G32" s="446"/>
      </tp>
      <tp t="s">
        <v>#N/A Requesting Data...2818751713</v>
        <stp/>
        <stp>BDP|12322490716684467354</stp>
        <tr r="AD20" s="2"/>
      </tp>
      <tp t="s">
        <v>#N/A Requesting Data...2605586217</v>
        <stp/>
        <stp>BDP|17187500422678411886</stp>
        <tr r="AA12" s="2"/>
        <tr r="T62" s="89"/>
      </tp>
      <tp t="s">
        <v>#N/A Requesting Data...4265163613</v>
        <stp/>
        <stp>BDP|11850099902500446183</stp>
        <tr r="AR20" s="2"/>
      </tp>
      <tp t="s">
        <v>#N/A Requesting Data...2777940860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68" s="89"/>
        <tr r="AB69" s="89"/>
        <tr r="AB75" s="89"/>
        <tr r="AB76" s="89"/>
        <tr r="AB81" s="89"/>
        <tr r="AB82" s="89"/>
      </tp>
      <tp t="s">
        <v>#N/A Requesting Data...3307449149</v>
        <stp/>
        <stp>BDP|13092497781378873713</stp>
        <tr r="E76" s="89"/>
      </tp>
      <tp t="s">
        <v>#N/A Requesting Data...2773615124</v>
        <stp/>
        <stp>BDP|13176433799579956737</stp>
        <tr r="C12" s="2"/>
      </tp>
      <tp t="s">
        <v>#N/A Requesting Data...3088024649</v>
        <stp/>
        <stp>BDP|11877678453870847248</stp>
        <tr r="AJ29" s="338"/>
        <tr r="AJ30" s="338"/>
      </tp>
      <tp t="s">
        <v>#N/A Requesting Data...4142531499</v>
        <stp/>
        <stp>BDP|17979638844017722292</stp>
        <tr r="E224" s="89"/>
      </tp>
      <tp t="s">
        <v>#N/A Requesting Data...3064654167</v>
        <stp/>
        <stp>BDP|12913131077284987044</stp>
        <tr r="T55" s="89"/>
      </tp>
      <tp t="s">
        <v>#N/A Requesting Data...4210812025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Data...2805113960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N/A</v>
        <stp/>
        <stp>BDP|16915999897423444512</stp>
        <tr r="AC17" s="1"/>
      </tp>
      <tp t="s">
        <v>#N/A Requesting Data...3294139351</v>
        <stp/>
        <stp>BDP|13439578072010389109</stp>
        <tr r="O225" s="89"/>
      </tp>
      <tp t="s">
        <v>#N/A Requesting Data...3830747389</v>
        <stp/>
        <stp>BDP|15588300861006151675</stp>
        <tr r="C211" s="89"/>
      </tp>
      <tp t="s">
        <v>#N/A Requesting Data...2876134298</v>
        <stp/>
        <stp>BDP|11184865175579332734</stp>
        <tr r="F12" s="446"/>
      </tp>
      <tp t="s">
        <v>#N/A Requesting Data...2951863614</v>
        <stp/>
        <stp>BDP|12133420967599732913</stp>
        <tr r="AG12" s="338"/>
      </tp>
      <tp t="s">
        <v>#N/A Requesting Data...3751813779</v>
        <stp/>
        <stp>BDP|15122146107040099471</stp>
        <tr r="E55" s="89"/>
      </tp>
      <tp t="s">
        <v>#N/A Requesting Data...3973683713</v>
        <stp/>
        <stp>BDP|11301603537853289723</stp>
        <tr r="T18" s="338"/>
      </tp>
      <tp t="s">
        <v>#N/A N/A</v>
        <stp/>
        <stp>BDP|14721782818326063433</stp>
        <tr r="AC15" s="2"/>
        <tr r="AC14" s="2"/>
      </tp>
      <tp t="s">
        <v>#N/A Requesting Data...2874319823</v>
        <stp/>
        <stp>BDP|17819773794190840945</stp>
        <tr r="P17" s="252"/>
      </tp>
      <tp t="s">
        <v>#N/A Requesting Data...2550018022</v>
        <stp/>
        <stp>BDP|14405326057281461339</stp>
        <tr r="E236" s="89"/>
      </tp>
      <tp t="s">
        <v>#N/A Requesting Data...3135397591</v>
        <stp/>
        <stp>BDP|11542574144783666360</stp>
        <tr r="F41" s="446"/>
      </tp>
      <tp>
        <v>90.31</v>
        <stp/>
        <stp>BDP|2399130969064853177|22</stp>
        <stp>IGV Equity</stp>
        <stp>LAST_PRICE</stp>
        <tr r="I24" s="1"/>
      </tp>
      <tp t="e">
        <v>#N/A</v>
        <stp/>
        <stp>BDH|12787226763221846723</stp>
        <tr r="AP39" s="338"/>
        <tr r="AU40" s="338"/>
        <tr r="AP15" s="338"/>
      </tp>
      <tp t="e">
        <v>#N/A</v>
        <stp/>
        <stp>BDH|13280098330610256054</stp>
        <tr r="AN36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51</v>
        <stp/>
        <stp>BDP|3050834555440308322|22</stp>
        <stp>LITE US 03/20/26 C420 Equity</stp>
        <stp>bid</stp>
        <tr r="P7" s="2"/>
      </tp>
      <tp>
        <v>0.22439931333065033</v>
        <stp/>
        <stp>BDP|4961468225848282629|22</stp>
        <stp>NVDA US 02/13/26 C202.5 Equity</stp>
        <stp>DELTA_MID_RT</stp>
        <tr r="W34" s="89"/>
      </tp>
      <tp t="s">
        <v>#N/A Requesting Data...2558765524</v>
        <stp/>
        <stp>BDP|10801083268771247632</stp>
        <tr r="D90" s="89"/>
      </tp>
      <tp t="s">
        <v>#N/A Requesting Data...3432847358</v>
        <stp/>
        <stp>BDP|15656499554320397517</stp>
        <tr r="AA196" s="89"/>
        <tr r="Z196" s="89"/>
      </tp>
      <tp t="s">
        <v>#N/A Requesting Data...3217939730</v>
        <stp/>
        <stp>BDP|16715867013956947830</stp>
        <tr r="Z56" s="89"/>
        <tr r="AA56" s="89"/>
      </tp>
      <tp t="s">
        <v>#N/A Requesting Data...3294033352</v>
        <stp/>
        <stp>BDP|12214778078421334262</stp>
        <tr r="T39" s="89"/>
      </tp>
      <tp t="s">
        <v>#N/A Requesting Data...3463678243</v>
        <stp/>
        <stp>BDP|11531803114351862812</stp>
        <tr r="F7" s="2"/>
      </tp>
      <tp t="s">
        <v>#N/A Requesting Data...4198810196</v>
        <stp/>
        <stp>BDP|17750280324281015730</stp>
        <tr r="F14" s="2"/>
      </tp>
      <tp t="s">
        <v>#N/A Requesting Data...2854533543</v>
        <stp/>
        <stp>BDP|12055500611067822013</stp>
        <tr r="AJ31" s="338"/>
        <tr r="AJ32" s="338"/>
        <tr r="AH31" s="338"/>
        <tr r="AH32" s="338"/>
      </tp>
      <tp t="s">
        <v>#N/A N/A</v>
        <stp/>
        <stp>BDP|11265502119766043209</stp>
        <tr r="AI24" s="1"/>
      </tp>
      <tp t="s">
        <v>#N/A Requesting Data...3527203728</v>
        <stp/>
        <stp>BDP|10712352949092709470</stp>
        <tr r="AA19" s="89"/>
        <tr r="Z19" s="89"/>
      </tp>
      <tp t="s">
        <v>#N/A Requesting Data...2815147345</v>
        <stp/>
        <stp>BDP|14336270361883873268</stp>
        <tr r="E62" s="89"/>
      </tp>
      <tp t="s">
        <v>#N/A Requesting Data...4141108248</v>
        <stp/>
        <stp>BDP|15783676161145872136</stp>
        <tr r="O12" s="252"/>
      </tp>
      <tp t="s">
        <v>#N/A N/A</v>
        <stp/>
        <stp>BDP|10827554593684445907</stp>
        <tr r="AG35" s="1"/>
      </tp>
      <tp t="s">
        <v>#N/A Requesting Data...3127402278</v>
        <stp/>
        <stp>BDP|10651894387614235500</stp>
        <tr r="V138" s="89"/>
      </tp>
      <tp t="s">
        <v>#N/A Requesting Data...3728166711</v>
        <stp/>
        <stp>BDP|10435868994421818135</stp>
        <tr r="C20" s="2"/>
      </tp>
      <tp t="s">
        <v>#N/A Requesting Data...4058421763</v>
        <stp/>
        <stp>BDP|15501017719187257220</stp>
        <tr r="Q32" s="338"/>
      </tp>
      <tp t="s">
        <v>#N/A N/A</v>
        <stp/>
        <stp>BDP|17310296242762913222|22</stp>
        <stp>2OG6P 25450 Index</stp>
        <stp>bid</stp>
        <tr r="K153" s="89"/>
      </tp>
      <tp t="s">
        <v>#N/A Requesting Data...4187838066</v>
        <stp/>
        <stp>BDP|18017376398746707540</stp>
        <tr r="G37" s="446"/>
      </tp>
      <tp t="s">
        <v>#N/A N/A</v>
        <stp/>
        <stp>BDP|17365785494690778868</stp>
        <tr r="E5" s="1"/>
        <tr r="K21" s="1"/>
      </tp>
      <tp t="s">
        <v>#N/A Requesting Data...2579243193</v>
        <stp/>
        <stp>BDP|11154785569869703897</stp>
        <tr r="V101" s="89"/>
      </tp>
      <tp t="s">
        <v>#N/A N/A</v>
        <stp/>
        <stp>BDP|15797485450435917089</stp>
        <tr r="AG26" s="1"/>
      </tp>
      <tp t="s">
        <v>#N/A Requesting Data...3989274910</v>
        <stp/>
        <stp>BDP|15429373874678916801</stp>
        <tr r="C55" s="89"/>
      </tp>
      <tp t="s">
        <v>#N/A Requesting Data...3124326719</v>
        <stp/>
        <stp>BDP|13462113802766482523</stp>
        <tr r="P51" s="338"/>
      </tp>
      <tp t="s">
        <v>#N/A Requesting Data...3950946672</v>
        <stp/>
        <stp>BDP|16560035017891677762</stp>
        <tr r="Q53" s="338"/>
      </tp>
      <tp t="s">
        <v>#N/A Requesting Data...3222071078</v>
        <stp/>
        <stp>BDP|13507309990980542809</stp>
        <tr r="P54" s="338"/>
      </tp>
      <tp t="s">
        <v>#N/A N/A</v>
        <stp/>
        <stp>BDP|10629460632567404161</stp>
        <tr r="AF29" s="1"/>
      </tp>
      <tp t="s">
        <v>#N/A Requesting Data...3749864588</v>
        <stp/>
        <stp>BDP|13251961527568785177</stp>
        <tr r="L41" s="338"/>
        <tr r="H41" s="338"/>
        <tr r="L42" s="338"/>
        <tr r="H42" s="338"/>
      </tp>
      <tp t="s">
        <v>#N/A Requesting Data...3979517406</v>
        <stp/>
        <stp>BDP|10532025680450781936</stp>
        <tr r="T53" s="338"/>
      </tp>
      <tp t="s">
        <v>#N/A Requesting Data...3323266030</v>
        <stp/>
        <stp>BDP|15584846954420486925</stp>
        <tr r="V30" s="338"/>
      </tp>
      <tp t="s">
        <v>#N/A Requesting Data...2959509967</v>
        <stp/>
        <stp>BDP|12417922592843377049</stp>
        <tr r="V50" s="338"/>
      </tp>
      <tp t="s">
        <v>#N/A Requesting Data...3891274312</v>
        <stp/>
        <stp>BDP|15633972697785552118</stp>
        <tr r="V115" s="89"/>
      </tp>
      <tp t="s">
        <v>#N/A N/A</v>
        <stp/>
        <stp>BDP|15698160403534380128</stp>
        <tr r="AB19" s="1"/>
      </tp>
      <tp t="s">
        <v>#N/A Requesting Data...3448707046</v>
        <stp/>
        <stp>BDP|11998355979195097173</stp>
        <tr r="T160" s="89"/>
      </tp>
      <tp t="s">
        <v>#N/A Requesting Data...3781704515</v>
        <stp/>
        <stp>BDP|16353514989043023996</stp>
        <tr r="AH14" s="338"/>
        <tr r="AH35" s="338"/>
        <tr r="AJ14" s="338"/>
        <tr r="AJ35" s="338"/>
      </tp>
      <tp t="s">
        <v>#N/A Requesting Data...2923644882</v>
        <stp/>
        <stp>BDP|11157579934717202151</stp>
        <tr r="V136" s="89"/>
      </tp>
      <tp t="s">
        <v>#N/A Requesting Data...3482511185</v>
        <stp/>
        <stp>BDP|11272212584752669848</stp>
        <tr r="D204" s="89"/>
      </tp>
      <tp t="s">
        <v>#N/A Requesting Data...3970388100</v>
        <stp/>
        <stp>BDP|16176003730321499511</stp>
        <tr r="L9" s="338"/>
        <tr r="J9" s="338"/>
      </tp>
      <tp t="s">
        <v>#N/A Requesting Data...3531303068</v>
        <stp/>
        <stp>BDP|16488629082059415041</stp>
        <tr r="M15" s="252"/>
      </tp>
      <tp t="s">
        <v>#N/A Requesting Data...3983285240</v>
        <stp/>
        <stp>BDP|13170702077463225105</stp>
        <tr r="V102" s="89"/>
      </tp>
      <tp t="s">
        <v>#N/A Requesting Data...3858900422</v>
        <stp/>
        <stp>BDP|18267029483522135357</stp>
        <tr r="C19" s="89"/>
      </tp>
      <tp t="s">
        <v>#N/A Requesting Data...3997949962</v>
        <stp/>
        <stp>BDP|15665722340580183729</stp>
        <tr r="AH17" s="338"/>
        <tr r="AH18" s="338"/>
      </tp>
      <tp t="s">
        <v>#N/A Requesting Data...3971305322</v>
        <stp/>
        <stp>BDP|10682710845653266163</stp>
        <tr r="E96" s="89"/>
      </tp>
      <tp t="s">
        <v>#N/A Requesting Data...3106847381</v>
        <stp/>
        <stp>BDP|10764751743486083471</stp>
        <tr r="E4" s="2"/>
      </tp>
      <tp t="s">
        <v>#N/A Requesting Data...3399559384</v>
        <stp/>
        <stp>BDP|14914589903223067341</stp>
        <tr r="AH31" s="338"/>
        <tr r="AH32" s="338"/>
      </tp>
      <tp t="e">
        <v>#N/A</v>
        <stp/>
        <stp>BDH|13838491002003602507</stp>
        <tr r="AR30" s="338"/>
      </tp>
      <tp t="e">
        <v>#N/A</v>
        <stp/>
        <stp>BDH|16697138873246354713</stp>
        <tr r="AS11" s="338"/>
      </tp>
      <tp t="e">
        <v>#N/A</v>
        <stp/>
        <stp>BDH|15411798399773197929</stp>
        <tr r="AS9" s="338"/>
      </tp>
      <tp t="e">
        <v>#N/A</v>
        <stp/>
        <stp>BDH|13985485431930546524</stp>
        <tr r="AN37" s="338"/>
      </tp>
      <tp t="e">
        <v>#N/A</v>
        <stp/>
        <stp>BDH|16634438767903227663</stp>
        <tr r="AU12" s="338"/>
      </tp>
      <tp t="e">
        <v>#N/A</v>
        <stp/>
        <stp>BDH|11724018918856213702</stp>
        <tr r="AP38" s="338"/>
        <tr r="AP40" s="338"/>
        <tr r="AP16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Data...3587946677</v>
        <stp/>
        <stp>BDP|10297523734239490992</stp>
        <tr r="AB40" s="1"/>
        <tr r="F19" s="446"/>
      </tp>
      <tp t="s">
        <v>#N/A Requesting Data...4082559238</v>
        <stp/>
        <stp>BDP|12796713228197729608</stp>
        <tr r="P20" s="252"/>
      </tp>
      <tp t="s">
        <v>#N/A Requesting Data...4054162359</v>
        <stp/>
        <stp>BDP|14277784462456832595</stp>
        <tr r="L17" s="338"/>
        <tr r="H17" s="338"/>
        <tr r="L18" s="338"/>
        <tr r="H18" s="338"/>
      </tp>
      <tp t="s">
        <v>#N/A N/A</v>
        <stp/>
        <stp>BDP|17424699323975103062</stp>
        <tr r="K28" s="1"/>
      </tp>
      <tp t="s">
        <v>#N/A N/A</v>
        <stp/>
        <stp>BDP|13534980394766736373</stp>
        <tr r="AG38" s="1"/>
      </tp>
      <tp t="s">
        <v>#N/A Requesting Data...2957733821</v>
        <stp/>
        <stp>BDP|15643782554458442972</stp>
        <tr r="Q12" s="338"/>
      </tp>
      <tp t="s">
        <v>#N/A Requesting Data...3856749997</v>
        <stp/>
        <stp>BDP|17797289754802274410</stp>
        <tr r="AH16" s="338"/>
        <tr r="AH38" s="338"/>
        <tr r="AH40" s="338"/>
      </tp>
      <tp t="s">
        <v>#N/A Requesting Data...4229718354</v>
        <stp/>
        <stp>BDP|10811773521330276340</stp>
        <tr r="F42" s="446"/>
      </tp>
      <tp t="s">
        <v>#N/A Requesting Data...4091170527</v>
        <stp/>
        <stp>BDP|10555016852265553684</stp>
        <tr r="V222" s="89"/>
      </tp>
      <tp>
        <v>25670</v>
        <stp/>
        <stp>BDP|9834598325284437758|22</stp>
        <stp>2OH6 Index</stp>
        <stp>LAST_PRICE</stp>
        <tr r="S153" s="89"/>
      </tp>
      <tp t="s">
        <v>#N/A Requesting Data...4258805776</v>
        <stp/>
        <stp>BDP|11364787337662503131</stp>
        <tr r="L49" s="338"/>
        <tr r="L48" s="338"/>
        <tr r="J48" s="338"/>
        <tr r="J49" s="338"/>
      </tp>
      <tp t="s">
        <v>#N/A N/A</v>
        <stp/>
        <stp>BDP|13295681926322217334</stp>
        <tr r="AG24" s="1"/>
      </tp>
      <tp t="s">
        <v>#N/A Requesting Data...2824740379</v>
        <stp/>
        <stp>BDP|10592355801820537596</stp>
        <tr r="V225" s="89"/>
      </tp>
      <tp t="s">
        <v>#N/A Requesting Data...3697013682</v>
        <stp/>
        <stp>BDP|12754284242295866781</stp>
        <tr r="Y6" s="252"/>
      </tp>
      <tp t="s">
        <v>#N/A Requesting Data...3758550868</v>
        <stp/>
        <stp>BDP|18269203655158880133</stp>
        <tr r="F39" s="446"/>
      </tp>
      <tp t="s">
        <v>#N/A Requesting Data...3696314066</v>
        <stp/>
        <stp>BDP|12227291512562192542</stp>
        <tr r="AJ37" s="338"/>
      </tp>
      <tp t="s">
        <v>#N/A Requesting Data...2988933613</v>
        <stp/>
        <stp>BDP|10439367344074999538</stp>
        <tr r="E188" s="89"/>
      </tp>
      <tp t="s">
        <v>#N/A Requesting Data...3071663017</v>
        <stp/>
        <stp>BDP|16951549404092060765</stp>
        <tr r="V109" s="89"/>
      </tp>
      <tp t="s">
        <v>#N/A Requesting Data...4130279207</v>
        <stp/>
        <stp>BDP|11386689669882555588</stp>
        <tr r="E122" s="89"/>
      </tp>
      <tp t="s">
        <v>#N/A N/A</v>
        <stp/>
        <stp>BDP|17896325173096505324</stp>
        <tr r="K31" s="1"/>
      </tp>
      <tp t="s">
        <v>#N/A Requesting Data...3120402579</v>
        <stp/>
        <stp>BDP|16385386864915757060</stp>
        <tr r="T54" s="338"/>
      </tp>
      <tp t="s">
        <v>#N/A N/A</v>
        <stp/>
        <stp>BDP|13639162762852624052</stp>
        <tr r="AF28" s="1"/>
      </tp>
      <tp t="s">
        <v>#N/A Requesting Data...3665016256</v>
        <stp/>
        <stp>BDP|16302213673966019302</stp>
        <tr r="V224" s="89"/>
      </tp>
      <tp t="s">
        <v>#N/A Requesting Data...2906110554</v>
        <stp/>
        <stp>BDP|14172029208847257580</stp>
        <tr r="V42" s="338"/>
      </tp>
      <tp t="s">
        <v>#N/A Requesting Data...3632802292</v>
        <stp/>
        <stp>BDP|10374609618263940213</stp>
        <tr r="S30" s="338"/>
      </tp>
      <tp t="s">
        <v>#N/A Requesting Data...3044007030</v>
        <stp/>
        <stp>BDP|11156706822837900596</stp>
        <tr r="V51" s="338"/>
      </tp>
      <tp t="s">
        <v>#N/A Requesting Data...3825927270</v>
        <stp/>
        <stp>BDP|18365939499897354990</stp>
        <tr r="D160" s="89"/>
      </tp>
      <tp t="s">
        <v>#N/A Requesting Data...3373417718</v>
        <stp/>
        <stp>BDP|11064610705050727104</stp>
        <tr r="V137" s="89"/>
      </tp>
      <tp t="s">
        <v>#N/A Requesting Data...3278550225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Data...3603770326</v>
        <stp/>
        <stp>BDP|16272552922964616315</stp>
        <tr r="T129" s="89"/>
      </tp>
      <tp t="s">
        <v>#N/A Requesting Data...4263379562</v>
        <stp/>
        <stp>BDP|13418547555287719207</stp>
        <tr r="Q36" s="338"/>
      </tp>
      <tp t="s">
        <v>#N/A Requesting Data...3013863299</v>
        <stp/>
        <stp>BDP|10078809003498061665</stp>
        <tr r="AH12" s="338"/>
      </tp>
      <tp t="s">
        <v>#N/A Requesting Data...4035825624</v>
        <stp/>
        <stp>BDP|11346506323885413513</stp>
        <tr r="E16" s="2"/>
      </tp>
      <tp t="s">
        <v>#N/A Requesting Data...2867810088</v>
        <stp/>
        <stp>BDP|11277689408467201656</stp>
        <tr r="T13" s="338"/>
      </tp>
      <tp t="s">
        <v>#N/A Requesting Data...4239984273</v>
        <stp/>
        <stp>BDP|13974956684510873453</stp>
        <tr r="D123" s="89"/>
      </tp>
      <tp t="s">
        <v>#N/A Requesting Data...3678077749</v>
        <stp/>
        <stp>BDP|10427861548958967244</stp>
        <tr r="AJ55" s="338"/>
        <tr r="AK14" s="338"/>
        <tr r="AK55" s="338"/>
      </tp>
      <tp t="s">
        <v>#N/A Requesting Data...3783280379</v>
        <stp/>
        <stp>BDP|12964383061440508121</stp>
        <tr r="S49" s="338"/>
      </tp>
      <tp t="s">
        <v>#N/A Requesting Data...4259197166</v>
        <stp/>
        <stp>BDP|17935753969917403773</stp>
        <tr r="F11" s="252"/>
      </tp>
      <tp t="s">
        <v>#N/A Requesting Data...3065609000</v>
        <stp/>
        <stp>BDP|16562085350705983025</stp>
        <tr r="D223" s="89"/>
      </tp>
      <tp t="s">
        <v>#N/A Requesting Data...4180725120</v>
        <stp/>
        <stp>BDP|12893396681958013760</stp>
        <tr r="C95" s="89"/>
      </tp>
      <tp t="e">
        <v>#N/A</v>
        <stp/>
        <stp>BDH|10658776607639471809</stp>
        <tr r="J18" s="252"/>
      </tp>
      <tp t="e">
        <v>#N/A</v>
        <stp/>
        <stp>BDH|15378802045049426666</stp>
        <tr r="AM18" s="338"/>
        <tr r="AM17" s="338"/>
      </tp>
      <tp t="e">
        <v>#N/A</v>
        <stp/>
        <stp>BDH|13719717323123807357</stp>
        <tr r="AP34" s="338"/>
        <tr r="AP13" s="338"/>
      </tp>
      <tp t="e">
        <v>#N/A</v>
        <stp/>
        <stp>BDH|18364551588404165714</stp>
        <tr r="AU37" s="338"/>
        <tr r="AU36" s="338"/>
        <tr r="AP50" s="338"/>
        <tr r="AU35" s="338"/>
        <tr r="AU34" s="338"/>
        <tr r="AP51" s="338"/>
      </tp>
      <tp t="s">
        <v>USD</v>
        <stp/>
        <stp>BDP|2423561100599861373|22</stp>
        <stp>INTC US 07/17/26 P40 Equity</stp>
        <stp>QUOTED_CURRENCY_REALTIME</stp>
        <tr r="G18" s="2"/>
        <tr r="F197" s="89"/>
      </tp>
      <tp>
        <v>3.3</v>
        <stp/>
        <stp>BDP|8949872558870802689|22</stp>
        <stp>MSFT US 02/20/26 P410 Equity</stp>
        <stp>bid</stp>
        <tr r="K205" s="89"/>
        <tr r="K213" s="89"/>
      </tp>
      <tp>
        <v>57.2</v>
        <stp/>
        <stp>BDP|5005092167591802286|22</stp>
        <stp>META US 04/17/26 C690 Equity</stp>
        <stp>bid</stp>
        <tr r="K169" s="89"/>
        <tr r="K186" s="89"/>
      </tp>
      <tp>
        <v>78.8</v>
        <stp/>
        <stp>BDP|3495868212144065258|22</stp>
        <stp>META US 07/17/26 C700 Equity</stp>
        <stp>mid</stp>
        <tr r="L9" s="2"/>
      </tp>
      <tp t="s">
        <v>#N/A Requesting Data...3091585467</v>
        <stp/>
        <stp>BDP|17890634738740236582</stp>
        <tr r="V50" s="89"/>
      </tp>
      <tp t="s">
        <v>#N/A Requesting Data...3820170832</v>
        <stp/>
        <stp>BDP|14882631572614102616</stp>
        <tr r="S10" s="252"/>
      </tp>
      <tp t="s">
        <v>#N/A Requesting Data...2911316938</v>
        <stp/>
        <stp>BDP|14531256854956960242</stp>
        <tr r="D17" s="2"/>
        <tr r="C196" s="89"/>
      </tp>
      <tp t="s">
        <v>#N/A Requesting Data...3525238102</v>
        <stp/>
        <stp>BDP|14222470646161364298</stp>
        <tr r="C10" s="2"/>
      </tp>
      <tp t="s">
        <v>#N/A Requesting Data...3736444623</v>
        <stp/>
        <stp>BDP|13396250829954504031</stp>
        <tr r="O222" s="89"/>
      </tp>
      <tp t="s">
        <v>#N/A N/A</v>
        <stp/>
        <stp>BDP|17370707244810639397</stp>
        <tr r="AC5" s="2"/>
      </tp>
      <tp t="s">
        <v>#N/A Requesting Data...2938838817</v>
        <stp/>
        <stp>BDP|14546342925643453186</stp>
        <tr r="L8" s="338"/>
        <tr r="L46" s="338"/>
        <tr r="L50" s="338"/>
        <tr r="J8" s="338"/>
        <tr r="L32" s="338"/>
        <tr r="J32" s="338"/>
        <tr r="J46" s="338"/>
        <tr r="J50" s="338"/>
      </tp>
      <tp t="s">
        <v>#N/A Requesting Data...3975601933</v>
        <stp/>
        <stp>BDP|14404809696233932105</stp>
        <tr r="E34" s="89"/>
      </tp>
      <tp t="s">
        <v>#N/A Requesting Data...3269159793</v>
        <stp/>
        <stp>BDP|16114816352785885914</stp>
        <tr r="O39" s="89"/>
      </tp>
      <tp t="s">
        <v>#N/A Requesting Data...4140566427</v>
        <stp/>
        <stp>BDP|15404493773766767722</stp>
        <tr r="G36" s="446"/>
      </tp>
      <tp t="s">
        <v>#N/A Requesting Data...3650034920</v>
        <stp/>
        <stp>BDP|10498485443064599312</stp>
        <tr r="X50" s="338"/>
      </tp>
      <tp t="s">
        <v>#N/A Requesting Data...3262226452</v>
        <stp/>
        <stp>BDP|18114698683463557242</stp>
        <tr r="AF40" s="1"/>
        <tr r="AG9" s="338"/>
      </tp>
      <tp t="s">
        <v>#N/A Requesting Data...3886365939</v>
        <stp/>
        <stp>BDP|14185986357608085749</stp>
        <tr r="V44" s="338"/>
      </tp>
      <tp t="s">
        <v>#N/A Requesting Data...3259545925</v>
        <stp/>
        <stp>BDP|11418046365811941163</stp>
        <tr r="E50" s="89"/>
      </tp>
      <tp t="s">
        <v>#N/A Requesting Data...3953510544</v>
        <stp/>
        <stp>BDP|13775077133931138686</stp>
        <tr r="AH41" s="338"/>
        <tr r="AH42" s="338"/>
        <tr r="AJ41" s="338"/>
        <tr r="AJ42" s="338"/>
      </tp>
      <tp t="s">
        <v>#N/A Requesting Data...2872875463</v>
        <stp/>
        <stp>BDP|15710273126027498587</stp>
        <tr r="E68" s="89"/>
      </tp>
      <tp t="s">
        <v>#N/A Requesting Data...2629208883</v>
        <stp/>
        <stp>BDP|17601997833672663804</stp>
        <tr r="AA234" s="89"/>
        <tr r="Z234" s="89"/>
      </tp>
      <tp t="s">
        <v>#N/A Requesting Data...3932871002</v>
        <stp/>
        <stp>BDP|14627889356148517678</stp>
        <tr r="E195" s="89"/>
      </tp>
      <tp t="s">
        <v>#N/A N/A</v>
        <stp/>
        <stp>BDP|14590579742297818521</stp>
        <tr r="K25" s="1"/>
      </tp>
      <tp t="s">
        <v>#N/A Requesting Data...3975623498</v>
        <stp/>
        <stp>BDP|14232577743505528792</stp>
        <tr r="F7" s="252"/>
      </tp>
      <tp t="s">
        <v>#N/A N/A</v>
        <stp/>
        <stp>BDP|14556104661927858316</stp>
        <tr r="K17" s="1"/>
        <tr r="K6" s="1"/>
      </tp>
      <tp t="s">
        <v>#N/A Requesting Data...3065686313</v>
        <stp/>
        <stp>BDP|17848755087998009764</stp>
        <tr r="O49" s="89"/>
      </tp>
      <tp t="s">
        <v>#N/A Requesting Data...3591914369</v>
        <stp/>
        <stp>BDP|12341108167772818008</stp>
        <tr r="T35" s="338"/>
      </tp>
      <tp t="s">
        <v>#N/A N/A</v>
        <stp/>
        <stp>BDP|15607530839212696655</stp>
        <tr r="AG18" s="1"/>
      </tp>
      <tp t="s">
        <v>#N/A Requesting Data...3016541990</v>
        <stp/>
        <stp>BDP|10253727379283384458</stp>
        <tr r="C56" s="89"/>
      </tp>
      <tp t="s">
        <v>#N/A Requesting Data...2638717841</v>
        <stp/>
        <stp>BDP|13772195236723550526</stp>
        <tr r="X55" s="338"/>
      </tp>
      <tp t="s">
        <v>#N/A Requesting Data...2926336379</v>
        <stp/>
        <stp>BDP|17524118567766475161</stp>
        <tr r="F20" s="252"/>
      </tp>
      <tp t="s">
        <v>#N/A Requesting Data...3000905763</v>
        <stp/>
        <stp>BDP|13483096816386354391</stp>
        <tr r="S54" s="338"/>
      </tp>
      <tp t="s">
        <v>#N/A Requesting Data...3941678313</v>
        <stp/>
        <stp>BDP|16190103000157320731</stp>
        <tr r="V144" s="89"/>
      </tp>
      <tp t="s">
        <v>#N/A Requesting Data...3101085819</v>
        <stp/>
        <stp>BDP|12052868717818962496</stp>
        <tr r="AI32" s="338"/>
        <tr r="AI46" s="338"/>
        <tr r="AI50" s="338"/>
        <tr r="AI8" s="338"/>
      </tp>
      <tp t="s">
        <v>#N/A Requesting Data...4095179479</v>
        <stp/>
        <stp>BDP|12678050625094398357</stp>
        <tr r="AC33" s="1"/>
        <tr r="D35" s="446"/>
      </tp>
      <tp t="s">
        <v>#N/A Requesting Data...3875694404</v>
        <stp/>
        <stp>BDP|10174429034410523025</stp>
        <tr r="E5" s="2"/>
      </tp>
      <tp t="s">
        <v>#N/A Requesting Data...2751160855</v>
        <stp/>
        <stp>BDP|13691107662271159260</stp>
        <tr r="AR19" s="2"/>
      </tp>
      <tp t="s">
        <v>#N/A Requesting Data...3401426170</v>
        <stp/>
        <stp>BDP|15357058437984658543</stp>
        <tr r="E108" s="89"/>
      </tp>
      <tp t="s">
        <v>#N/A Requesting Data...3469248642</v>
        <stp/>
        <stp>BDP|11438587901644930774</stp>
        <tr r="Q47" s="338"/>
      </tp>
      <tp t="s">
        <v>#N/A Requesting Data...3193680722</v>
        <stp/>
        <stp>BDP|15243317262926618151</stp>
        <tr r="AA205" s="89"/>
        <tr r="AA213" s="89"/>
        <tr r="Z205" s="89"/>
        <tr r="Z213" s="89"/>
      </tp>
      <tp t="s">
        <v>#N/A Requesting Data...3784983038</v>
        <stp/>
        <stp>BDP|16678311834407962683</stp>
        <tr r="V180" s="89"/>
      </tp>
      <tp t="s">
        <v>#N/A Requesting Data...4231968356</v>
        <stp/>
        <stp>BDP|10809595656630258773</stp>
        <tr r="N8" s="252"/>
        <tr r="N8" s="252"/>
      </tp>
      <tp t="s">
        <v>#N/A Requesting Data...4251152813</v>
        <stp/>
        <stp>BDP|15554224708241291186</stp>
        <tr r="D13" s="89"/>
      </tp>
      <tp t="s">
        <v>#N/A Requesting Data...3947727526</v>
        <stp/>
        <stp>BDP|15099371932910108214</stp>
        <tr r="Q15" s="338"/>
        <tr r="Q39" s="338"/>
      </tp>
      <tp t="s">
        <v>#N/A Requesting Data...2729432784</v>
        <stp/>
        <stp>BDP|11136935115988096638</stp>
        <tr r="AJ17" s="338"/>
        <tr r="AJ18" s="338"/>
      </tp>
      <tp t="s">
        <v>#N/A Requesting Data...3920357236</v>
        <stp/>
        <stp>BDP|18344672223928166325</stp>
        <tr r="V49" s="89"/>
      </tp>
      <tp t="s">
        <v>#N/A Requesting Data...4059094984</v>
        <stp/>
        <stp>BDP|17117535562106038540</stp>
        <tr r="X35" s="338"/>
      </tp>
      <tp t="s">
        <v>#N/A Requesting Data...3073787186</v>
        <stp/>
        <stp>BDP|11947265064485960753</stp>
        <tr r="U32" s="338"/>
      </tp>
      <tp t="s">
        <v>#N/A N/A</v>
        <stp/>
        <stp>BDP|13856641820218803820</stp>
        <tr r="AB13" s="1"/>
      </tp>
      <tp t="e">
        <v>#N/A</v>
        <stp/>
        <stp>BDH|11829717357944925058</stp>
        <tr r="AN47" s="338"/>
        <tr r="AS53" s="338"/>
        <tr r="AS10" s="338"/>
        <tr r="AN48" s="338"/>
        <tr r="AN44" s="338"/>
      </tp>
      <tp t="e">
        <v>#N/A</v>
        <stp/>
        <stp>BDH|16020741552047721448</stp>
        <tr r="AP41" s="338"/>
        <tr r="AP42" s="338"/>
      </tp>
      <tp t="e">
        <v>#N/A</v>
        <stp/>
        <stp>BDH|13404354401521301677</stp>
        <tr r="AS54" s="338"/>
      </tp>
      <tp t="e">
        <v>#N/A</v>
        <stp/>
        <stp>BDH|12490261548764526762</stp>
        <tr r="AP29" s="338"/>
        <tr r="AP30" s="338"/>
      </tp>
      <tp>
        <v>83.51</v>
        <stp/>
        <stp>BDP|2057497571936690391|22</stp>
        <stp>XLP Equity</stp>
        <stp>LAST_PRICE</stp>
        <tr r="I40" s="1"/>
      </tp>
      <tp t="e">
        <v>#N/A</v>
        <stp/>
        <stp>BDH|14644897595682030016</stp>
        <tr r="AM30" s="338"/>
        <tr r="AM29" s="338"/>
      </tp>
      <tp t="e">
        <v>#N/A</v>
        <stp/>
        <stp>BDH|14841814459759862757</stp>
        <tr r="T19" s="252"/>
        <tr r="W19" s="252"/>
      </tp>
      <tp t="e">
        <v>#N/A</v>
        <stp/>
        <stp>BDH|17663640529772248671</stp>
        <tr r="J15" s="252"/>
      </tp>
      <tp>
        <v>87.19</v>
        <stp/>
        <stp>BDP|9722167412074972561|22</stp>
        <stp>MXCN Index</stp>
        <stp>LAST_PRICE</stp>
        <tr r="H17" s="252"/>
        <tr r="H17" s="252"/>
      </tp>
      <tp>
        <v>-0.35994637012481689</v>
        <stp/>
        <stp>BDP|18418713240494206607|22</stp>
        <stp>MRVL US 03/20/26 P75 Equity</stp>
        <stp>DELTA_MID_RT</stp>
        <tr r="AF11" s="2"/>
      </tp>
      <tp>
        <v>54.65</v>
        <stp/>
        <stp>BDP|8316763994800088980|22</stp>
        <stp>META US 07/17/26 C750 Equity</stp>
        <stp>mid</stp>
        <tr r="L8" s="2"/>
      </tp>
      <tp t="s">
        <v>#N/A Requesting Data...3784637375</v>
        <stp/>
        <stp>BDP|17506313141244542095</stp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7" s="2"/>
      </tp>
      <tp t="s">
        <v>#N/A Requesting Data...3020340917</v>
        <stp/>
        <stp>BDP|10441895032989795603</stp>
        <tr r="AI11" s="338"/>
      </tp>
      <tp t="s">
        <v>#N/A Requesting Data...3865631146</v>
        <stp/>
        <stp>BDP|14441106816594061499</stp>
        <tr r="C123" s="89"/>
      </tp>
      <tp t="s">
        <v>#N/A Requesting Data...3932843203</v>
        <stp/>
        <stp>BDP|16851834935831563802</stp>
        <tr r="T6" s="2"/>
      </tp>
      <tp t="s">
        <v>#N/A Requesting Data...2909182673</v>
        <stp/>
        <stp>BDP|14192014209218566878</stp>
        <tr r="T34" s="89"/>
      </tp>
      <tp t="s">
        <v>#N/A Requesting Data...3531935751</v>
        <stp/>
        <stp>BDP|16150678046234374495</stp>
        <tr r="T37" s="338"/>
      </tp>
      <tp t="s">
        <v>#N/A Requesting Data...3618920103</v>
        <stp/>
        <stp>BDP|17250075521453849263</stp>
        <tr r="E14" s="89"/>
      </tp>
      <tp t="s">
        <v>#N/A Requesting Data...3095665077</v>
        <stp/>
        <stp>BDP|11019717141062892428</stp>
        <tr r="D222" s="89"/>
      </tp>
      <tp t="s">
        <v>#N/A Requesting Data...3853963607</v>
        <stp/>
        <stp>BDP|17303082674511603530</stp>
        <tr r="C180" s="89"/>
      </tp>
      <tp t="s">
        <v>#N/A N/A</v>
        <stp/>
        <stp>BDP|12459183559945086789</stp>
        <tr r="E153" s="89"/>
      </tp>
      <tp t="s">
        <v>#N/A Requesting Data...3371862008</v>
        <stp/>
        <stp>BDP|13677881495424052263</stp>
        <tr r="V46" s="338"/>
      </tp>
      <tp t="s">
        <v>#N/A Requesting Data...3269249638</v>
        <stp/>
        <stp>BDP|17810208191751672937</stp>
        <tr r="U53" s="338"/>
      </tp>
      <tp t="s">
        <v>#N/A N/A</v>
        <stp/>
        <stp>BDP|14479848369356708821</stp>
        <tr r="AF15" s="1"/>
      </tp>
      <tp t="s">
        <v>#N/A Requesting Data...4065895740</v>
        <stp/>
        <stp>BDP|13362587002474685639</stp>
        <tr r="G33" s="446"/>
      </tp>
      <tp t="s">
        <v>#N/A Requesting Data...3810691133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Data...3422220227</v>
        <stp/>
        <stp>BDP|11902077291294537854</stp>
        <tr r="T234" s="89"/>
      </tp>
      <tp t="s">
        <v>#N/A Requesting Data...2924848524</v>
        <stp/>
        <stp>BDP|10953387444814317799</stp>
        <tr r="S18" s="252"/>
      </tp>
      <tp t="s">
        <v>#N/A Requesting Data...2706110258</v>
        <stp/>
        <stp>BDP|16095389787508071105</stp>
        <tr r="V11" s="338"/>
      </tp>
      <tp t="s">
        <v>#N/A Requesting Data...3524624702</v>
        <stp/>
        <stp>BDP|11580587764812660407</stp>
        <tr r="P48" s="338"/>
      </tp>
      <tp t="s">
        <v>#N/A N/A</v>
        <stp/>
        <stp>BDP|14006343299942798856</stp>
        <tr r="AI20" s="1"/>
      </tp>
      <tp t="s">
        <v>#N/A Requesting Data...2880594896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Data...3342956510</v>
        <stp/>
        <stp>BDP|15878521351180442107</stp>
        <tr r="D109" s="89"/>
      </tp>
      <tp t="s">
        <v>#N/A Requesting Data...3473361009</v>
        <stp/>
        <stp>BDP|13970059459100158254</stp>
        <tr r="T222" s="89"/>
      </tp>
      <tp t="s">
        <v>#N/A Requesting Data...3462152139</v>
        <stp/>
        <stp>BDP|10930560316549062982</stp>
        <tr r="C160" s="89"/>
      </tp>
      <tp t="s">
        <v>#N/A N/A</v>
        <stp/>
        <stp>BDP|17624673723155105222</stp>
        <tr r="AB39" s="1"/>
      </tp>
      <tp t="s">
        <v>#N/A Requesting Data...3872931445</v>
        <stp/>
        <stp>BDP|16023917640776957980</stp>
        <tr r="AI11" s="338"/>
        <tr r="AK11" s="338"/>
      </tp>
      <tp t="s">
        <v>#N/A Requesting Data...3731217873</v>
        <stp/>
        <stp>BDP|14437871301241284935</stp>
        <tr r="AJ36" s="338"/>
      </tp>
      <tp t="s">
        <v>#N/A Requesting Data...3607241119</v>
        <stp/>
        <stp>BDP|11214745035248274920</stp>
        <tr r="V32" s="338"/>
      </tp>
      <tp t="s">
        <v>#N/A Requesting Data...3473686000</v>
        <stp/>
        <stp>BDP|12168490429210433067</stp>
        <tr r="T169" s="89"/>
        <tr r="T186" s="89"/>
      </tp>
      <tp t="s">
        <v>#N/A Requesting Data...2897456384</v>
        <stp/>
        <stp>BDP|11625676250200786659</stp>
        <tr r="T32" s="338"/>
      </tp>
      <tp t="s">
        <v>#N/A Requesting Data...4266113875</v>
        <stp/>
        <stp>BDP|13296159244091423359</stp>
        <tr r="P29" s="338"/>
      </tp>
      <tp t="s">
        <v>#N/A N/A</v>
        <stp/>
        <stp>BDP|18042899846108511886</stp>
        <tr r="AQ6" s="2"/>
        <tr r="AB237" s="89"/>
        <tr r="AB33" s="89"/>
        <tr r="AB34" s="89"/>
        <tr r="AB39" s="89"/>
        <tr r="AB40" s="89"/>
      </tp>
      <tp t="s">
        <v>#N/A Requesting Data...3675762290</v>
        <stp/>
        <stp>BDP|10190934152880793852</stp>
        <tr r="X52" s="338"/>
      </tp>
      <tp t="s">
        <v>#N/A Requesting Data...4168852815</v>
        <stp/>
        <stp>BDP|14059396921424230587</stp>
        <tr r="AF35" s="1"/>
        <tr r="AF14" s="338"/>
        <tr r="AF35" s="338"/>
      </tp>
      <tp t="s">
        <v>#N/A Requesting Data...4125859682</v>
        <stp/>
        <stp>BDP|12679894611876997952</stp>
        <tr r="S44" s="338"/>
      </tp>
      <tp t="s">
        <v>#N/A Requesting Data...4153821580</v>
        <stp/>
        <stp>BDP|13207740673225760204</stp>
        <tr r="Z13" s="89"/>
        <tr r="AA13" s="89"/>
      </tp>
      <tp t="s">
        <v>#N/A Requesting Data...4062972731</v>
        <stp/>
        <stp>BDP|12166373874230381241</stp>
        <tr r="C18" s="2"/>
      </tp>
      <tp t="s">
        <v>#N/A N/A</v>
        <stp/>
        <stp>BDP|10330199677783039183</stp>
        <tr r="AB49" s="89"/>
        <tr r="AB50" s="89"/>
      </tp>
      <tp t="s">
        <v>#N/A Requesting Data...2771098048</v>
        <stp/>
        <stp>BDP|17956776735294864366</stp>
        <tr r="E145" s="89"/>
      </tp>
      <tp t="s">
        <v>#N/A Requesting Data...4140502520</v>
        <stp/>
        <stp>BDP|13164210523337526031</stp>
        <tr r="E89" s="89"/>
      </tp>
      <tp t="s">
        <v>#N/A Requesting Data...2976597269</v>
        <stp/>
        <stp>BDP|10130888374289856216</stp>
        <tr r="U13" s="338"/>
      </tp>
      <tp t="s">
        <v>#N/A Requesting Data...3835575966</v>
        <stp/>
        <stp>BDP|18285644343839945789</stp>
        <tr r="AA212" s="89"/>
        <tr r="Z212" s="89"/>
      </tp>
      <tp t="s">
        <v>#N/A Requesting Data...3861219302</v>
        <stp/>
        <stp>BDP|12072061123567199335</stp>
        <tr r="X16" s="338"/>
        <tr r="X38" s="338"/>
      </tp>
      <tp t="s">
        <v>#N/A Requesting Data...4285283793</v>
        <stp/>
        <stp>BDP|10337841861653211939</stp>
        <tr r="AB38" s="1"/>
        <tr r="F14" s="446"/>
      </tp>
      <tp t="s">
        <v>#N/A Requesting Data...3227242219</v>
        <stp/>
        <stp>BDP|13510264833692721404</stp>
        <tr r="U49" s="338"/>
      </tp>
      <tp t="s">
        <v>#N/A N/A</v>
        <stp/>
        <stp>BDP|12370547281383201820</stp>
        <tr r="AG20" s="1"/>
      </tp>
      <tp t="s">
        <v>#N/A N/A</v>
        <stp/>
        <stp>BDP|11243430201469561835</stp>
        <tr r="AI32" s="1"/>
      </tp>
      <tp t="s">
        <v>#N/A Requesting Data...3744951174</v>
        <stp/>
        <stp>BDP|12528940350372563825</stp>
        <tr r="C82" s="89"/>
      </tp>
      <tp t="e">
        <v>#N/A</v>
        <stp/>
        <stp>BDH|12293509522950040117</stp>
        <tr r="AR29" s="338"/>
      </tp>
      <tp t="e">
        <v>#N/A</v>
        <stp/>
        <stp>BDH|13719764446731267504</stp>
        <tr r="AM15" s="338"/>
        <tr r="AM39" s="338"/>
        <tr r="AR40" s="338"/>
      </tp>
      <tp t="e">
        <v>#N/A</v>
        <stp/>
        <stp>BDH|14787871165809047737</stp>
        <tr r="J10" s="252"/>
      </tp>
      <tp t="e">
        <v>#N/A</v>
        <stp/>
        <stp>BDH|17709072399969576329</stp>
        <tr r="AU48" s="338"/>
        <tr r="AU49" s="338"/>
      </tp>
      <tp>
        <v>0.35406368970870972</v>
        <stp/>
        <stp>BDP|13606219202075101737|22</stp>
        <stp>INTC US 07/17/26 C60 Equity</stp>
        <stp>DELTA_MID_RT</stp>
        <tr r="AF16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-0.51285803318023682</v>
        <stp/>
        <stp>BDP|14936198501062674443|22</stp>
        <stp>DELL US 02/06/26 P115 Equity</stp>
        <stp>DELTA_MID_RT</stp>
        <tr r="W49" s="89"/>
      </tp>
      <tp>
        <v>54.4</v>
        <stp/>
        <stp>BDP|1435529279737285533|22</stp>
        <stp>META US 07/17/26 C750 Equity</stp>
        <stp>bid</stp>
        <tr r="P8" s="2"/>
        <tr r="K188" s="89"/>
      </tp>
      <tp>
        <v>62.9</v>
        <stp/>
        <stp>BDP|3455432218402996031|22</stp>
        <stp>META US 02/27/26 C660 Equity</stp>
        <stp>bid</stp>
        <tr r="K180" s="89"/>
      </tp>
      <tp>
        <v>4.33</v>
        <stp/>
        <stp>BDP|1560319554749533723|22</stp>
        <stp>AAPL US 04/17/26 C280 Equity</stp>
        <stp>mid</stp>
        <tr r="L15" s="2"/>
      </tp>
      <tp t="s">
        <v>#N/A Requesting Data...2768932834</v>
        <stp/>
        <stp>BDP|10508197528283416594</stp>
        <tr r="X48" s="338"/>
      </tp>
      <tp t="s">
        <v>#N/A N/A</v>
        <stp/>
        <stp>BDP|10976567873595722239</stp>
        <tr r="AV19" s="2"/>
        <tr r="AV20" s="2"/>
        <tr r="R20" s="89"/>
        <tr r="R19" s="89"/>
      </tp>
      <tp t="s">
        <v>#N/A Requesting Data...3846133388</v>
        <stp/>
        <stp>BDP|15688066863846340087</stp>
        <tr r="D28" s="446"/>
      </tp>
      <tp t="s">
        <v>#N/A Requesting Data...3901096617</v>
        <stp/>
        <stp>BDP|10174366559095309654</stp>
        <tr r="Z137" s="89"/>
        <tr r="AA137" s="89"/>
      </tp>
      <tp t="s">
        <v>#N/A Requesting Data...3954443948</v>
        <stp/>
        <stp>BDP|15767057305588506896</stp>
        <tr r="AH10" s="338"/>
        <tr r="AH11" s="338"/>
        <tr r="AH33" s="338"/>
      </tp>
      <tp t="s">
        <v>#N/A N/A</v>
        <stp/>
        <stp>BDP|12598914732268945550</stp>
        <tr r="E10" s="1"/>
      </tp>
      <tp t="s">
        <v>#N/A Requesting Data...2944137093</v>
        <stp/>
        <stp>BDP|10946231384896009942</stp>
        <tr r="N15" s="252"/>
        <tr r="N15" s="252"/>
      </tp>
      <tp t="s">
        <v>#N/A Requesting Data...4254522823</v>
        <stp/>
        <stp>BDP|10968744678995921066</stp>
        <tr r="C178" s="89"/>
        <tr r="C179" s="89"/>
      </tp>
      <tp t="s">
        <v>#N/A Requesting Data...4291669554</v>
        <stp/>
        <stp>BDP|11098096253680456149</stp>
        <tr r="P16" s="338"/>
        <tr r="P38" s="338"/>
      </tp>
      <tp t="s">
        <v>#N/A Requesting Data...3383223083</v>
        <stp/>
        <stp>BDP|12490577043850363694</stp>
        <tr r="C169" s="89"/>
        <tr r="C186" s="89"/>
      </tp>
      <tp t="s">
        <v>#N/A N/A</v>
        <stp/>
        <stp>BDP|13133068388367036926</stp>
        <tr r="K30" s="1"/>
      </tp>
      <tp t="s">
        <v>#N/A Requesting Data...3879837478</v>
        <stp/>
        <stp>BDP|10787623999933097918</stp>
        <tr r="L10" s="252"/>
        <tr r="L10" s="252"/>
      </tp>
      <tp t="s">
        <v>#N/A Requesting Data...4150084185</v>
        <stp/>
        <stp>BDP|15872646771885299421</stp>
        <tr r="F16" s="446"/>
      </tp>
      <tp t="s">
        <v>#N/A N/A</v>
        <stp/>
        <stp>BDP|16725783465037531523</stp>
        <tr r="K29" s="1"/>
      </tp>
      <tp t="s">
        <v>#N/A Requesting Data...4102320596</v>
        <stp/>
        <stp>BDP|17220718142881835059</stp>
        <tr r="F14" s="252"/>
      </tp>
      <tp t="s">
        <v>#N/A Requesting Data...4060926069</v>
        <stp/>
        <stp>BDP|13326144351121263385</stp>
        <tr r="E82" s="89"/>
      </tp>
      <tp t="s">
        <v>#N/A N/A</v>
        <stp/>
        <stp>BDP|15051140014688420859</stp>
        <tr r="AC12" s="1"/>
      </tp>
      <tp t="s">
        <v>#N/A Requesting Data...3739820065</v>
        <stp/>
        <stp>BDP|13738518813242630024</stp>
        <tr r="U55" s="338"/>
      </tp>
      <tp t="s">
        <v>#N/A Requesting Data...3718337381</v>
        <stp/>
        <stp>BDP|10649617194228048229</stp>
        <tr r="AD16" s="2"/>
        <tr r="V195" s="89"/>
      </tp>
      <tp t="s">
        <v>#N/A Requesting Data...4132577958</v>
        <stp/>
        <stp>BDP|16068368952433220674</stp>
        <tr r="D145" s="89"/>
      </tp>
      <tp t="s">
        <v>#N/A Requesting Data...3518922880</v>
        <stp/>
        <stp>BDP|13465529309701622291</stp>
        <tr r="D49" s="89"/>
      </tp>
      <tp t="s">
        <v>#N/A Requesting Data...4079101432</v>
        <stp/>
        <stp>BDP|17342615633087431051</stp>
        <tr r="AR15" s="2"/>
      </tp>
      <tp t="s">
        <v>#N/A Requesting Data...4274466095</v>
        <stp/>
        <stp>BDP|10830522917212474394</stp>
        <tr r="M6" s="252"/>
      </tp>
      <tp t="s">
        <v>#N/A N/A</v>
        <stp/>
        <stp>BDP|17289014403731542359</stp>
        <tr r="AQ18" s="2"/>
        <tr r="AQ16" s="2"/>
        <tr r="AQ17" s="2"/>
        <tr r="AB195" s="89"/>
        <tr r="AB196" s="89"/>
        <tr r="AB197" s="89"/>
      </tp>
      <tp t="s">
        <v>#N/A Requesting Data...2967039755</v>
        <stp/>
        <stp>BDP|13449047331402957787</stp>
        <tr r="F11" s="2"/>
      </tp>
      <tp t="s">
        <v>#N/A Requesting Data...3325779636</v>
        <stp/>
        <stp>BDP|14342024613619901985</stp>
        <tr r="F32" s="446"/>
      </tp>
      <tp t="s">
        <v>#N/A Requesting Data...3889953832</v>
        <stp/>
        <stp>BDP|17882539857607640595</stp>
        <tr r="AG54" s="338"/>
      </tp>
      <tp t="s">
        <v>#N/A Requesting Data...4061567278</v>
        <stp/>
        <stp>BDP|13450917922399223467</stp>
        <tr r="G34" s="446"/>
      </tp>
      <tp t="s">
        <v>#N/A N/A</v>
        <stp/>
        <stp>BDP|10603598986270914823</stp>
        <tr r="AC24" s="1"/>
      </tp>
      <tp t="s">
        <v>#N/A N/A</v>
        <stp/>
        <stp>BDP|12142735374617755031</stp>
        <tr r="AG13" s="1"/>
      </tp>
      <tp t="s">
        <v>#N/A N/A</v>
        <stp/>
        <stp>BDP|12540520710212521104</stp>
        <tr r="AC18" s="1"/>
      </tp>
      <tp t="s">
        <v>#N/A Requesting Data...4241973575</v>
        <stp/>
        <stp>BDP|10511277652532461062</stp>
        <tr r="Z90" s="89"/>
        <tr r="AA90" s="89"/>
      </tp>
      <tp t="s">
        <v>#N/A Requesting Data...3068257868</v>
        <stp/>
        <stp>BDP|12129279820182595515</stp>
        <tr r="E196" s="89"/>
      </tp>
      <tp t="s">
        <v>#N/A Requesting Data...3081350403</v>
        <stp/>
        <stp>BDP|14655831860859350630</stp>
        <tr r="L13" s="338"/>
        <tr r="J13" s="338"/>
      </tp>
      <tp t="s">
        <v>#N/A Requesting Data...3338525489</v>
        <stp/>
        <stp>BDP|15509568954070416077</stp>
        <tr r="O212" s="89"/>
      </tp>
      <tp t="s">
        <v>#N/A N/A</v>
        <stp/>
        <stp>BDP|18269255641489268206</stp>
        <tr r="AC28" s="1"/>
      </tp>
      <tp t="s">
        <v>#N/A N/A</v>
        <stp/>
        <stp>BDP|15660791077340487089</stp>
        <tr r="E1" s="1"/>
        <tr r="K32" s="1"/>
      </tp>
      <tp t="s">
        <v>#N/A Requesting Data...3780576978</v>
        <stp/>
        <stp>BDP|10749732335826116771</stp>
        <tr r="D224" s="89"/>
      </tp>
      <tp t="s">
        <v>#N/A Requesting Data...3827227423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Data...3825708264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Data...3127046689</v>
        <stp/>
        <stp>BDP|13635936347568321371</stp>
        <tr r="AA235" s="89"/>
        <tr r="Z235" s="89"/>
      </tp>
      <tp t="s">
        <v>#N/A Requesting Data...3066505970</v>
        <stp/>
        <stp>BDP|11370170641465778442</stp>
        <tr r="O169" s="89"/>
        <tr r="O186" s="89"/>
      </tp>
      <tp t="e">
        <v>#N/A</v>
        <stp/>
        <stp>BDH|14131773964710507045</stp>
        <tr r="J9" s="252"/>
      </tp>
      <tp t="e">
        <v>#N/A</v>
        <stp/>
        <stp>BDH|17969103918101643329</stp>
        <tr r="AS48" s="338"/>
        <tr r="AS49" s="338"/>
      </tp>
      <tp t="e">
        <v>#N/A</v>
        <stp/>
        <stp>BDH|12527846652683361955</stp>
        <tr r="AR45" s="338"/>
      </tp>
      <tp t="e">
        <v>#N/A</v>
        <stp/>
        <stp>BDH|12880341647086318623</stp>
        <tr r="AN53" s="338"/>
        <tr r="AN54" s="338"/>
        <tr r="AN52" s="338"/>
      </tp>
      <tp t="e">
        <v>#N/A</v>
        <stp/>
        <stp>BDH|15973722125743490651</stp>
        <tr r="AM36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T10" s="252"/>
        <tr r="W10" s="252"/>
      </tp>
    </main>
    <main first="bofaddin.rtdserver">
      <tp>
        <v>14980.53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259.64999999999998</v>
        <stp/>
        <stp>BDP|7062867511992634566|22</stp>
        <stp>IWM EQUITY</stp>
        <stp>LAST_PRICE</stp>
        <tr r="I8" s="1"/>
      </tp>
      <tp>
        <v>33.44</v>
        <stp/>
        <stp>BDP|16778716474861008512|22</stp>
        <stp>ASHR US Equity</stp>
        <stp>LAST_PRICE</stp>
        <tr r="Z4" s="2"/>
      </tp>
      <tp>
        <v>160800</v>
        <stp/>
        <stp>BDP|2801672589713003233|22</stp>
        <stp>005930 KS Equity</stp>
        <stp>LAST_PRICE</stp>
        <tr r="I26" s="1"/>
      </tp>
      <tp>
        <v>909000</v>
        <stp/>
        <stp>BDP|5584348829070198606|22</stp>
        <stp>000660 KP Equity</stp>
        <stp>LAST_PRICE</stp>
        <tr r="I25" s="1"/>
      </tp>
      <tp>
        <v>219.91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-1.7842903733253479E-2</v>
        <stp/>
        <stp>BDP|16828695075002840217|22</stp>
        <stp>INTC US 07/17/26 P40 Equity</stp>
        <stp>theta_mid_rt</stp>
        <tr r="AN18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-1.3452701270580292E-2</v>
        <stp/>
        <stp>BDP|2151498563256472055|22</stp>
        <stp>QQQ US 01/30/26 P619 Equity</stp>
        <stp>DELTA_MID_RT</stp>
        <tr r="W82" s="89"/>
      </tp>
      <tp>
        <v>94.2</v>
        <stp/>
        <stp>BDP|828808174050573795|22</stp>
        <stp>GDX US Equity</stp>
        <stp>LAST_PRICE</stp>
        <tr r="S14" s="89"/>
        <tr r="S13" s="89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331.3</v>
        <stp/>
        <stp>BDP|17019897193923426340|22</stp>
        <stp>AVGO US Equity</stp>
        <stp>LAST_PRICE</stp>
        <tr r="Z5" s="2"/>
        <tr r="S222" s="89"/>
        <tr r="S22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403.46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>
        <v>-5.9182349592447281E-2</v>
        <stp/>
        <stp>BDP|17204206709522420966|22</stp>
        <stp>AAPL US 04/17/26 C280 Equity</stp>
        <stp>theta_mid_rt</stp>
        <tr r="AN15" s="2"/>
      </tp>
      <tp>
        <v>-7.4988625943660736E-2</v>
        <stp/>
        <stp>BDP|12394711501428764022|22</stp>
        <stp>AAPL US 04/17/26 C260 Equity</stp>
        <stp>theta_mid_rt</stp>
        <tr r="AN14" s="2"/>
      </tp>
      <tp t="s">
        <v>#N/A Real Time</v>
        <stp/>
        <stp>BDP|9893971634581157776|22</stp>
        <stp>RTYWU5C3 2425 Index</stp>
        <stp>DELTA_MID_RT</stp>
        <tr r="W144" s="89"/>
      </tp>
      <tp>
        <v>62.4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Data...2873900926</v>
        <stp/>
        <stp>BDP|3297967097008051</stp>
        <tr r="AA223" s="89"/>
        <tr r="Z223" s="89"/>
      </tp>
      <tp>
        <v>25670</v>
        <stp/>
        <stp>BDP|15621475834069929149|22</stp>
        <stp>NQA INDEX</stp>
        <stp>LAST_PRICE</stp>
        <tr r="I15" s="1"/>
      </tp>
      <tp>
        <v>321.83</v>
        <stp/>
        <stp>BDP|4205875099267338750|22</stp>
        <stp>V Equity</stp>
        <stp>LAST PRICE</stp>
        <tr r="G15" s="338"/>
        <tr r="G39" s="338"/>
        <tr r="I40" s="338"/>
      </tp>
      <tp>
        <v>330.56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19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322.32</v>
        <stp/>
        <stp>BDP|14680776317739946594|22</stp>
        <stp>AMAT US Equity</stp>
        <stp>LAST_PRICE</stp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>
        <v>-2.3893585428595543E-2</v>
        <stp/>
        <stp>BDP|5376540039309539446|22</stp>
        <stp>QQQ US 01/30/26 P620 Equity</stp>
        <stp>DELTA_MID_RT</stp>
        <tr r="W81" s="89"/>
      </tp>
      <tp t="s">
        <v>#N/A Real Time</v>
        <stp/>
        <stp>BDP|3644211716247599726|22</stp>
        <stp>RTYWU5C3 2500 Index</stp>
        <stp>DELTA_MID_RT</stp>
        <tr r="W145" s="89"/>
      </tp>
      <tp>
        <v>-5.6139999069273472E-3</v>
        <stp/>
        <stp>BDP|7770981328006744750|22</stp>
        <stp>QQQ US 01/23/26 P615 Equity</stp>
        <stp>DELTA_MID_RT</stp>
        <tr r="W75" s="89"/>
      </tp>
      <tp>
        <v>0.57999999999999996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USD</v>
        <stp/>
        <stp>BDP|8789910064232569805|22</stp>
        <stp>AMAT US 01/23/26 P290 Equity</stp>
        <stp>QUOTED_CURRENCY_REALTIME</stp>
        <tr r="F55" s="89"/>
      </tp>
      <tp>
        <v>-0.63207900524139404</v>
        <stp/>
        <stp>BDP|17444184218214348444|22</stp>
        <stp>LITE US 03/20/26 C420 Equity</stp>
        <stp>theta_mid_rt</stp>
        <tr r="AN7" s="2"/>
      </tp>
      <tp>
        <v>-6.7126326262950897E-2</v>
        <stp/>
        <stp>BDP|15158621682476696755|22</stp>
        <stp>MRVL US 03/20/26 P75 Equity</stp>
        <stp>theta_mid_rt</stp>
        <tr r="AN11" s="2"/>
      </tp>
      <tp>
        <v>1.68</v>
        <stp/>
        <stp>BDP|13640198828985467188|22</stp>
        <stp>NVDA US 02/13/26 C202.5 Equity</stp>
        <stp>bid</stp>
        <tr r="K34" s="89"/>
      </tp>
      <tp>
        <v>29.3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26" s="89"/>
        <tr r="F170" s="89"/>
      </tp>
      <tp t="s">
        <v>USD</v>
        <stp/>
        <stp>BDP|5183346410322862647|22</stp>
        <stp>AAPL US 04/17/26 C260 Equity</stp>
        <stp>QUOTED_CURRENCY_REALTIME</stp>
        <tr r="G14" s="2"/>
        <tr r="F7" s="89"/>
      </tp>
      <tp t="s">
        <v>USD</v>
        <stp/>
        <stp>BDP|5793744081546209980|22</stp>
        <stp>META US 04/17/26 C690 Equity</stp>
        <stp>QUOTED_CURRENCY_REALTIME</stp>
        <tr r="F169" s="89"/>
        <tr r="F186" s="89"/>
      </tp>
      <tp t="s">
        <v>#N/A Real Time</v>
        <stp/>
        <stp>BDP|4903616747917947670|22</stp>
        <stp>SCH5C   6200 Index</stp>
        <stp>DELTA_MID_RT</stp>
        <tr r="W101" s="89"/>
      </tp>
      <tp>
        <v>0.39536288380622864</v>
        <stp/>
        <stp>BDP|4155313352666840768|22</stp>
        <stp>GDX US 09/18/26 C115 Equity</stp>
        <stp>DELTA_MID_RT</stp>
        <tr r="W14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414.88</v>
        <stp/>
        <stp>BDP|12429311880057526361|22</stp>
        <stp>MU EQUITY</stp>
        <stp>LAST_PRICE</stp>
        <tr r="C4" s="1"/>
      </tp>
      <tp t="s">
        <v>USD</v>
        <stp/>
        <stp>BDP|14395830410945800725|22</stp>
        <stp>QQQ US 01/30/26 P620 Equity</stp>
        <stp>QUOTED_CURRENCY_REALTIME</stp>
        <tr r="F81" s="89"/>
      </tp>
      <tp t="s">
        <v>#N/A Real Time</v>
        <stp/>
        <stp>BDP|7920363454183743223|22</stp>
        <stp>IMBWK5C4 5880 Index</stp>
        <stp>DELTA_MID_RT</stp>
        <tr r="W90" s="89"/>
      </tp>
      <tp>
        <v>15.1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BDP|9373829889527232263|22</stp>
        <stp>META US 07/17/26 C750 Equity</stp>
        <stp>QUOTED_CURRENCY_REALTIME</stp>
        <tr r="G8" s="2"/>
        <tr r="F188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-2.1009782329201698E-2</v>
        <stp/>
        <stp>BDP|18355121389053073684|22</stp>
        <stp>INTC US 07/17/26 C60 Equity</stp>
        <stp>theta_mid_rt</stp>
        <tr r="AN16" s="2"/>
      </tp>
      <tp>
        <v>46.47</v>
        <stp/>
        <stp>BDP|15280641543212915371|22</stp>
        <stp>INTC US Equity</stp>
        <stp>LAST_PRICE</stp>
        <tr r="Z16" s="2"/>
        <tr r="Z17" s="2"/>
        <tr r="Z18" s="2"/>
        <tr r="S195" s="89"/>
        <tr r="S196" s="89"/>
        <tr r="S197" s="89"/>
      </tp>
      <tp>
        <v>6.1</v>
        <stp/>
        <stp>BDP|504148194751819713|22</stp>
        <stp>MSFT US 02/20/26 P420 Equity</stp>
        <stp>ask</stp>
        <tr r="L212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-5.7581029832363129E-2</v>
        <stp/>
        <stp>BDP|16456111785153391042|22</stp>
        <stp>MRVL US 03/20/26 P70 Equity</stp>
        <stp>theta_mid_rt</stp>
        <tr r="AN13" s="2"/>
      </tp>
      <tp>
        <v>6061.1913999999997</v>
        <stp/>
        <stp>BDP|12063806539307343070|22</stp>
        <stp>H11137 Index</stp>
        <stp>LAST_PRICE</stp>
        <tr r="H13" s="252"/>
        <tr r="H13" s="252"/>
      </tp>
      <tp>
        <v>239.3</v>
        <stp/>
        <stp>BDP|11431942920512482031|22</stp>
        <stp>AMZN US Equity</stp>
        <stp>LAST_PRICE</stp>
        <tr r="S234" s="89"/>
      </tp>
      <tp>
        <v>0.48265942931175232</v>
        <stp/>
        <stp>BDP|7447356985829106309|22</stp>
        <stp>GDX US 09/18/26 C105 Equity</stp>
        <stp>DELTA_MID_RT</stp>
        <tr r="W13" s="89"/>
      </tp>
      <tp>
        <v>621.87</v>
        <stp/>
        <stp>BDP|360499996244621952|22</stp>
        <stp>QQQ US Equity</stp>
        <stp>LAST_PRICE</stp>
        <tr r="S68" s="89"/>
        <tr r="S69" s="89"/>
        <tr r="S75" s="89"/>
        <tr r="S76" s="89"/>
        <tr r="S82" s="89"/>
        <tr r="S81" s="89"/>
      </tp>
      <tp t="s">
        <v>#N/A Real Time</v>
        <stp/>
        <stp>BDP|15463751634066228508|22</stp>
        <stp>MRYWZ4C4 2390 Index</stp>
        <stp>ask</stp>
        <tr r="L129" s="89"/>
      </tp>
      <tp>
        <v>419.49</v>
        <stp/>
        <stp>BDP|6606668543975560666|22</stp>
        <stp>300502 CH Equity</stp>
        <stp>LAST_PRICE</stp>
        <tr r="I31" s="1"/>
      </tp>
      <tp>
        <v>716.5</v>
        <stp/>
        <stp>BDP|12884552599081678750|22</stp>
        <stp>META US Equity</stp>
        <stp>LAST_PRICE</stp>
        <tr r="Z9" s="2"/>
        <tr r="Z8" s="2"/>
        <tr r="S169" s="89"/>
        <tr r="S170" s="89"/>
        <tr r="S171" s="89"/>
        <tr r="S187" s="89"/>
        <tr r="S233" s="89"/>
        <tr r="S27" s="89"/>
        <tr r="S180" s="89"/>
        <tr r="S26" s="89"/>
        <tr r="S188" s="89"/>
        <tr r="S186" s="89"/>
      </tp>
      <tp>
        <v>1.72</v>
        <stp/>
        <stp>BDP|12043615711539746151|22</stp>
        <stp>NVDA US 02/13/26 C202.5 Equity</stp>
        <stp>ask</stp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-2.16780174523592E-2</v>
        <stp/>
        <stp>BDP|17856461713270669920|22</stp>
        <stp>INTC US 07/17/26 C50 Equity</stp>
        <stp>theta_mid_rt</stp>
        <tr r="AN17" s="2"/>
      </tp>
      <tp>
        <v>-6.9285131990909576E-2</v>
        <stp/>
        <stp>BDP|12438727553717188638|22</stp>
        <stp>MRVL US 03/20/26 P85 Equity</stp>
        <stp>theta_mid_rt</stp>
        <tr r="AN10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7" s="2"/>
      </tp>
      <tp>
        <v>90.31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78.319999999999993</v>
        <stp/>
        <stp>BDP|224343272968290990|22</stp>
        <stp>CSCO Equity</stp>
        <stp>LAST_PRICE</stp>
        <tr r="I29" s="1"/>
      </tp>
      <tp t="s">
        <v>USD</v>
        <stp/>
        <stp>BDP|8551146402332547609|22</stp>
        <stp>META US 07/17/26 C700 Equity</stp>
        <stp>QUOTED_CURRENCY_REALTIME</stp>
        <tr r="G9" s="2"/>
        <tr r="F27" s="89"/>
        <tr r="F187" s="89"/>
        <tr r="F171" s="89"/>
      </tp>
      <tp t="s">
        <v>#N/A Real Time</v>
        <stp/>
        <stp>BDP|2879552152728014398|22</stp>
        <stp>4OK5C 21300 Index</stp>
        <stp>QUOTED_CURRENCY_REALTIME</stp>
        <tr r="F115" s="89"/>
      </tp>
      <tp>
        <v>1.68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621.87</v>
        <stp/>
        <stp>BDP|2689810960265066336|22</stp>
        <stp>QQQ EQUITY</stp>
        <stp>LAST_PRICE</stp>
        <tr r="I6" s="1"/>
      </tp>
      <tp>
        <v>-8.2199625670909882E-2</v>
        <stp/>
        <stp>BDP|11554504603472673655|22</stp>
        <stp>NVDA US 05/15/26 C200 Equity</stp>
        <stp>theta_mid_rt</stp>
        <tr r="AN6" s="2"/>
      </tp>
      <tp t="s">
        <v>#N/A Requesting Data...3507513437</v>
        <stp/>
        <stp>BDP|3970119255888163378</stp>
        <tr r="L14" s="338"/>
        <tr r="H14" s="338"/>
        <tr r="L35" s="338"/>
        <tr r="H35" s="338"/>
      </tp>
      <tp t="s">
        <v>#N/A N/A</v>
        <stp/>
        <stp>BDP|1780817128230709721</stp>
        <tr r="AC34" s="1"/>
      </tp>
      <tp t="s">
        <v>#N/A Requesting Data...3746417216</v>
        <stp/>
        <stp>BDP|6079579929065496810</stp>
        <tr r="O17" s="252"/>
      </tp>
      <tp t="s">
        <v>#N/A Requesting Data...3563856055</v>
        <stp/>
        <stp>BDP|5829537256888312163</stp>
        <tr r="T82" s="89"/>
      </tp>
      <tp t="s">
        <v>#N/A Requesting Data...4141878015</v>
        <stp/>
        <stp>BDP|9061720708246601444</stp>
        <tr r="Q35" s="338"/>
      </tp>
      <tp t="s">
        <v>#N/A Requesting Data...3050033258</v>
        <stp/>
        <stp>BDP|7892942422180160079</stp>
        <tr r="AF29" s="338"/>
        <tr r="AF30" s="338"/>
      </tp>
      <tp t="s">
        <v>#N/A Requesting Data...3731935022</v>
        <stp/>
        <stp>BDP|6875767680954769102</stp>
        <tr r="AR5" s="2"/>
      </tp>
      <tp t="s">
        <v>#N/A N/A</v>
        <stp/>
        <stp>BDP|7500005297250850236</stp>
        <tr r="K1" s="1"/>
      </tp>
      <tp t="s">
        <v>#N/A Requesting Data...3077418274</v>
        <stp/>
        <stp>BDP|7828562231434179977</stp>
        <tr r="G30" s="446"/>
      </tp>
      <tp t="s">
        <v>#N/A Requesting Data...3289717538</v>
        <stp/>
        <stp>BDP|5719360958046661910</stp>
        <tr r="U16" s="338"/>
        <tr r="U38" s="338"/>
      </tp>
      <tp t="s">
        <v>#N/A Requesting Data...3213177622</v>
        <stp/>
        <stp>BDP|7242194062655091966</stp>
        <tr r="AA33" s="89"/>
        <tr r="Z33" s="89"/>
      </tp>
      <tp t="s">
        <v>#N/A N/A</v>
        <stp/>
        <stp>BDP|8367283627072476679</stp>
        <tr r="AC32" s="1"/>
      </tp>
      <tp t="s">
        <v>#N/A Requesting Data...2997434997</v>
        <stp/>
        <stp>BDP|6021078455249412694</stp>
        <tr r="AJ37" s="338"/>
      </tp>
      <tp t="s">
        <v>#N/A Requesting Data...4156586755</v>
        <stp/>
        <stp>BDP|1166102887343177783</stp>
        <tr r="C69" s="89"/>
      </tp>
      <tp t="s">
        <v>#N/A N/A</v>
        <stp/>
        <stp>BDP|4596394917382492801</stp>
        <tr r="AF10" s="1"/>
      </tp>
      <tp t="s">
        <v>#N/A Requesting Data...4035878929</v>
        <stp/>
        <stp>BDP|6404917817581645389</stp>
        <tr r="O14" s="252"/>
      </tp>
      <tp t="s">
        <v>#N/A N/A</v>
        <stp/>
        <stp>BDP|8267476373493896423</stp>
        <tr r="K2" s="1"/>
        <tr r="K24" s="1"/>
      </tp>
      <tp t="s">
        <v>#N/A Requesting Data...3604987292</v>
        <stp/>
        <stp>BDP|3259722269107731935</stp>
        <tr r="Q42" s="338"/>
      </tp>
      <tp t="s">
        <v>#N/A Requesting Data...3123171795</v>
        <stp/>
        <stp>BDP|4738998939235389797</stp>
        <tr r="F8" s="446"/>
      </tp>
      <tp t="s">
        <v>#N/A N/A</v>
        <stp/>
        <stp>BDP|2282995976142786289</stp>
        <tr r="AV5" s="2"/>
        <tr r="R222" s="89"/>
        <tr r="R224" s="89"/>
        <tr r="R225" s="89"/>
        <tr r="R223" s="89"/>
      </tp>
      <tp t="s">
        <v>#N/A Requesting Data...3844007173</v>
        <stp/>
        <stp>BDP|8370148836023021531</stp>
        <tr r="AF36" s="1"/>
        <tr r="AF37" s="338"/>
      </tp>
      <tp t="s">
        <v>#N/A Requesting Data...3100589053</v>
        <stp/>
        <stp>BDP|3775671083546925781</stp>
        <tr r="D205" s="89"/>
      </tp>
      <tp t="s">
        <v>#N/A Requesting Data...4037948971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Data...3142461621</v>
        <stp/>
        <stp>BDP|5270872678817673187</stp>
        <tr r="O13" s="252"/>
      </tp>
      <tp t="s">
        <v>#N/A N/A</v>
        <stp/>
        <stp>BDP|2737330982055463026</stp>
        <tr r="AG36" s="1"/>
      </tp>
      <tp t="s">
        <v>#N/A Requesting Data...3576823414</v>
        <stp/>
        <stp>BDP|3098041072779459130</stp>
        <tr r="E169" s="89"/>
        <tr r="E186" s="89"/>
      </tp>
      <tp t="s">
        <v>#N/A Requesting Data...3710137212</v>
        <stp/>
        <stp>BDP|3430438294345068720</stp>
        <tr r="O40" s="89"/>
      </tp>
      <tp t="s">
        <v>#N/A Requesting Data...3478326262</v>
        <stp/>
        <stp>BDP|6202726206315217853</stp>
        <tr r="AH41" s="338"/>
        <tr r="AH42" s="338"/>
      </tp>
      <tp t="s">
        <v>#N/A Requesting Data...3021641509</v>
        <stp/>
        <stp>BDP|4670123577217166936</stp>
        <tr r="D8" s="2"/>
        <tr r="C188" s="89"/>
      </tp>
      <tp t="e">
        <v>#N/A</v>
        <stp/>
        <stp>BDH|9004776845775608355</stp>
        <tr r="J13" s="252"/>
      </tp>
      <tp t="s">
        <v>#N/A Requesting Data...3678656338</v>
        <stp/>
        <stp>BDP|5489377534060375922</stp>
        <tr r="T145" s="89"/>
      </tp>
      <tp t="s">
        <v>#N/A Requesting Data...3954673027</v>
        <stp/>
        <stp>BDP|7547135630721272822</stp>
        <tr r="T29" s="338"/>
      </tp>
      <tp t="s">
        <v>#N/A Requesting Data...3518423562</v>
        <stp/>
        <stp>BDP|9515949913399601436</stp>
        <tr r="G25" s="446"/>
      </tp>
      <tp t="s">
        <v>#N/A Requesting Data...3096489311</v>
        <stp/>
        <stp>BDP|2250196021425433893</stp>
        <tr r="AA237" s="89"/>
        <tr r="Z237" s="89"/>
      </tp>
      <tp t="s">
        <v>#N/A Requesting Data...3195014266</v>
        <stp/>
        <stp>BDP|9712190854671951078</stp>
        <tr r="M16" s="252"/>
      </tp>
      <tp t="s">
        <v>#N/A Requesting Data...3143954796</v>
        <stp/>
        <stp>BDP|5805209688912204161</stp>
        <tr r="T33" s="89"/>
      </tp>
      <tp t="s">
        <v>#N/A Requesting Data...3002696032</v>
        <stp/>
        <stp>BDP|5511275398847971578</stp>
        <tr r="T45" s="338"/>
      </tp>
      <tp>
        <v>86.2</v>
        <stp/>
        <stp>BDP|7394371982457470369|22</stp>
        <stp>KBWB Equity</stp>
        <stp>LAST PRICE</stp>
        <tr r="G52" s="338"/>
        <tr r="G53" s="338"/>
        <tr r="G54" s="338"/>
      </tp>
      <tp t="s">
        <v>#N/A Requesting Data...2984267689</v>
        <stp/>
        <stp>BDP|9641015641826985650</stp>
        <tr r="U52" s="338"/>
      </tp>
      <tp t="s">
        <v>#N/A Requesting Data...3811245774</v>
        <stp/>
        <stp>BDP|6731818678664058062</stp>
        <tr r="C116" s="89"/>
      </tp>
      <tp t="s">
        <v>#N/A Requesting Data...3180221510</v>
        <stp/>
        <stp>BDP|3337761684491833019</stp>
        <tr r="F44" s="446"/>
      </tp>
      <tp t="s">
        <v>#N/A Requesting Data...3464670959</v>
        <stp/>
        <stp>BDP|4245700180187394193</stp>
        <tr r="E144" s="89"/>
      </tp>
      <tp t="s">
        <v>#N/A Requesting Data...3432289748</v>
        <stp/>
        <stp>BDP|2599954552966387584</stp>
        <tr r="V15" s="338"/>
        <tr r="V39" s="338"/>
      </tp>
      <tp t="s">
        <v>#N/A Requesting Data...4030266205</v>
        <stp/>
        <stp>BDP|6927294984968537987</stp>
        <tr r="C224" s="89"/>
      </tp>
      <tp t="s">
        <v>#N/A N/A</v>
        <stp/>
        <stp>BDP|9699474378527567053</stp>
        <tr r="AC27" s="1"/>
      </tp>
      <tp t="s">
        <v>#N/A Requesting Data...4097786071</v>
        <stp/>
        <stp>BDP|4059296425981795825</stp>
        <tr r="T89" s="89"/>
      </tp>
      <tp t="s">
        <v>#N/A Requesting Data...3628223797</v>
        <stp/>
        <stp>BDP|2316277569649315203</stp>
        <tr r="AA40" s="89"/>
        <tr r="Z40" s="89"/>
      </tp>
      <tp t="s">
        <v>#N/A Requesting Data...3016581904</v>
        <stp/>
        <stp>BDP|8113789535866062735</stp>
        <tr r="T237" s="89"/>
      </tp>
      <tp t="e">
        <v>#N/A</v>
        <stp/>
        <stp>BDH|1842463502869512162</stp>
        <tr r="AM41" s="338"/>
        <tr r="AM42" s="338"/>
      </tp>
      <tp t="s">
        <v>#N/A Requesting Data...4249879117</v>
        <stp/>
        <stp>BDP|6822986114586808509</stp>
        <tr r="AA11" s="2"/>
      </tp>
      <tp t="s">
        <v>#N/A Requesting Data...3343755324</v>
        <stp/>
        <stp>BDP|9592498748502103695</stp>
        <tr r="L7" s="252"/>
        <tr r="L7" s="252"/>
      </tp>
      <tp t="s">
        <v>#N/A Requesting Data...3274600481</v>
        <stp/>
        <stp>BDP|6754010884411976277</stp>
        <tr r="X44" s="338"/>
      </tp>
      <tp t="s">
        <v>#N/A Requesting Data...3065740212</v>
        <stp/>
        <stp>BDP|4958570254160242959</stp>
        <tr r="T33" s="338"/>
      </tp>
      <tp t="s">
        <v>#N/A Requesting Data...4056911474</v>
        <stp/>
        <stp>BDP|4678905769292619449</stp>
        <tr r="AK29" s="338"/>
      </tp>
      <tp t="s">
        <v>#N/A Requesting Data...3288939126</v>
        <stp/>
        <stp>BDP|8546570959465252042</stp>
        <tr r="D27" s="89"/>
      </tp>
      <tp t="s">
        <v>#N/A Requesting Data...3354678690</v>
        <stp/>
        <stp>BDP|7223883239641187000</stp>
        <tr r="G16" s="446"/>
      </tp>
      <tp t="s">
        <v>#N/A Requesting Data...3924043188</v>
        <stp/>
        <stp>BDP|5114854945934215018</stp>
        <tr r="V169" s="89"/>
        <tr r="V186" s="89"/>
      </tp>
      <tp t="e">
        <v>#N/A</v>
        <stp/>
        <stp>BDH|6510200972726120845</stp>
        <tr r="W14" s="252"/>
        <tr r="T14" s="252"/>
      </tp>
      <tp t="e">
        <v>#N/A</v>
        <stp/>
        <stp>BDH|9035326201771671671</stp>
        <tr r="AM13" s="338"/>
        <tr r="AM34" s="338"/>
      </tp>
      <tp t="e">
        <v>#N/A</v>
        <stp/>
        <stp>BDH|7150323494356290673</stp>
        <tr r="AN17" s="338"/>
        <tr r="AN18" s="338"/>
      </tp>
      <tp t="s">
        <v>#N/A Requesting Data...3154630251</v>
        <stp/>
        <stp>BDP|4501705585220195623</stp>
        <tr r="D50" s="89"/>
      </tp>
      <tp t="s">
        <v>#N/A Requesting Data...4028513094</v>
        <stp/>
        <stp>BDP|9201662923697524715</stp>
        <tr r="O203" s="89"/>
      </tp>
      <tp t="s">
        <v>#N/A Requesting Data...3869097677</v>
        <stp/>
        <stp>BDP|8023230975554206472</stp>
        <tr r="U33" s="338"/>
      </tp>
      <tp t="s">
        <v>#N/A Requesting Data...3377642672</v>
        <stp/>
        <stp>BDP|2832828567039648888</stp>
        <tr r="D4" s="2"/>
      </tp>
      <tp t="e">
        <v>#N/A</v>
        <stp/>
        <stp>BDH|2795859136845393148</stp>
        <tr r="AU16" s="338"/>
        <tr r="AU15" s="338"/>
        <tr r="AU52" s="338"/>
        <tr r="AU17" s="338"/>
        <tr r="AU44" s="338"/>
        <tr r="AU39" s="338"/>
        <tr r="AU38" s="338"/>
      </tp>
      <tp t="s">
        <v>#N/A Requesting Data...3367061405</v>
        <stp/>
        <stp>BDP|1449141764908407306</stp>
        <tr r="F11" s="446"/>
      </tp>
      <tp t="s">
        <v>#N/A Requesting Data...3630015502</v>
        <stp/>
        <stp>BDP|6113923539666992720</stp>
        <tr r="N14" s="252"/>
        <tr r="N14" s="252"/>
      </tp>
      <tp t="s">
        <v>#N/A Requesting Data...4020639980</v>
        <stp/>
        <stp>BDP|7951947862590616582</stp>
        <tr r="AF33" s="1"/>
        <tr r="AF13" s="338"/>
        <tr r="AF34" s="338"/>
      </tp>
      <tp t="s">
        <v>#N/A Requesting Data...3412303680</v>
        <stp/>
        <stp>BDP|9891481019803044282</stp>
        <tr r="G23" s="446"/>
      </tp>
      <tp t="s">
        <v>#N/A Requesting Data...4212692720</v>
        <stp/>
        <stp>BDP|8890689995642342808</stp>
        <tr r="V53" s="338"/>
      </tp>
      <tp t="s">
        <v>#N/A Requesting Data...3699343777</v>
        <stp/>
        <stp>BDP|4140538680732569611</stp>
        <tr r="V170" s="89"/>
        <tr r="V26" s="89"/>
      </tp>
      <tp t="s">
        <v>#N/A Requesting Data...3639306296</v>
        <stp/>
        <stp>BDP|2455215735317653905</stp>
        <tr r="E223" s="89"/>
      </tp>
      <tp t="s">
        <v>#N/A Requesting Data...3848508151</v>
        <stp/>
        <stp>BDP|2447569196515159629</stp>
        <tr r="O14" s="89"/>
      </tp>
      <tp t="s">
        <v>#N/A Requesting Data...4077789557</v>
        <stp/>
        <stp>BDP|7612533417436704812</stp>
        <tr r="AJ13" s="338"/>
        <tr r="AJ34" s="338"/>
      </tp>
      <tp t="s">
        <v>#N/A Requesting Data...3441810310</v>
        <stp/>
        <stp>BDP|9574059420494792234</stp>
        <tr r="L41" s="338"/>
        <tr r="L31" s="338"/>
        <tr r="J31" s="338"/>
        <tr r="L33" s="338"/>
        <tr r="J33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Data...3078985005</v>
        <stp/>
        <stp>BDP|3007975292676340821</stp>
        <tr r="G24" s="446"/>
      </tp>
      <tp t="e">
        <v>#N/A</v>
        <stp/>
        <stp>BDH|2685106842393291924</stp>
        <tr r="AN15" s="338"/>
        <tr r="AN39" s="338"/>
        <tr r="AS40" s="338"/>
      </tp>
      <tp t="s">
        <v>#N/A Requesting Data...3628542161</v>
        <stp/>
        <stp>BDP|5665815221263095138</stp>
        <tr r="E95" s="89"/>
      </tp>
      <tp t="e">
        <v>#N/A</v>
        <stp/>
        <stp>BDH|2114060395467773106</stp>
        <tr r="J16" s="252"/>
      </tp>
      <tp>
        <v>14.8</v>
        <stp/>
        <stp>BDP|18096733178424916458|22</stp>
        <stp>AVGO US 06/18/26 P270 Equity</stp>
        <stp>bid</stp>
        <tr r="K225" s="89"/>
      </tp>
      <tp>
        <v>29.35</v>
        <stp/>
        <stp>BDP|10089550128122679017|22</stp>
        <stp>TSM US 06/18/26 C340 Equity</stp>
        <stp>ask</stp>
        <tr r="Q19" s="2"/>
      </tp>
      <tp>
        <v>-0.25279739499092102</v>
        <stp/>
        <stp>BDP|3431413272118379814|22</stp>
        <stp>MRVL US 03/20/26 P70 Equity</stp>
        <stp>DELTA_MID_RT</stp>
        <tr r="AF13" s="2"/>
        <tr r="W63" s="89"/>
      </tp>
      <tp t="s">
        <v>#N/A Requesting Data...3579161305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Data...3741333955</v>
        <stp/>
        <stp>BDP|1529618684855229495</stp>
        <tr r="E197" s="89"/>
      </tp>
      <tp t="s">
        <v>#N/A N/A</v>
        <stp/>
        <stp>BDP|8452001835880289581</stp>
        <tr r="AB29" s="1"/>
      </tp>
      <tp t="s">
        <v>#N/A Requesting Data...3991750999</v>
        <stp/>
        <stp>BDP|8518419899713251871</stp>
        <tr r="X8" s="338"/>
      </tp>
      <tp t="s">
        <v>#N/A Requesting Data...3084528418</v>
        <stp/>
        <stp>BDP|6375542897924166091</stp>
        <tr r="C109" s="89"/>
      </tp>
      <tp t="s">
        <v>#N/A Requesting Data...4145452600</v>
        <stp/>
        <stp>BDP|6865956502756622717</stp>
        <tr r="AH36" s="338"/>
        <tr r="AJ36" s="338"/>
      </tp>
      <tp t="s">
        <v>#N/A Requesting Data...4010288402</v>
        <stp/>
        <stp>BDP|2379295593121097618</stp>
        <tr r="D44" s="446"/>
      </tp>
      <tp t="e">
        <v>#N/A</v>
        <stp/>
        <stp>BDH|7916807115456534615</stp>
        <tr r="AU45" s="338"/>
      </tp>
      <tp t="s">
        <v>#N/A Requesting Data...3313598395</v>
        <stp/>
        <stp>BDP|9349867885552045593</stp>
        <tr r="S48" s="338"/>
      </tp>
      <tp t="s">
        <v>#N/A Requesting Data...3068283112</v>
        <stp/>
        <stp>BDP|8800614714481507068</stp>
        <tr r="AD18" s="2"/>
        <tr r="V197" s="89"/>
      </tp>
      <tp t="s">
        <v>#N/A N/A</v>
        <stp/>
        <stp>BDP|2133092057898732167</stp>
        <tr r="AF31" s="1"/>
      </tp>
      <tp t="s">
        <v>#N/A Requesting Data...3507939551</v>
        <stp/>
        <stp>BDP|3116185742219750133</stp>
        <tr r="T109" s="89"/>
      </tp>
      <tp t="s">
        <v>#N/A Requesting Data...4275176707</v>
        <stp/>
        <stp>BDP|6738803180248897008</stp>
        <tr r="E33" s="89"/>
      </tp>
      <tp t="e">
        <v>#N/A</v>
        <stp/>
        <stp>BDH|5193936808882617035</stp>
        <tr r="AR9" s="338"/>
      </tp>
      <tp t="s">
        <v>#N/A Requesting Data...3597094730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Data...3745554511</v>
        <stp/>
        <stp>BDP|7604930297189858089</stp>
        <tr r="Q16" s="338"/>
        <tr r="Q38" s="338"/>
      </tp>
      <tp t="s">
        <v>#N/A Requesting Data...3285672645</v>
        <stp/>
        <stp>BDP|9104922632105284817</stp>
        <tr r="D20" s="89"/>
      </tp>
      <tp t="s">
        <v>#N/A Requesting Data...3441775814</v>
        <stp/>
        <stp>BDP|5796504129065876948</stp>
        <tr r="U8" s="338"/>
      </tp>
      <tp t="s">
        <v>#N/A Requesting Data...3777326081</v>
        <stp/>
        <stp>BDP|5334711267318453225</stp>
        <tr r="N10" s="252"/>
        <tr r="N10" s="252"/>
      </tp>
      <tp t="s">
        <v>#N/A Requesting Data...3381811926</v>
        <stp/>
        <stp>BDP|9233199299816659948</stp>
        <tr r="P11" s="252"/>
      </tp>
      <tp t="s">
        <v>#N/A Requesting Data...3518227293</v>
        <stp/>
        <stp>BDP|2292616657717420814</stp>
        <tr r="AF31" s="338"/>
        <tr r="AF32" s="338"/>
      </tp>
      <tp t="s">
        <v>#N/A N/A</v>
        <stp/>
        <stp>BDP|1704402293557704529</stp>
        <tr r="K7" s="1"/>
      </tp>
      <tp t="s">
        <v>#N/A Requesting Data...3179848146</v>
        <stp/>
        <stp>BDP|4042472092244568314</stp>
        <tr r="V108" s="89"/>
      </tp>
      <tp t="s">
        <v>#N/A Requesting Data...3125797170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Data...3775757565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Data...3244339846</v>
        <stp/>
        <stp>BDP|6562923680930375939</stp>
        <tr r="T11" s="338"/>
      </tp>
      <tp t="s">
        <v>#N/A Requesting Data...3246930000</v>
        <stp/>
        <stp>BDP|4719256686637012732</stp>
        <tr r="M19" s="252"/>
      </tp>
      <tp t="s">
        <v>#N/A Requesting Data...3689023012</v>
        <stp/>
        <stp>BDP|2644203280360986688</stp>
        <tr r="AB33" s="1"/>
        <tr r="F35" s="446"/>
      </tp>
      <tp t="s">
        <v>#N/A Requesting Data...4252860423</v>
        <stp/>
        <stp>BDP|3687895063137929413</stp>
        <tr r="U51" s="338"/>
      </tp>
      <tp t="e">
        <v>#N/A</v>
        <stp/>
        <stp>BDH|2422966133814396264</stp>
        <tr r="AM37" s="338"/>
      </tp>
      <tp t="s">
        <v>#N/A Requesting Data...3241322112</v>
        <stp/>
        <stp>BDP|6809253334738551199</stp>
        <tr r="C34" s="89"/>
      </tp>
      <tp t="s">
        <v>#N/A Requesting Data...3916059824</v>
        <stp/>
        <stp>BDP|8832260242793878318</stp>
        <tr r="T50" s="89"/>
      </tp>
      <tp t="s">
        <v>#N/A Requesting Data...3457627976</v>
        <stp/>
        <stp>BDP|2866283045919885388</stp>
        <tr r="L18" s="338"/>
        <tr r="J18" s="338"/>
      </tp>
      <tp t="s">
        <v>#N/A Requesting Data...4240216930</v>
        <stp/>
        <stp>BDP|8687464372741494432</stp>
        <tr r="D8" s="89"/>
      </tp>
      <tp t="s">
        <v>#N/A Requesting Data...3422496549</v>
        <stp/>
        <stp>BDP|8565804017506463936</stp>
        <tr r="L17" s="252"/>
        <tr r="L17" s="252"/>
      </tp>
      <tp>
        <v>19.05</v>
        <stp/>
        <stp>BDP|13753378013260123339|22</stp>
        <stp>AMZN US 07/17/26 C250 Equity</stp>
        <stp>bid</stp>
        <tr r="K234" s="89"/>
      </tp>
      <tp>
        <v>20.16</v>
        <stp/>
        <stp>BDP|1056906607050736285|22</stp>
        <stp>CPNG Equity</stp>
        <stp>LAST PRICE</stp>
        <tr r="L7" s="446"/>
      </tp>
      <tp>
        <v>37.880000000000003</v>
        <stp/>
        <stp>BDP|8479129259841183337|22</stp>
        <stp>BP Equity</stp>
        <stp>LAST PRICE</stp>
        <tr r="G29" s="338"/>
        <tr r="G30" s="338"/>
      </tp>
      <tp>
        <v>330.56</v>
        <stp/>
        <stp>BDP|10734773146792366841|22</stp>
        <stp>TSM US Equity</stp>
        <stp>LAST_PRICE</stp>
        <tr r="Z19" s="2"/>
        <tr r="Z20" s="2"/>
        <tr r="S20" s="89"/>
        <tr r="S19" s="89"/>
      </tp>
      <tp t="s">
        <v>#N/A Requesting Data...3131371470</v>
        <stp/>
        <stp>BDP|3786323124408946521</stp>
        <tr r="D45" s="446"/>
      </tp>
      <tp t="s">
        <v>#N/A Requesting Data...3389632179</v>
        <stp/>
        <stp>BDP|8896143753810578305</stp>
        <tr r="F12" s="2"/>
      </tp>
      <tp t="s">
        <v>#N/A N/A</v>
        <stp/>
        <stp>BDP|2806504826139638334</stp>
        <tr r="AG33" s="1"/>
      </tp>
      <tp t="s">
        <v>#N/A Requesting Data...3798272995</v>
        <stp/>
        <stp>BDP|4784976331940308190</stp>
        <tr r="Z144" s="89"/>
        <tr r="AA144" s="89"/>
      </tp>
      <tp t="s">
        <v>#N/A Requesting Data...3594661948</v>
        <stp/>
        <stp>BDP|2131718523418809031</stp>
        <tr r="X9" s="338"/>
      </tp>
      <tp t="s">
        <v>#N/A N/A</v>
        <stp/>
        <stp>BDP|7053075802810528891</stp>
        <tr r="AI15" s="1"/>
      </tp>
      <tp t="s">
        <v>#N/A N/A</v>
        <stp/>
        <stp>BDP|8119275495638947437</stp>
        <tr r="AI37" s="1"/>
      </tp>
      <tp t="s">
        <v>#N/A Requesting Data...3248362695</v>
        <stp/>
        <stp>BDP|7541483698052920755</stp>
        <tr r="C9" s="2"/>
      </tp>
      <tp t="s">
        <v>#N/A Requesting Data...3801636298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Data...3235913039</v>
        <stp/>
        <stp>BDP|2842170687233636700</stp>
        <tr r="AH13" s="338"/>
        <tr r="AH34" s="338"/>
      </tp>
      <tp t="s">
        <v>#N/A Requesting Data...3257261438</v>
        <stp/>
        <stp>BDP|1457483532620769970</stp>
        <tr r="L18" s="252"/>
        <tr r="L18" s="252"/>
      </tp>
      <tp t="s">
        <v>#N/A N/A</v>
        <stp/>
        <stp>BDP|7952717157178061208</stp>
        <tr r="AI18" s="1"/>
      </tp>
      <tp t="s">
        <v>#N/A Requesting Data...4275794954</v>
        <stp/>
        <stp>BDP|6268649388386345129</stp>
        <tr r="D144" s="89"/>
      </tp>
      <tp t="s">
        <v>#N/A Requesting Data...4152011077</v>
        <stp/>
        <stp>BDP|8154630115763023381</stp>
        <tr r="T52" s="338"/>
      </tp>
      <tp t="s">
        <v>#N/A Requesting Data...3883531327</v>
        <stp/>
        <stp>BDP|7576730522755872830</stp>
        <tr r="F38" s="446"/>
      </tp>
      <tp t="s">
        <v>#N/A Requesting Data...3723051805</v>
        <stp/>
        <stp>BDP|9507005719251486644</stp>
        <tr r="M10" s="252"/>
      </tp>
      <tp t="s">
        <v>#N/A N/A</v>
        <stp/>
        <stp>BDP|4511290661908043710</stp>
        <tr r="AB26" s="1"/>
      </tp>
      <tp t="s">
        <v>#N/A N/A</v>
        <stp/>
        <stp>BDP|3243919885914808926</stp>
        <tr r="AB14" s="1"/>
      </tp>
      <tp t="s">
        <v>#N/A Requesting Data...4171832869</v>
        <stp/>
        <stp>BDP|9539667201337640785</stp>
        <tr r="U36" s="338"/>
      </tp>
      <tp t="s">
        <v>#N/A Requesting Data...3395884995</v>
        <stp/>
        <stp>BDP|7446900777882759491</stp>
        <tr r="AF17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6" s="1"/>
      </tp>
      <tp t="s">
        <v>#N/A N/A</v>
        <stp/>
        <stp>BDP|8782158116286979106</stp>
        <tr r="AG40" s="1"/>
      </tp>
      <tp t="s">
        <v>#N/A Requesting Data...4274128155</v>
        <stp/>
        <stp>BDP|4065099833740136891</stp>
        <tr r="P42" s="338"/>
      </tp>
      <tp t="s">
        <v>#N/A Requesting Data...3283934339</v>
        <stp/>
        <stp>BDP|5267619434148669720</stp>
        <tr r="AJ52" s="338"/>
        <tr r="AJ53" s="338"/>
        <tr r="AJ54" s="338"/>
      </tp>
      <tp t="s">
        <v>#N/A Requesting Data...3330139955</v>
        <stp/>
        <stp>BDP|8622760163721094706</stp>
        <tr r="AA178" s="89"/>
        <tr r="AA179" s="89"/>
        <tr r="Z178" s="89"/>
        <tr r="Z179" s="89"/>
      </tp>
      <tp t="s">
        <v>#N/A Requesting Data...3450094442</v>
        <stp/>
        <stp>BDP|8573843032284492843</stp>
        <tr r="Q40" s="338"/>
      </tp>
      <tp t="s">
        <v>#N/A Requesting Data...3878278730</v>
        <stp/>
        <stp>BDP|7148106705448380141</stp>
        <tr r="V41" s="338"/>
      </tp>
      <tp t="s">
        <v>#N/A Requesting Data...3723790785</v>
        <stp/>
        <stp>BDP|1566983548630295344</stp>
        <tr r="AA10" s="2"/>
      </tp>
      <tp t="s">
        <v>#N/A Requesting Data...3810076475</v>
        <stp/>
        <stp>BDP|7511636250779138240</stp>
        <tr r="V40" s="338"/>
      </tp>
      <tp t="s">
        <v>#N/A Requesting Data...3252833687</v>
        <stp/>
        <stp>BDP|5576438787561382724</stp>
        <tr r="AJ10" s="338"/>
        <tr r="AJ11" s="338"/>
        <tr r="AJ33" s="338"/>
      </tp>
      <tp t="s">
        <v>#N/A Requesting Data...3205745010</v>
        <stp/>
        <stp>BDP|1371944730256623208</stp>
        <tr r="T137" s="89"/>
      </tp>
      <tp t="s">
        <v>#N/A Requesting Data...3529185570</v>
        <stp/>
        <stp>BDP|2475069015355307957</stp>
        <tr r="V178" s="89"/>
        <tr r="V179" s="89"/>
      </tp>
      <tp t="s">
        <v>#N/A Requesting Data...4270055533</v>
        <stp/>
        <stp>BDP|8553085138774321079</stp>
        <tr r="T123" s="89"/>
      </tp>
      <tp t="s">
        <v>#N/A Requesting Data...3697912310</v>
        <stp/>
        <stp>BDP|9274343827420648768</stp>
        <tr r="G10" s="446"/>
      </tp>
      <tp t="s">
        <v>#N/A Requesting Data...3517529918</v>
        <stp/>
        <stp>BDP|1937197186723171466</stp>
        <tr r="F19" s="2"/>
      </tp>
      <tp t="s">
        <v>#N/A Requesting Data...3576390527</v>
        <stp/>
        <stp>BDP|1136567666448935591</stp>
        <tr r="V37" s="338"/>
      </tp>
      <tp t="s">
        <v>#N/A N/A</v>
        <stp/>
        <stp>BDP|7385638697900780713</stp>
        <tr r="AB28" s="1"/>
      </tp>
      <tp t="s">
        <v>#N/A Requesting Data...3728312238</v>
        <stp/>
        <stp>BDP|7074458105679712510</stp>
        <tr r="V39" s="89"/>
      </tp>
      <tp t="s">
        <v>#N/A Requesting Data...3764665639</v>
        <stp/>
        <stp>BDP|8715752362304396251</stp>
        <tr r="C233" s="89"/>
      </tp>
      <tp t="s">
        <v>#N/A Requesting Data...3237849644</v>
        <stp/>
        <stp>BDP|9728149439951510598</stp>
        <tr r="F13" s="2"/>
      </tp>
      <tp t="s">
        <v>#N/A Requesting Data...3513027776</v>
        <stp/>
        <stp>BDP|2036830374436602479</stp>
        <tr r="U50" s="338"/>
      </tp>
      <tp t="s">
        <v>#N/A Requesting Data...3584970362</v>
        <stp/>
        <stp>BDP|6317578591636076338</stp>
        <tr r="D138" s="89"/>
      </tp>
      <tp t="s">
        <v>#N/A N/A</v>
        <stp/>
        <stp>BDP|3916828528720515608</stp>
        <tr r="AB13" s="89"/>
        <tr r="AB14" s="89"/>
      </tp>
      <tp t="s">
        <v>#N/A Requesting Data...3512624887</v>
        <stp/>
        <stp>BDP|1370952567270052174</stp>
        <tr r="AJ8" s="338"/>
        <tr r="AJ9" s="338"/>
        <tr r="AH8" s="338"/>
        <tr r="AH9" s="338"/>
      </tp>
      <tp t="s">
        <v>#N/A Requesting Data...3973722366</v>
        <stp/>
        <stp>BDP|6970093451128790412</stp>
        <tr r="T8" s="2"/>
        <tr r="O188" s="89"/>
      </tp>
      <tp t="s">
        <v>#N/A Requesting Data...3509354414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38" s="1"/>
      </tp>
      <tp t="s">
        <v>#N/A Requesting Data...3573809949</v>
        <stp/>
        <stp>BDP|6160662584120657700</stp>
        <tr r="G12" s="446"/>
      </tp>
      <tp t="s">
        <v>#N/A Requesting Data...3588831557</v>
        <stp/>
        <stp>BDP|2050769895694328758</stp>
        <tr r="S7" s="252"/>
      </tp>
      <tp t="s">
        <v>#N/A Requesting Data...3890241023</v>
        <stp/>
        <stp>BDP|7406613185485631331</stp>
        <tr r="V233" s="89"/>
      </tp>
      <tp t="s">
        <v>#N/A Requesting Data...4196257554</v>
        <stp/>
        <stp>BDP|8759533260432150600</stp>
        <tr r="E56" s="89"/>
      </tp>
      <tp t="e">
        <v>#N/A</v>
        <stp/>
        <stp>BDH|6761965044232866682</stp>
        <tr r="AM10" s="338"/>
        <tr r="AM33" s="338"/>
        <tr r="AM11" s="338"/>
      </tp>
      <tp>
        <v>259.48</v>
        <stp/>
        <stp>BDP|8055576064445977008|22</stp>
        <stp>AAPL US Equity</stp>
        <stp>LAST_PRICE</stp>
        <tr r="Z15" s="2"/>
        <tr r="Z14" s="2"/>
        <tr r="S7" s="89"/>
        <tr r="S8" s="89"/>
      </tp>
      <tp>
        <v>331.3</v>
        <stp/>
        <stp>BDP|6093066913446547993|22</stp>
        <stp>AVGO Equity</stp>
        <stp>LAST_PRICE</stp>
        <tr r="I32" s="1"/>
      </tp>
      <tp>
        <v>28.3</v>
        <stp/>
        <stp>BDP|14476957307763141828|22</stp>
        <stp>TSM US 06/18/26 C340 Equity</stp>
        <stp>bid</stp>
        <tr r="P19" s="2"/>
      </tp>
      <tp>
        <v>691.97</v>
        <stp/>
        <stp>BDP|11764468863197025710|22</stp>
        <stp>SPY EQUITY</stp>
        <stp>LAST_PRICE</stp>
        <tr r="I4" s="1"/>
      </tp>
      <tp t="s">
        <v>#N/A Requesting Data...3890943642</v>
        <stp/>
        <stp>BDP|4983617041569093735</stp>
        <tr r="U10" s="338"/>
      </tp>
      <tp t="s">
        <v>#N/A Requesting Data...4157188961</v>
        <stp/>
        <stp>BDP|9340855016030830837</stp>
        <tr r="C13" s="89"/>
      </tp>
      <tp t="s">
        <v>#N/A Requesting Data...3301303767</v>
        <stp/>
        <stp>BDP|1158468690973405781</stp>
        <tr r="AK18" s="338"/>
      </tp>
      <tp t="e">
        <v>#N/A</v>
        <stp/>
        <stp>BDH|7861486179769353513</stp>
        <tr r="AP9" s="338"/>
        <tr r="AP8" s="338"/>
      </tp>
      <tp t="s">
        <v>#N/A N/A</v>
        <stp/>
        <stp>BDP|2898694498747321222</stp>
        <tr r="E3" s="1"/>
        <tr r="K33" s="1"/>
      </tp>
      <tp t="s">
        <v>#N/A Requesting Data...3531454795</v>
        <stp/>
        <stp>BDP|7526986475906100712</stp>
        <tr r="E123" s="89"/>
      </tp>
      <tp t="s">
        <v>#N/A Requesting Data...4224725683</v>
        <stp/>
        <stp>BDP|9064191480710005817</stp>
        <tr r="V16" s="338"/>
        <tr r="V38" s="338"/>
      </tp>
      <tp t="e">
        <v>#N/A</v>
        <stp/>
        <stp>BDH|2147714783182252793</stp>
        <tr r="AR44" s="338"/>
        <tr r="AR52" s="338"/>
        <tr r="AR38" s="338"/>
        <tr r="AR15" s="338"/>
        <tr r="AR17" s="338"/>
        <tr r="AR16" s="338"/>
        <tr r="AR39" s="338"/>
      </tp>
      <tp t="s">
        <v>#N/A Requesting Data...4256397892</v>
        <stp/>
        <stp>BDP|9119371270756838373</stp>
        <tr r="N18" s="252"/>
        <tr r="N18" s="252"/>
      </tp>
      <tp t="s">
        <v>#N/A Requesting Data...3564875335</v>
        <stp/>
        <stp>BDP|1114605528194064905</stp>
        <tr r="Q8" s="338"/>
      </tp>
      <tp t="s">
        <v>#N/A Requesting Data...3538410718</v>
        <stp/>
        <stp>BDP|6201270299844298101</stp>
        <tr r="O68" s="89"/>
      </tp>
      <tp t="e">
        <v>#N/A</v>
        <stp/>
        <stp>BDH|1126321169369651525</stp>
        <tr r="AU54" s="338"/>
      </tp>
      <tp t="s">
        <v>#N/A Requesting Data...4241661684</v>
        <stp/>
        <stp>BDP|8903788637142927602</stp>
        <tr r="AK30" s="338"/>
      </tp>
      <tp t="s">
        <v>#N/A Requesting Data...3723773867</v>
        <stp/>
        <stp>BDP|9657162411476734792</stp>
        <tr r="P47" s="338"/>
      </tp>
      <tp t="s">
        <v>#N/A Requesting Data...3575685558</v>
        <stp/>
        <stp>BDP|5133781604559034315</stp>
        <tr r="O76" s="89"/>
      </tp>
      <tp t="s">
        <v>#N/A Requesting Data...4196308614</v>
        <stp/>
        <stp>BDP|5617698497960107250</stp>
        <tr r="E39" s="89"/>
      </tp>
      <tp t="s">
        <v>#N/A Requesting Data...3246319363</v>
        <stp/>
        <stp>BDP|6167782297373291311</stp>
        <tr r="Q11" s="338"/>
      </tp>
      <tp t="s">
        <v>#N/A Requesting Data...3289956780</v>
        <stp/>
        <stp>BDP|7099656161528162789</stp>
        <tr r="E17" s="2"/>
      </tp>
      <tp t="s">
        <v>#N/A Requesting Data...3465706888</v>
        <stp/>
        <stp>BDP|9541693808182769518</stp>
        <tr r="D29" s="446"/>
      </tp>
      <tp t="s">
        <v>#N/A Requesting Data...3860980978</v>
        <stp/>
        <stp>BDP|6024155984106720147</stp>
        <tr r="D20" s="2"/>
      </tp>
      <tp t="s">
        <v>#N/A Requesting Data...4257376763</v>
        <stp/>
        <stp>BDP|6772414405089956382</stp>
        <tr r="AA76" s="89"/>
        <tr r="Z76" s="89"/>
      </tp>
      <tp t="s">
        <v>#N/A Requesting Data...3994935624</v>
        <stp/>
        <stp>BDP|6839173327418343594</stp>
        <tr r="F7" s="446"/>
      </tp>
      <tp t="s">
        <v>#N/A Requesting Data...3292729809</v>
        <stp/>
        <stp>BDP|7248503210943138805</stp>
        <tr r="D68" s="89"/>
      </tp>
      <tp t="s">
        <v>#N/A Requesting Data...3437500793</v>
        <stp/>
        <stp>BDP|5668869742685379426</stp>
        <tr r="AA222" s="89"/>
        <tr r="Z222" s="89"/>
      </tp>
      <tp t="s">
        <v>#N/A Requesting Data...3298883844</v>
        <stp/>
        <stp>BDP|6570414774738554560</stp>
        <tr r="AA7" s="89"/>
        <tr r="Z7" s="89"/>
      </tp>
      <tp t="s">
        <v>#N/A Requesting Data...4044854478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Data...3715146032</v>
        <stp/>
        <stp>BDP|6284842999589802679</stp>
        <tr r="E7" s="89"/>
      </tp>
      <tp t="s">
        <v>#N/A Requesting Data...3917444394</v>
        <stp/>
        <stp>BDP|5237225300886746967</stp>
        <tr r="Z129" s="89"/>
        <tr r="AA129" s="89"/>
      </tp>
      <tp t="s">
        <v>#N/A N/A</v>
        <stp/>
        <stp>BDP|5098111893277025237</stp>
        <tr r="AI16" s="1"/>
      </tp>
      <tp t="s">
        <v>#N/A Requesting Data...4292577608</v>
        <stp/>
        <stp>BDP|3746009638598604087</stp>
        <tr r="Z136" s="89"/>
        <tr r="AA136" s="89"/>
      </tp>
      <tp t="s">
        <v>#N/A Requesting Data...4125317179</v>
        <stp/>
        <stp>BDP|7027987678572062314</stp>
        <tr r="AC35" s="1"/>
        <tr r="D36" s="446"/>
      </tp>
      <tp t="s">
        <v>#N/A Requesting Data...4255904390</v>
        <stp/>
        <stp>BDP|2739243071518004749</stp>
        <tr r="E138" s="89"/>
      </tp>
      <tp t="s">
        <v>#N/A N/A</v>
        <stp/>
        <stp>BDP|9400997768466424874</stp>
        <tr r="AV16" s="2"/>
        <tr r="AV17" s="2"/>
        <tr r="AV18" s="2"/>
        <tr r="R195" s="89"/>
        <tr r="R196" s="89"/>
        <tr r="R197" s="89"/>
      </tp>
      <tp t="e">
        <v>#N/A</v>
        <stp/>
        <stp>BDH|1281734864771615958</stp>
        <tr r="AM12" s="338"/>
      </tp>
      <tp t="e">
        <v>#N/A</v>
        <stp/>
        <stp>BDH|7010958550111077231</stp>
        <tr r="T16" s="252"/>
        <tr r="W16" s="252"/>
      </tp>
      <tp t="s">
        <v>#N/A Requesting Data...4087220623</v>
        <stp/>
        <stp>BDP|9450040674965070308</stp>
        <tr r="E20" s="2"/>
      </tp>
      <tp t="e">
        <v>#N/A</v>
        <stp/>
        <stp>BDH|2375673906255636901</stp>
        <tr r="W11" s="252"/>
        <tr r="T11" s="252"/>
      </tp>
      <tp t="s">
        <v>#N/A Requesting Data...3376887241</v>
        <stp/>
        <stp>BDP|7322810857195514754</stp>
        <tr r="T235" s="89"/>
      </tp>
      <tp t="e">
        <v>#N/A</v>
        <stp/>
        <stp>BDH|4200460257518459528</stp>
        <tr r="AR31" s="338"/>
        <tr r="AM49" s="338"/>
        <tr r="AR41" s="338"/>
        <tr r="AR47" s="338"/>
        <tr r="AR33" s="338"/>
        <tr r="AM46" s="338"/>
        <tr r="AR51" s="338"/>
        <tr r="AM45" s="338"/>
      </tp>
      <tp t="e">
        <v>#N/A</v>
        <stp/>
        <stp>BDH|1588362871605054876</stp>
        <tr r="AU13" s="338"/>
      </tp>
      <tp>
        <v>12.18</v>
        <stp/>
        <stp>BDP|10321974960198697342|22</stp>
        <stp>AAPL US 04/17/26 C260 Equity</stp>
        <stp>mid</stp>
        <tr r="L14" s="2"/>
      </tp>
      <tp>
        <v>129.37</v>
        <stp/>
        <stp>BDP|1232203967796078876|22</stp>
        <stp>ABNB Equity</stp>
        <stp>LAST PRICE</stp>
        <tr r="I12" s="338"/>
      </tp>
      <tp>
        <v>35.380000000000003</v>
        <stp/>
        <stp>BDP|2650520762982825878|22</stp>
        <stp>KWEB Equity</stp>
        <stp>LAST_PRICE</stp>
        <tr r="H12" s="252"/>
        <tr r="H12" s="252"/>
      </tp>
      <tp>
        <v>4.8</v>
        <stp/>
        <stp>BDP|239012915816136366|22</stp>
        <stp>MRVL US 03/20/26 P75 Equity</stp>
        <stp>bid</stp>
        <tr r="P11" s="2"/>
      </tp>
      <tp t="s">
        <v>#N/A Requesting Data...3952303923</v>
        <stp/>
        <stp>BDP|2441593726955875997</stp>
        <tr r="L20" s="252"/>
        <tr r="L20" s="252"/>
      </tp>
      <tp t="s">
        <v>#N/A Requesting Data...3380706536</v>
        <stp/>
        <stp>BDP|8996292475495824173</stp>
        <tr r="O16" s="252"/>
      </tp>
      <tp t="s">
        <v>#N/A Requesting Data...3378955165</v>
        <stp/>
        <stp>BDP|8987440124962161522</stp>
        <tr r="E15" s="2"/>
      </tp>
      <tp t="s">
        <v>#N/A Requesting Data...3917193603</v>
        <stp/>
        <stp>BDP|9788785317823069539</stp>
        <tr r="C145" s="89"/>
      </tp>
      <tp t="s">
        <v>#N/A Requesting Data...4267687480</v>
        <stp/>
        <stp>BDP|3993805876862168756</stp>
        <tr r="U45" s="338"/>
      </tp>
      <tp t="s">
        <v>#N/A Requesting Data...3793107254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Data...3675243642</v>
        <stp/>
        <stp>BDP|9754162438145550750</stp>
        <tr r="E12" s="2"/>
      </tp>
      <tp t="s">
        <v>#N/A Requesting Data...4081718046</v>
        <stp/>
        <stp>BDP|2257884823860585153</stp>
        <tr r="C144" s="89"/>
      </tp>
      <tp t="s">
        <v>#N/A Requesting Data...3393494465</v>
        <stp/>
        <stp>BDP|2463897743725982291</stp>
        <tr r="F20" s="446"/>
      </tp>
      <tp t="s">
        <v>#N/A Requesting Data...4028229198</v>
        <stp/>
        <stp>BDP|9344561247696579794</stp>
        <tr r="AH15" s="338"/>
        <tr r="AH39" s="338"/>
        <tr r="AI40" s="338"/>
      </tp>
      <tp t="s">
        <v>#N/A N/A</v>
        <stp/>
        <stp>BDP|8207706352447744484</stp>
        <tr r="AG29" s="1"/>
      </tp>
      <tp t="s">
        <v>#N/A Requesting Data...4006895506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Data...4156926951</v>
        <stp/>
        <stp>BDP|1181258597285733681</stp>
        <tr r="AA49" s="89"/>
        <tr r="Z49" s="89"/>
      </tp>
      <tp t="s">
        <v>#N/A Requesting Data...3337992621</v>
        <stp/>
        <stp>BDP|1918834507510755077</stp>
        <tr r="S8" s="338"/>
      </tp>
      <tp t="s">
        <v>#N/A Requesting Data...3629098783</v>
        <stp/>
        <stp>BDP|8969661073822496253</stp>
        <tr r="V34" s="89"/>
      </tp>
      <tp t="s">
        <v>#N/A Requesting Data...3552738447</v>
        <stp/>
        <stp>BDP|3415267282290564087</stp>
        <tr r="E81" s="89"/>
      </tp>
      <tp t="s">
        <v>#N/A Requesting Data...4071738252</v>
        <stp/>
        <stp>BDP|6610210811028938424</stp>
        <tr r="O33" s="89"/>
      </tp>
      <tp t="e">
        <v>#N/A</v>
        <stp/>
        <stp>BDH|7437895216261788616</stp>
        <tr r="AN8" s="338"/>
        <tr r="AN9" s="338"/>
      </tp>
      <tp t="s">
        <v>#N/A Requesting Data...3732067507</v>
        <stp/>
        <stp>BDP|1186915098941854922</stp>
        <tr r="P17" s="338"/>
      </tp>
      <tp t="s">
        <v>#N/A Requesting Data...3412391057</v>
        <stp/>
        <stp>BDP|3411193788855096676</stp>
        <tr r="AA20" s="2"/>
      </tp>
      <tp t="s">
        <v>#N/A N/A</v>
        <stp/>
        <stp>BDP|5430386408488532737</stp>
        <tr r="AB109" s="89"/>
      </tp>
      <tp t="s">
        <v>#N/A N/A</v>
        <stp/>
        <stp>BDP|2463017937370895897</stp>
        <tr r="AB31" s="1"/>
      </tp>
      <tp t="s">
        <v>#N/A Requesting Data...3423423588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Data...3288254343</v>
        <stp/>
        <stp>BDP|2048477006706491956</stp>
        <tr r="X33" s="338"/>
      </tp>
      <tp t="s">
        <v>#N/A Requesting Data...3936887944</v>
        <stp/>
        <stp>BDP|6451679981117270604</stp>
        <tr r="AR9" s="2"/>
      </tp>
      <tp t="s">
        <v>#N/A Requesting Data...3501091487</v>
        <stp/>
        <stp>BDP|8993500628312049404</stp>
        <tr r="E180" s="89"/>
      </tp>
      <tp t="s">
        <v>#N/A Requesting Data...3846596526</v>
        <stp/>
        <stp>BDP|9762563002360150543</stp>
        <tr r="P9" s="338"/>
      </tp>
      <tp t="s">
        <v>#N/A Requesting Data...3338446154</v>
        <stp/>
        <stp>BDP|1617406885725244177</stp>
        <tr r="AA68" s="89"/>
        <tr r="Z68" s="89"/>
      </tp>
      <tp t="s">
        <v>#N/A Requesting Data...3320178021</v>
        <stp/>
        <stp>BDP|3266268590763139222</stp>
        <tr r="T14" s="89"/>
      </tp>
      <tp t="s">
        <v>#N/A Requesting Data...4205652818</v>
        <stp/>
        <stp>BDP|8690033388548820123</stp>
        <tr r="AJ14" s="338"/>
        <tr r="AJ35" s="338"/>
      </tp>
      <tp t="s">
        <v>#N/A Requesting Data...3641455867</v>
        <stp/>
        <stp>BDP|9326668867470264076</stp>
        <tr r="C203" s="89"/>
      </tp>
      <tp t="s">
        <v>#N/A Requesting Data...3813426390</v>
        <stp/>
        <stp>BDP|8916289435834203428</stp>
        <tr r="O234" s="89"/>
      </tp>
      <tp t="s">
        <v>#N/A Requesting Data...4270975929</v>
        <stp/>
        <stp>BDP|5400835087744406808</stp>
        <tr r="AG29" s="338"/>
      </tp>
      <tp t="s">
        <v>#N/A Requesting Data...4071626158</v>
        <stp/>
        <stp>BDP|9280288157897826002</stp>
        <tr r="C138" s="89"/>
      </tp>
      <tp t="s">
        <v>#N/A Requesting Data...3588811340</v>
        <stp/>
        <stp>BDP|6141864573737095712</stp>
        <tr r="T178" s="89"/>
        <tr r="T179" s="89"/>
      </tp>
      <tp t="s">
        <v>#N/A Requesting Data...4279126657</v>
        <stp/>
        <stp>BDP|8865039534922905038</stp>
        <tr r="L13" s="252"/>
        <tr r="L13" s="252"/>
      </tp>
      <tp t="s">
        <v>#N/A Requesting Data...4195868109</v>
        <stp/>
        <stp>BDP|5629592674339849762</stp>
        <tr r="E75" s="89"/>
      </tp>
      <tp>
        <v>57.65</v>
        <stp/>
        <stp>BDP|14111141271769378618|22</stp>
        <stp>META US 04/17/26 C690 Equity</stp>
        <stp>ask</stp>
        <tr r="L169" s="89"/>
        <tr r="L186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Data...3309841184</v>
        <stp/>
        <stp>BDP|9888398554546738389</stp>
        <tr r="T76" s="89"/>
      </tp>
      <tp t="s">
        <v>#N/A Requesting Data...3633274979</v>
        <stp/>
        <stp>BDP|5587682882935341464</stp>
        <tr r="E90" s="89"/>
      </tp>
      <tp t="s">
        <v>#N/A Requesting Data...3368233717</v>
        <stp/>
        <stp>BDP|7230833674217968563</stp>
        <tr r="S36" s="338"/>
      </tp>
      <tp t="s">
        <v>#N/A N/A</v>
        <stp/>
        <stp>BDP|3603190722478324251</stp>
        <tr r="AI35" s="1"/>
      </tp>
      <tp t="s">
        <v>#N/A N/A</v>
        <stp/>
        <stp>BDP|1841797186795773188</stp>
        <tr r="AV7" s="2"/>
      </tp>
      <tp t="s">
        <v>#N/A N/A</v>
        <stp/>
        <stp>BDP|6392840872006556586</stp>
        <tr r="E8" s="1"/>
      </tp>
      <tp t="s">
        <v>#N/A Requesting Data...3844270338</v>
        <stp/>
        <stp>BDP|5263574927779802120</stp>
        <tr r="V45" s="338"/>
      </tp>
      <tp t="s">
        <v>#N/A Requesting Data...3830143438</v>
        <stp/>
        <stp>BDP|2344935394120970850</stp>
        <tr r="C108" s="89"/>
      </tp>
      <tp t="s">
        <v>#N/A Requesting Data...4144964916</v>
        <stp/>
        <stp>BDP|1305485589197843027</stp>
        <tr r="AJ17" s="338"/>
        <tr r="AJ18" s="338"/>
        <tr r="AH17" s="338"/>
        <tr r="AH18" s="338"/>
      </tp>
      <tp t="s">
        <v>#N/A Requesting Data...4069449749</v>
        <stp/>
        <stp>BDP|9065585755010767336</stp>
        <tr r="F17" s="252"/>
      </tp>
      <tp t="s">
        <v>#N/A Requesting Data...4279767807</v>
        <stp/>
        <stp>BDP|3146823963096909173</stp>
        <tr r="D15" s="2"/>
        <tr r="C8" s="89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  <tr r="K18" s="1"/>
      </tp>
      <tp t="s">
        <v>#N/A Requesting Data...3547631759</v>
        <stp/>
        <stp>BDP|7038982583049677518</stp>
        <tr r="T108" s="89"/>
      </tp>
      <tp t="s">
        <v>#N/A Requesting Data...3401477873</v>
        <stp/>
        <stp>BDP|1004337573258431787</stp>
        <tr r="L8" s="338"/>
        <tr r="H8" s="338"/>
        <tr r="L9" s="338"/>
        <tr r="H9" s="338"/>
      </tp>
      <tp t="s">
        <v>#N/A Requesting Data...3665601437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Requesting Data...3751269667</v>
        <stp/>
        <stp>BDP|2322958882768230140</stp>
        <tr r="E178" s="89"/>
        <tr r="E179" s="89"/>
      </tp>
      <tp t="s">
        <v>#N/A Requesting Data...4001059806</v>
        <stp/>
        <stp>BDP|2786473499167807238</stp>
        <tr r="AI45" s="338"/>
      </tp>
      <tp t="s">
        <v>#N/A Requesting Data...3998069513</v>
        <stp/>
        <stp>BDP|6785747401219846296</stp>
        <tr r="S41" s="338"/>
      </tp>
      <tp t="s">
        <v>#N/A Requesting Data...3359130381</v>
        <stp/>
        <stp>BDP|3535160237702036972</stp>
        <tr r="Q31" s="338"/>
      </tp>
      <tp t="s">
        <v>#N/A Requesting Data...3386836742</v>
        <stp/>
        <stp>BDP|9500211458423629792</stp>
        <tr r="V31" s="338"/>
      </tp>
      <tp t="s">
        <v>#N/A Requesting Data...3575304589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Requesting Data...3703760664</v>
        <stp/>
        <stp>BDP|2397499487206466291</stp>
        <tr r="O237" s="89"/>
      </tp>
      <tp t="s">
        <v>#N/A N/A</v>
        <stp/>
        <stp>BDP|8582278211013363216</stp>
        <tr r="AI17" s="1"/>
      </tp>
      <tp t="s">
        <v>#N/A Requesting Data...3945366546</v>
        <stp/>
        <stp>BDP|2830595975422333866</stp>
        <tr r="E235" s="89"/>
      </tp>
      <tp t="s">
        <v>#N/A Requesting Data...3788210465</v>
        <stp/>
        <stp>BDP|9965794027725386324</stp>
        <tr r="AB22" s="1"/>
        <tr r="F26" s="446"/>
      </tp>
      <tp t="s">
        <v>#N/A Requesting Data...4227306994</v>
        <stp/>
        <stp>BDP|1269563299172286598</stp>
        <tr r="V56" s="89"/>
      </tp>
      <tp t="s">
        <v>#N/A N/A</v>
        <stp/>
        <stp>BDP|3885846074322660492</stp>
        <tr r="AG39" s="1"/>
      </tp>
      <tp t="s">
        <v>#N/A Requesting Data...3997684161</v>
        <stp/>
        <stp>BDP|1001769831296786978</stp>
        <tr r="AI45" s="338"/>
        <tr r="AK45" s="338"/>
      </tp>
      <tp t="s">
        <v>#N/A Requesting Data...3482931930</v>
        <stp/>
        <stp>BDP|3546240833528077058</stp>
        <tr r="F15" s="2"/>
      </tp>
      <tp t="s">
        <v>#N/A N/A</v>
        <stp/>
        <stp>BDP|3860095588139768892</stp>
        <tr r="AC15" s="1"/>
      </tp>
      <tp t="s">
        <v>#N/A Requesting Data...4203307053</v>
        <stp/>
        <stp>BDP|3394479430858909693</stp>
        <tr r="C96" s="89"/>
      </tp>
      <tp t="s">
        <v>#N/A Requesting Data...3401103637</v>
        <stp/>
        <stp>BDP|4524000010539321624</stp>
        <tr r="V129" s="89"/>
      </tp>
      <tp t="s">
        <v>#N/A Requesting Data...3695015124</v>
        <stp/>
        <stp>BDP|9625766755889261823</stp>
        <tr r="Q44" s="338"/>
      </tp>
      <tp t="s">
        <v>#N/A N/A</v>
        <stp/>
        <stp>BDP|2140911238616808459</stp>
        <tr r="AQ8" s="2"/>
        <tr r="AQ9" s="2"/>
        <tr r="AB169" s="89"/>
        <tr r="AB170" s="89"/>
        <tr r="AB171" s="89"/>
        <tr r="AB180" s="89"/>
        <tr r="AB186" s="89"/>
        <tr r="AB187" s="89"/>
        <tr r="AB188" s="89"/>
        <tr r="AB233" s="89"/>
        <tr r="AB26" s="89"/>
        <tr r="AB27" s="89"/>
      </tp>
      <tp t="s">
        <v>#N/A Requesting Data...3629364792</v>
        <stp/>
        <stp>BDP|3332604227028093513</stp>
        <tr r="S13" s="338"/>
      </tp>
      <tp t="s">
        <v>#N/A Requesting Data...3983398712</v>
        <stp/>
        <stp>BDP|7403651280812138158</stp>
        <tr r="L52" s="338"/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J52" s="338"/>
      </tp>
      <tp t="s">
        <v>#N/A Requesting Data...3718084340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28.83</v>
        <stp/>
        <stp>BDP|12794319931511644694|22</stp>
        <stp>TSM US 06/18/26 C340 Equity</stp>
        <stp>mid</stp>
        <tr r="L19" s="2"/>
      </tp>
      <tp t="s">
        <v>#N/A Requesting Data...4151522861</v>
        <stp/>
        <stp>BDP|8888687617413548780</stp>
        <tr r="L54" s="338"/>
        <tr r="J54" s="338"/>
      </tp>
      <tp t="s">
        <v>#N/A Requesting Data...3572513968</v>
        <stp/>
        <stp>BDP|2329729297960563787</stp>
        <tr r="U42" s="338"/>
      </tp>
      <tp t="s">
        <v>#N/A Requesting Data...3604756434</v>
        <stp/>
        <stp>BDP|5055978459833341163</stp>
        <tr r="S40" s="338"/>
      </tp>
      <tp t="s">
        <v>#N/A Requesting Data...3460378154</v>
        <stp/>
        <stp>BDP|9916250733583306071</stp>
        <tr r="V95" s="89"/>
      </tp>
      <tp t="s">
        <v>#N/A Requesting Data...3955957626</v>
        <stp/>
        <stp>BDP|4721614875256887832</stp>
        <tr r="AR10" s="2"/>
      </tp>
      <tp t="s">
        <v>#N/A Requesting Data...3795770824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Data...3900285591</v>
        <stp/>
        <stp>BDP|4926041887351657654</stp>
        <tr r="D137" s="89"/>
      </tp>
      <tp t="s">
        <v>#N/A Requesting Data...3570995615</v>
        <stp/>
        <stp>BDP|4502789287684003446</stp>
        <tr r="AR8" s="2"/>
      </tp>
      <tp t="s">
        <v>#N/A N/A</v>
        <stp/>
        <stp>BDP|9866940913692641877</stp>
        <tr r="AF21" s="1"/>
      </tp>
      <tp t="s">
        <v>#N/A Requesting Data...3865379118</v>
        <stp/>
        <stp>BDP|8737954890503872047</stp>
        <tr r="D33" s="446"/>
      </tp>
      <tp t="s">
        <v>#N/A Requesting Data...3540689714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Data...3560583234</v>
        <stp/>
        <stp>BDP|4440081808298299792</stp>
        <tr r="AK42" s="338"/>
        <tr r="AI42" s="338"/>
      </tp>
      <tp t="s">
        <v>#N/A Requesting Data...3695503043</v>
        <stp/>
        <stp>BDP|9749959446859954620</stp>
        <tr r="V203" s="89"/>
      </tp>
      <tp t="s">
        <v>#N/A Requesting Data...3408499077</v>
        <stp/>
        <stp>BDP|6735248014207248991</stp>
        <tr r="T49" s="338"/>
      </tp>
      <tp t="s">
        <v>#N/A Requesting Data...3805444705</v>
        <stp/>
        <stp>BDP|2139028585213834226</stp>
        <tr r="Z123" s="89"/>
        <tr r="AA123" s="89"/>
      </tp>
      <tp t="s">
        <v>#N/A Requesting Data...3507508866</v>
        <stp/>
        <stp>BDP|3963367391853480160</stp>
        <tr r="V204" s="89"/>
      </tp>
      <tp t="s">
        <v>#N/A Requesting Data...4174160909</v>
        <stp/>
        <stp>BDP|8786342763721865752</stp>
        <tr r="P31" s="338"/>
      </tp>
      <tp t="s">
        <v>#N/A Requesting Data...3637065943</v>
        <stp/>
        <stp>BDP|7001248851652159998</stp>
        <tr r="T34" s="338"/>
      </tp>
      <tp t="s">
        <v>#N/A N/A</v>
        <stp/>
        <stp>BDP|1914533822549360466</stp>
        <tr r="K14" s="1"/>
      </tp>
      <tp t="s">
        <v>#N/A Requesting Data...3912521744</v>
        <stp/>
        <stp>BDP|6408176180342608679</stp>
        <tr r="F9" s="2"/>
      </tp>
      <tp t="s">
        <v>#N/A Requesting Data...3549536310</v>
        <stp/>
        <stp>BDP|5828964399018661636</stp>
        <tr r="Q9" s="338"/>
      </tp>
      <tp t="s">
        <v>#N/A Requesting Data...4112026073</v>
        <stp/>
        <stp>BDP|9762687753917905669</stp>
        <tr r="T12" s="338"/>
      </tp>
      <tp t="s">
        <v>#N/A N/A</v>
        <stp/>
        <stp>BDP|2220703499371845606</stp>
        <tr r="AV6" s="2"/>
        <tr r="R237" s="89"/>
        <tr r="R34" s="89"/>
        <tr r="R33" s="89"/>
        <tr r="R39" s="89"/>
        <tr r="R40" s="89"/>
      </tp>
      <tp t="s">
        <v>#N/A Requesting Data...3799646868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Data...4226705514</v>
        <stp/>
        <stp>BDP|6241611932378988086</stp>
        <tr r="G42" s="446"/>
      </tp>
      <tp t="s">
        <v>#N/A Requesting Data...3561308331</v>
        <stp/>
        <stp>BDP|6296263756973290900</stp>
        <tr r="F16" s="2"/>
      </tp>
      <tp t="s">
        <v>#N/A Requesting Data...4175151702</v>
        <stp/>
        <stp>BDP|7985659615982817917</stp>
        <tr r="V36" s="338"/>
      </tp>
      <tp t="s">
        <v>#N/A Requesting Data...3738083953</v>
        <stp/>
        <stp>BDP|3686904656286506250</stp>
        <tr r="O69" s="89"/>
      </tp>
      <tp t="s">
        <v>#N/A Requesting Data...3834447626</v>
        <stp/>
        <stp>BDP|2754061954929434510</stp>
        <tr r="D62" s="89"/>
      </tp>
      <tp t="s">
        <v>#N/A Requesting Data...4219141418</v>
        <stp/>
        <stp>BDP|8279449610135797315</stp>
        <tr r="D26" s="89"/>
      </tp>
      <tp t="s">
        <v>#N/A Requesting Data...3729840004</v>
        <stp/>
        <stp>BDP|8637443246353684034</stp>
        <tr r="T51" s="338"/>
      </tp>
      <tp t="s">
        <v>#N/A Requesting Data...3712467103</v>
        <stp/>
        <stp>BDP|7254106586446704322</stp>
        <tr r="Z55" s="89"/>
        <tr r="AA55" s="89"/>
      </tp>
      <tp t="s">
        <v>#N/A N/A</v>
        <stp/>
        <stp>BDP|8959047049495095258</stp>
        <tr r="R203" s="89"/>
        <tr r="R204" s="89"/>
        <tr r="R205" s="89"/>
        <tr r="R211" s="89"/>
        <tr r="R212" s="89"/>
        <tr r="R235" s="89"/>
        <tr r="R213" s="89"/>
      </tp>
      <tp t="e">
        <v>#N/A</v>
        <stp/>
        <stp>BDH|7462952453280407079</stp>
        <tr r="AN40" s="338"/>
        <tr r="AN38" s="338"/>
        <tr r="AN16" s="338"/>
      </tp>
      <tp t="s">
        <v>#N/A Requesting Data...3662165427</v>
        <stp/>
        <stp>BDP|5187006175490775958</stp>
        <tr r="N7" s="252"/>
        <tr r="N7" s="252"/>
      </tp>
      <tp t="s">
        <v>#N/A Requesting Data...3758340627</v>
        <stp/>
        <stp>BDP|2612160096671704068</stp>
        <tr r="D31" s="446"/>
      </tp>
      <tp t="s">
        <v>#N/A N/A</v>
        <stp/>
        <stp>BDP|7517755008088933364</stp>
        <tr r="AG16" s="1"/>
      </tp>
      <tp t="s">
        <v>#N/A Requesting Data...4196560450</v>
        <stp/>
        <stp>BDP|4718173344583097938</stp>
        <tr r="F16" s="252"/>
      </tp>
      <tp t="s">
        <v>#N/A Requesting Data...3685064504</v>
        <stp/>
        <stp>BDP|2268545091931148418</stp>
        <tr r="T16" s="2"/>
        <tr r="O195" s="89"/>
      </tp>
      <tp t="s">
        <v>#N/A Requesting Data...3439756583</v>
        <stp/>
        <stp>BDP|9318183699928316256</stp>
        <tr r="D43" s="446"/>
      </tp>
      <tp t="s">
        <v>#N/A Requesting Data...3815632049</v>
        <stp/>
        <stp>BDP|2397389796744963701</stp>
        <tr r="AK42" s="338"/>
      </tp>
      <tp t="s">
        <v>#N/A Requesting Data...3425650440</v>
        <stp/>
        <stp>BDP|2130704157473529871</stp>
        <tr r="C13" s="2"/>
      </tp>
      <tp t="s">
        <v>#N/A Requesting Data...3950019324</v>
        <stp/>
        <stp>BDP|9352295318971282043</stp>
        <tr r="T102" s="89"/>
      </tp>
      <tp t="s">
        <v>#N/A Requesting Data...3427448742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Data...3648600823</v>
        <stp/>
        <stp>BDP|4946496227111068830</stp>
        <tr r="T101" s="89"/>
      </tp>
      <tp t="s">
        <v>#N/A Requesting Data...4266643875</v>
        <stp/>
        <stp>BDP|4411149358442996952</stp>
        <tr r="O11" s="252"/>
      </tp>
      <tp t="s">
        <v>#N/A Requesting Data...3475305737</v>
        <stp/>
        <stp>BDP|8633363721614159645</stp>
        <tr r="G8" s="446"/>
      </tp>
      <tp>
        <v>25</v>
        <stp/>
        <stp>BDP|16895049281307982456|22</stp>
        <stp>AVGO US 06/18/26 P300 Equity</stp>
        <stp>ask</stp>
        <tr r="L224" s="89"/>
      </tp>
      <tp>
        <v>91.55</v>
        <stp/>
        <stp>BDP|18281957532617946909|22</stp>
        <stp>META US 07/17/26 C680 Equity</stp>
        <stp>ask</stp>
        <tr r="L233" s="89"/>
      </tp>
      <tp>
        <v>78.92</v>
        <stp/>
        <stp>BDP|2279876738225149449|22</stp>
        <stp>MRVL US Equity</stp>
        <stp>LAST_PRICE</stp>
        <tr r="Z10" s="2"/>
        <tr r="Z12" s="2"/>
        <tr r="Z13" s="2"/>
        <tr r="Z11" s="2"/>
        <tr r="S62" s="89"/>
        <tr r="S63" s="89"/>
      </tp>
      <tp>
        <v>-0.47396191954612732</v>
        <stp/>
        <stp>BDP|1393123865485650562|22</stp>
        <stp>MRVL US 03/20/26 P80 Equity</stp>
        <stp>DELTA_MID_RT</stp>
        <tr r="AF12" s="2"/>
        <tr r="W62" s="89"/>
      </tp>
      <tp t="s">
        <v>USD</v>
        <stp/>
        <stp>BDP|12022496232123920905|22</stp>
        <stp>AAPL US 04/17/26 C280 Equity</stp>
        <stp>QUOTED_CURRENCY_REALTIME</stp>
        <tr r="G15" s="2"/>
        <tr r="F8" s="89"/>
      </tp>
      <tp t="s">
        <v>#N/A N/A</v>
        <stp/>
        <stp>BDP|9669031297401111598</stp>
        <tr r="AG28" s="1"/>
      </tp>
      <tp t="s">
        <v>#N/A Requesting Data...3599002648</v>
        <stp/>
        <stp>BDP|6456595137834456041</stp>
        <tr r="E9" s="2"/>
      </tp>
      <tp t="e">
        <v>#N/A</v>
        <stp/>
        <stp>BDH|1840510766053059544</stp>
        <tr r="AS12" s="338"/>
      </tp>
      <tp t="e">
        <v>#N/A</v>
        <stp/>
        <stp>BDH|7915039004015112646</stp>
        <tr r="AM14" s="338"/>
        <tr r="AM35" s="338"/>
      </tp>
      <tp t="s">
        <v>#N/A N/A</v>
        <stp/>
        <stp>BDP|4283940605309327082</stp>
        <tr r="AV4" s="2"/>
      </tp>
      <tp t="s">
        <v>#N/A Requesting Data...3897338819</v>
        <stp/>
        <stp>BDP|7846163779046776380</stp>
        <tr r="V8" s="338"/>
      </tp>
      <tp t="s">
        <v>#N/A Requesting Data...4076410042</v>
        <stp/>
        <stp>BDP|3958804124584137945</stp>
        <tr r="T17" s="2"/>
        <tr r="O196" s="89"/>
      </tp>
      <tp t="s">
        <v>#N/A Requesting Data...4154923248</v>
        <stp/>
        <stp>BDP|7798787343353582310</stp>
        <tr r="O233" s="89"/>
      </tp>
      <tp t="s">
        <v>#N/A Requesting Data...4287911322</v>
        <stp/>
        <stp>BDP|1272798819383873033</stp>
        <tr r="D7" s="2"/>
      </tp>
      <tp t="s">
        <v>#N/A Requesting Data...4292053076</v>
        <stp/>
        <stp>BDP|4966659791349467604</stp>
        <tr r="AG45" s="338"/>
      </tp>
      <tp t="s">
        <v>#N/A Requesting Data...3870169425</v>
        <stp/>
        <stp>BDP|2906346500884364176</stp>
        <tr r="AJ31" s="338"/>
        <tr r="AJ32" s="338"/>
      </tp>
      <tp t="s">
        <v>#N/A Requesting Data...3810149918</v>
        <stp/>
        <stp>BDP|3419727698730200952</stp>
        <tr r="AR4" s="2"/>
      </tp>
      <tp t="s">
        <v>#N/A Requesting Data...4012129816</v>
        <stp/>
        <stp>BDP|6472525957406128491</stp>
        <tr r="AA63" s="89"/>
        <tr r="Z63" s="89"/>
      </tp>
      <tp t="s">
        <v>#N/A Requesting Data...3982437145</v>
        <stp/>
        <stp>BDP|5062597105080127446</stp>
        <tr r="E13" s="89"/>
      </tp>
      <tp t="s">
        <v>#N/A Requesting Data...4200314948</v>
        <stp/>
        <stp>BDP|3405391577560425371</stp>
        <tr r="Q50" s="338"/>
      </tp>
      <tp t="s">
        <v>#N/A Requesting Data...3694235300</v>
        <stp/>
        <stp>BDP|4006741964780702190</stp>
        <tr r="Z14" s="89"/>
        <tr r="AA14" s="89"/>
      </tp>
      <tp t="s">
        <v>#N/A N/A</v>
        <stp/>
        <stp>BDP|1105691956700330633</stp>
        <tr r="AG32" s="1"/>
      </tp>
      <tp t="s">
        <v>#N/A Requesting Data...3918965889</v>
        <stp/>
        <stp>BDP|7494523709231730773</stp>
        <tr r="F31" s="446"/>
      </tp>
      <tp t="s">
        <v>#N/A N/A</v>
        <stp/>
        <stp>BDP|2743037479982482367</stp>
        <tr r="AF37" s="1"/>
      </tp>
      <tp t="s">
        <v>#N/A Requesting Data...4185404952</v>
        <stp/>
        <stp>BDP|8549451961438864644</stp>
        <tr r="AJ55" s="338"/>
        <tr r="AK14" s="338"/>
        <tr r="AK55" s="338"/>
      </tp>
      <tp t="s">
        <v>#N/A Requesting Data...3607288064</v>
        <stp/>
        <stp>BDP|9945382899790540700</stp>
        <tr r="Z138" s="89"/>
        <tr r="AA138" s="89"/>
      </tp>
      <tp t="s">
        <v>#N/A Requesting Data...4079690131</v>
        <stp/>
        <stp>BDP|1051127841111916176</stp>
        <tr r="P16" s="252"/>
      </tp>
      <tp t="s">
        <v>#N/A Requesting Data...4232888063</v>
        <stp/>
        <stp>BDP|2199559048282875569</stp>
        <tr r="AI18" s="338"/>
      </tp>
      <tp t="s">
        <v>#N/A Requesting Data...3882884120</v>
        <stp/>
        <stp>BDP|4374742715501301730</stp>
        <tr r="N16" s="252"/>
        <tr r="N16" s="252"/>
      </tp>
      <tp t="s">
        <v>#N/A Requesting Data...3664980961</v>
        <stp/>
        <stp>BDP|9063402768959888626</stp>
        <tr r="AA17" s="2"/>
        <tr r="T196" s="89"/>
      </tp>
      <tp t="s">
        <v>#N/A Requesting Data...3910151037</v>
        <stp/>
        <stp>BDP|3004206956470481008</stp>
        <tr r="AA20" s="89"/>
        <tr r="Z20" s="89"/>
      </tp>
      <tp t="s">
        <v>#N/A Requesting Data...3569401019</v>
        <stp/>
        <stp>BDP|8764335623844685936</stp>
        <tr r="T225" s="89"/>
      </tp>
      <tp t="s">
        <v>#N/A Requesting Data...4035459198</v>
        <stp/>
        <stp>BDP|1615244074723761330</stp>
        <tr r="T36" s="338"/>
      </tp>
      <tp t="s">
        <v>#N/A Requesting Data...3554662815</v>
        <stp/>
        <stp>BDP|3018137626915335152</stp>
        <tr r="O50" s="89"/>
      </tp>
      <tp t="s">
        <v>#N/A Requesting Data...3795141494</v>
        <stp/>
        <stp>BDP|8326860540126523632</stp>
        <tr r="E129" s="89"/>
      </tp>
      <tp t="s">
        <v>#N/A Requesting Data...4247425221</v>
        <stp/>
        <stp>BDP|5790626169004593599</stp>
        <tr r="F40" s="446"/>
      </tp>
      <tp t="s">
        <v>#N/A Requesting Data...3645360189</v>
        <stp/>
        <stp>BDP|9726257024364768910</stp>
        <tr r="O19" s="252"/>
      </tp>
      <tp t="s">
        <v>#N/A Requesting Data...3675422009</v>
        <stp/>
        <stp>BDP|3121965407037939996</stp>
        <tr r="T10" s="338"/>
      </tp>
      <tp t="s">
        <v>#N/A N/A</v>
        <stp/>
        <stp>BDP|7599424229276827376</stp>
        <tr r="AF18" s="1"/>
      </tp>
      <tp t="s">
        <v>#N/A Requesting Data...3780781792</v>
        <stp/>
        <stp>BDP|7467390538945749637</stp>
        <tr r="V14" s="89"/>
      </tp>
      <tp t="s">
        <v>#N/A N/A</v>
        <stp/>
        <stp>BDP|6940186872470420463</stp>
        <tr r="AI34" s="1"/>
      </tp>
      <tp t="s">
        <v>#N/A Requesting Data...3794084126</v>
        <stp/>
        <stp>BDP|2781273192095754848</stp>
        <tr r="P37" s="338"/>
      </tp>
      <tp t="s">
        <v>#N/A Requesting Data...3806562701</v>
        <stp/>
        <stp>BDP|5028796441871860363</stp>
        <tr r="D5" s="2"/>
        <tr r="C223" s="89"/>
      </tp>
      <tp t="s">
        <v>#N/A Requesting Data...4060853474</v>
        <stp/>
        <stp>BDP|5440482774885960773</stp>
        <tr r="AH36" s="338"/>
      </tp>
      <tp t="s">
        <v>#N/A Requesting Data...3564712239</v>
        <stp/>
        <stp>BDP|8903483087139985997</stp>
        <tr r="S8" s="252"/>
      </tp>
      <tp t="s">
        <v>#N/A Requesting Data...4032919412</v>
        <stp/>
        <stp>BDP|1490932935796586918</stp>
        <tr r="T19" s="89"/>
      </tp>
      <tp t="s">
        <v>#N/A Requesting Data...3919483155</v>
        <stp/>
        <stp>BDP|2357040805921494704</stp>
        <tr r="AJ10" s="338"/>
        <tr r="AJ11" s="338"/>
        <tr r="AJ33" s="338"/>
      </tp>
      <tp t="s">
        <v>#N/A Requesting Data...4119753735</v>
        <stp/>
        <stp>BDP|6634650204700670474</stp>
        <tr r="Q48" s="338"/>
      </tp>
      <tp t="s">
        <v>#N/A Requesting Data...3645164313</v>
        <stp/>
        <stp>BDP|6846041857277848049</stp>
        <tr r="T236" s="89"/>
      </tp>
      <tp t="s">
        <v>#N/A Requesting Data...3845197919</v>
        <stp/>
        <stp>BDP|3725844158258928256</stp>
        <tr r="Q17" s="338"/>
      </tp>
      <tp t="s">
        <v>#N/A Requesting Data...3714771397</v>
        <stp/>
        <stp>BDP|7276433225395264017</stp>
        <tr r="C49" s="89"/>
      </tp>
      <tp t="e">
        <v>#N/A</v>
        <stp/>
        <stp>BDH|1364300070594771531</stp>
        <tr r="AU53" s="338"/>
        <tr r="AP48" s="338"/>
        <tr r="AP47" s="338"/>
        <tr r="AP44" s="338"/>
        <tr r="AU10" s="338"/>
      </tp>
      <tp t="s">
        <v>#N/A Requesting Data...3974852649</v>
        <stp/>
        <stp>BDP|1913639431982971268</stp>
        <tr r="V122" s="89"/>
      </tp>
      <tp t="s">
        <v>#N/A Requesting Data...4226900520</v>
        <stp/>
        <stp>BDP|8103428543709687520</stp>
        <tr r="G5" s="446"/>
        <tr r="G6" s="446"/>
      </tp>
      <tp t="s">
        <v>#N/A Requesting Data...4167376767</v>
        <stp/>
        <stp>BDP|5430094244624859152</stp>
        <tr r="D34" s="446"/>
      </tp>
      <tp t="s">
        <v>#N/A Requesting Data...3893548608</v>
        <stp/>
        <stp>BDP|5284294530751812164</stp>
        <tr r="AI12" s="338"/>
      </tp>
      <tp t="s">
        <v>#N/A Requesting Data...4230319661</v>
        <stp/>
        <stp>BDP|7007213395359878194</stp>
        <tr r="C8" s="2"/>
      </tp>
      <tp t="s">
        <v>#N/A Requesting Data...4073371146</v>
        <stp/>
        <stp>BDP|2593154816901666757</stp>
        <tr r="N13" s="252"/>
        <tr r="N13" s="252"/>
      </tp>
      <tp t="s">
        <v>#N/A Requesting Data...3807111579</v>
        <stp/>
        <stp>BDP|9638513960499697749</stp>
        <tr r="T46" s="338"/>
      </tp>
      <tp t="s">
        <v>#N/A Requesting Data...3653657878</v>
        <stp/>
        <stp>BDP|5818380256332662552</stp>
        <tr r="Q29" s="338"/>
      </tp>
      <tp>
        <v>53.7</v>
        <stp/>
        <stp>BDP|16085343363608571045|22</stp>
        <stp>LITE US 03/20/26 C420 Equity</stp>
        <stp>ask</stp>
        <tr r="Q7" s="2"/>
      </tp>
      <tp>
        <v>5.95</v>
        <stp/>
        <stp>BDP|10736428624520496613|22</stp>
        <stp>MSFT US 02/20/26 P420 Equity</stp>
        <stp>bid</stp>
        <tr r="K212" s="89"/>
      </tp>
      <tp>
        <v>716.5</v>
        <stp/>
        <stp>BDP|3807768373389777345|22</stp>
        <stp>META Equity</stp>
        <stp>LAST_PRICE</stp>
        <tr r="I22" s="1"/>
      </tp>
      <tp>
        <v>97.15</v>
        <stp/>
        <stp>BDP|7985005465703992696|22</stp>
        <stp>AKAM Equity</stp>
        <stp>LAST_PRICE</stp>
        <tr r="I30" s="1"/>
      </tp>
      <tp>
        <v>94.2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Data...3941279233</v>
        <stp/>
        <stp>BDP|9005897765572380053</stp>
        <tr r="E13" s="2"/>
      </tp>
      <tp t="s">
        <v>#N/A N/A</v>
        <stp/>
        <stp>BDP|1163242074811817033</stp>
        <tr r="R234" s="89"/>
      </tp>
      <tp t="s">
        <v>#N/A Requesting Data...3828003890</v>
        <stp/>
        <stp>BDP|2926137671092226333</stp>
        <tr r="P14" s="252"/>
      </tp>
      <tp t="s">
        <v>#N/A Requesting Data...3775552194</v>
        <stp/>
        <stp>BDP|4780459414043985746</stp>
        <tr r="S33" s="338"/>
      </tp>
      <tp t="s">
        <v>#N/A Requesting Data...3629353642</v>
        <stp/>
        <stp>BDP|3715220583989463590</stp>
        <tr r="AB23" s="1"/>
        <tr r="F30" s="446"/>
      </tp>
      <tp t="s">
        <v>#N/A Requesting Data...4049378205</v>
        <stp/>
        <stp>BDP|3983744460122577503</stp>
        <tr r="AF32" s="1"/>
        <tr r="AF36" s="338"/>
      </tp>
      <tp t="s">
        <v>#N/A Requesting Data...4237366351</v>
        <stp/>
        <stp>BDP|5308081551174601141</stp>
        <tr r="U11" s="338"/>
      </tp>
      <tp t="s">
        <v>#N/A N/A</v>
        <stp/>
        <stp>BDP|3051431949301095732</stp>
        <tr r="AB37" s="1"/>
      </tp>
      <tp t="s">
        <v>#N/A Requesting Data...4027307660</v>
        <stp/>
        <stp>BDP|9260849128942358439</stp>
        <tr r="AD8" s="2"/>
        <tr r="V188" s="89"/>
      </tp>
      <tp t="s">
        <v>#N/A N/A</v>
        <stp/>
        <stp>BDP|1071396022310529501</stp>
        <tr r="AF26" s="1"/>
      </tp>
      <tp t="s">
        <v>#N/A Requesting Data...3612379867</v>
        <stp/>
        <stp>BDP|2636595951407112010</stp>
        <tr r="D41" s="446"/>
      </tp>
      <tp t="e">
        <v>#N/A</v>
        <stp/>
        <stp>BDH|9566884726910191644</stp>
        <tr r="AR32" s="338"/>
        <tr r="AR8" s="338"/>
        <tr r="AR46" s="338"/>
        <tr r="AR50" s="338"/>
      </tp>
      <tp t="e">
        <v>#N/A</v>
        <stp/>
        <stp>BDH|7779618312036278380</stp>
        <tr r="J19" s="252"/>
      </tp>
      <tp t="s">
        <v>#N/A Requesting Data...3671438924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Data...3655824957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Data...4025964766</v>
        <stp/>
        <stp>BDP|9669916329275140204</stp>
        <tr r="Q14" s="338"/>
      </tp>
      <tp t="e">
        <v>#N/A</v>
        <stp/>
        <stp>BDH|4490858557975006999</stp>
        <tr r="AM9" s="338"/>
        <tr r="AM8" s="338"/>
      </tp>
      <tp t="s">
        <v>#N/A Requesting Data...3893596413</v>
        <stp/>
        <stp>BDP|2062875789930127739</stp>
        <tr r="AA203" s="89"/>
        <tr r="Z203" s="89"/>
      </tp>
      <tp t="s">
        <v>#N/A Requesting Data...4227106497</v>
        <stp/>
        <stp>BDP|9310871449458721864</stp>
        <tr r="D81" s="89"/>
      </tp>
      <tp t="s">
        <v>#N/A Requesting Data...4182987782</v>
        <stp/>
        <stp>BDP|8626964800726479283</stp>
        <tr r="T17" s="338"/>
      </tp>
      <tp t="s">
        <v>#N/A Requesting Data...4259371158</v>
        <stp/>
        <stp>BDP|8161895482119328448</stp>
        <tr r="D16" s="2"/>
        <tr r="C195" s="89"/>
      </tp>
      <tp t="s">
        <v>#N/A Requesting Data...4040268822</v>
        <stp/>
        <stp>BDP|6453493511390892665</stp>
        <tr r="T31" s="338"/>
      </tp>
      <tp t="s">
        <v>#N/A Requesting Data...4233806144</v>
        <stp/>
        <stp>BDP|1933423945534840047</stp>
        <tr r="AK9" s="338"/>
      </tp>
      <tp t="s">
        <v>#N/A Requesting Data...4157081560</v>
        <stp/>
        <stp>BDP|4087771710803757431</stp>
        <tr r="X54" s="338"/>
      </tp>
      <tp t="s">
        <v>#N/A Requesting Data...3954837321</v>
        <stp/>
        <stp>BDP|7419327903193598239</stp>
        <tr r="AJ15" s="338"/>
        <tr r="AJ39" s="338"/>
        <tr r="AK40" s="338"/>
      </tp>
      <tp t="s">
        <v>#N/A Requesting Data...3760748545</v>
        <stp/>
        <stp>BDP|5133852355808281539</stp>
        <tr r="AD13" s="2"/>
        <tr r="V63" s="89"/>
      </tp>
      <tp t="s">
        <v>#N/A N/A</v>
        <stp/>
        <stp>BDP|9525835047501594141</stp>
        <tr r="AG19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40" s="1"/>
      </tp>
      <tp t="s">
        <v>#N/A Requesting Data...4222068051</v>
        <stp/>
        <stp>BDP|1252039566197775513</stp>
        <tr r="AK54" s="338"/>
      </tp>
      <tp t="s">
        <v>#N/A N/A</v>
        <stp/>
        <stp>BDP|6695752411146080338</stp>
        <tr r="AG27" s="1"/>
      </tp>
      <tp t="s">
        <v>#N/A Requesting Data...3762797446</v>
        <stp/>
        <stp>BDP|1795592229337573435</stp>
        <tr r="C212" s="89"/>
      </tp>
      <tp t="s">
        <v>#N/A Requesting Data...3742851823</v>
        <stp/>
        <stp>BDP|1340430251865159018</stp>
        <tr r="C122" s="89"/>
      </tp>
      <tp t="s">
        <v>#N/A Requesting Data...4232919929</v>
        <stp/>
        <stp>BDP|6973296607750514137</stp>
        <tr r="V76" s="89"/>
      </tp>
      <tp t="s">
        <v>#N/A N/A</v>
        <stp/>
        <stp>BDP|4316184976870928759</stp>
        <tr r="AF30" s="1"/>
      </tp>
      <tp t="e">
        <v>#N/A</v>
        <stp/>
        <stp>BDH|2792699763905920253</stp>
        <tr r="AN31" s="338"/>
        <tr r="AN32" s="338"/>
      </tp>
      <tp t="s">
        <v>#N/A Requesting Data...4107814717</v>
        <stp/>
        <stp>BDP|3777685039867817484</stp>
        <tr r="E20" s="89"/>
      </tp>
      <tp t="s">
        <v>#N/A Requesting Data...3667105505</v>
        <stp/>
        <stp>BDP|6124212647123164610</stp>
        <tr r="Z109" s="89"/>
        <tr r="AA109" s="89"/>
      </tp>
      <tp t="s">
        <v>#N/A Requesting Data...4016113385</v>
        <stp/>
        <stp>BDP|6362820535118116020</stp>
        <tr r="D75" s="89"/>
      </tp>
      <tp t="s">
        <v>#N/A Requesting Data...3948250391</v>
        <stp/>
        <stp>BDP|2987580469143878743</stp>
        <tr r="Z115" s="89"/>
        <tr r="AA115" s="89"/>
      </tp>
      <tp t="s">
        <v>#N/A Requesting Data...3794285670</v>
        <stp/>
        <stp>BDP|7460910680203620073</stp>
        <tr r="E19" s="2"/>
      </tp>
      <tp t="s">
        <v>#N/A N/A</v>
        <stp/>
        <stp>BDP|2426662074501571768</stp>
        <tr r="AI30" s="1"/>
      </tp>
      <tp t="s">
        <v>#N/A Requesting Data...3981354350</v>
        <stp/>
        <stp>BDP|1785534484179509007</stp>
        <tr r="U37" s="338"/>
      </tp>
      <tp>
        <v>89.05</v>
        <stp/>
        <stp>BDP|14201652617253647190|22</stp>
        <stp>META US 07/17/26 C680 Equity</stp>
        <stp>bid</stp>
        <tr r="K233" s="89"/>
      </tp>
      <tp>
        <v>96.1</v>
        <stp/>
        <stp>BDP|10509480426370688750|22</stp>
        <stp>META US 07/17/26 C670 Equity</stp>
        <stp>bid</stp>
        <tr r="K26" s="89"/>
        <tr r="K170" s="89"/>
      </tp>
      <tp>
        <v>12.05</v>
        <stp/>
        <stp>BDP|11530430480112839969|22</stp>
        <stp>AAPL US 04/17/26 C260 Equity</stp>
        <stp>bid</stp>
        <tr r="P14" s="2"/>
        <tr r="K7" s="89"/>
      </tp>
      <tp>
        <v>8.6</v>
        <stp/>
        <stp>BDP|479954285595231818|22</stp>
        <stp>GDX US 09/18/26 C115 Equity</stp>
        <stp>ask</stp>
        <tr r="L14" s="89"/>
      </tp>
      <tp t="s">
        <v>USD</v>
        <stp/>
        <stp>BDP|397487976034915571|22</stp>
        <stp>TSM US 06/18/26 C380 Equity</stp>
        <stp>QUOTED_CURRENCY_REALTIME</stp>
        <tr r="G20" s="2"/>
      </tp>
      <tp>
        <v>4.4000000000000004</v>
        <stp/>
        <stp>BDP|17651095983942963831|22</stp>
        <stp>AAPL US 04/17/26 C280 Equity</stp>
        <stp>ask</stp>
        <tr r="Q15" s="2"/>
        <tr r="L8" s="89"/>
      </tp>
      <tp>
        <v>259.48</v>
        <stp/>
        <stp>BDP|4350104393385922955|22</stp>
        <stp>AAPL Equity</stp>
        <stp>LAST PRICE</stp>
        <tr r="I11" s="338"/>
      </tp>
      <tp t="s">
        <v>#N/A Requesting Data...4227407114</v>
        <stp/>
        <stp>BDP|9823698439132005823</stp>
        <tr r="M12" s="252"/>
      </tp>
      <tp t="s">
        <v>#N/A Requesting Data...4082584370</v>
        <stp/>
        <stp>BDP|7311585067523642108</stp>
        <tr r="Q18" s="338"/>
      </tp>
      <tp t="s">
        <v>#N/A Requesting Data...3901608366</v>
        <stp/>
        <stp>BDP|3019690065241065465</stp>
        <tr r="AI48" s="338"/>
        <tr r="AI49" s="338"/>
      </tp>
      <tp t="s">
        <v>#N/A Requesting Data...3667118355</v>
        <stp/>
        <stp>BDP|7188757863485888551</stp>
        <tr r="G39" s="446"/>
      </tp>
      <tp t="s">
        <v>#N/A N/A</v>
        <stp/>
        <stp>BDP|7422247533576110683</stp>
        <tr r="AI39" s="1"/>
      </tp>
      <tp t="s">
        <v>#N/A Requesting Data...3731986987</v>
        <stp/>
        <stp>BDP|5816436142581157225</stp>
        <tr r="T49" s="89"/>
      </tp>
      <tp t="s">
        <v>#N/A Requesting Data...4169648281</v>
        <stp/>
        <stp>BDP|6357706968437215632</stp>
        <tr r="S51" s="338"/>
      </tp>
      <tp t="s">
        <v>#N/A Requesting Data...3657932205</v>
        <stp/>
        <stp>BDP|7978267068122812754</stp>
        <tr r="C6" s="2"/>
      </tp>
      <tp t="s">
        <v>#N/A N/A</v>
        <stp/>
        <stp>BDP|1481294716502130617</stp>
        <tr r="AB30" s="1"/>
      </tp>
      <tp t="s">
        <v>#N/A Requesting Data...3857581372</v>
        <stp/>
        <stp>BDP|1443585917713323038</stp>
        <tr r="L30" s="338"/>
        <tr r="J30" s="338"/>
      </tp>
      <tp t="s">
        <v>#N/A Requesting Data...4043131047</v>
        <stp/>
        <stp>BDP|4646626558147768607</stp>
        <tr r="T144" s="89"/>
      </tp>
      <tp t="s">
        <v>#N/A Requesting Data...3915841090</v>
        <stp/>
        <stp>BDP|9958243614845156906</stp>
        <tr r="AK30" s="338"/>
        <tr r="AI30" s="338"/>
      </tp>
      <tp t="s">
        <v>#N/A Requesting Data...4191432891</v>
        <stp/>
        <stp>BDP|1754575979255457051</stp>
        <tr r="G14" s="446"/>
      </tp>
      <tp t="s">
        <v>#N/A N/A</v>
        <stp/>
        <stp>BDP|5130174576111125487</stp>
        <tr r="K36" s="1"/>
      </tp>
      <tp t="s">
        <v>#N/A Requesting Data...4152175813</v>
        <stp/>
        <stp>BDP|9212972615641945606</stp>
        <tr r="AH52" s="338"/>
        <tr r="AH53" s="338"/>
        <tr r="AH54" s="338"/>
        <tr r="AJ52" s="338"/>
        <tr r="AJ53" s="338"/>
        <tr r="AJ54" s="338"/>
      </tp>
      <tp t="e">
        <v>#N/A</v>
        <stp/>
        <stp>BDH|2279885334579207654</stp>
        <tr r="AP12" s="338"/>
      </tp>
      <tp t="s">
        <v>#N/A Requesting Data...4209546340</v>
        <stp/>
        <stp>BDP|6095484704072209604</stp>
        <tr r="AJ13" s="338"/>
        <tr r="AJ34" s="338"/>
      </tp>
      <tp t="s">
        <v>#N/A Requesting Data...4063567294</v>
        <stp/>
        <stp>BDP|6921540255739678909</stp>
        <tr r="AK32" s="338"/>
        <tr r="AK46" s="338"/>
        <tr r="AK50" s="338"/>
        <tr r="AK8" s="338"/>
      </tp>
      <tp t="s">
        <v>#N/A N/A</v>
        <stp/>
        <stp>BDP|6927167186841731801</stp>
        <tr r="AG31" s="1"/>
      </tp>
      <tp t="s">
        <v>#N/A Requesting Data...3927337066</v>
        <stp/>
        <stp>BDP|5836174453674625345</stp>
        <tr r="V34" s="338"/>
      </tp>
      <tp t="s">
        <v>#N/A Requesting Data...3852011947</v>
        <stp/>
        <stp>BDP|6914181187250139988</stp>
        <tr r="AA5" s="2"/>
        <tr r="T223" s="89"/>
      </tp>
      <tp t="s">
        <v>#N/A Requesting Data...4028386755</v>
        <stp/>
        <stp>BDP|3930578222146831483</stp>
        <tr r="G43" s="446"/>
      </tp>
      <tp t="s">
        <v>#N/A N/A</v>
        <stp/>
        <stp>BDP|8403728728339567278</stp>
        <tr r="AC40" s="1"/>
      </tp>
      <tp t="s">
        <v>#N/A Requesting Data...3723713935</v>
        <stp/>
        <stp>BDP|3166087990788095446</stp>
        <tr r="G21" s="446"/>
      </tp>
      <tp t="s">
        <v>#N/A Requesting Data...3771473957</v>
        <stp/>
        <stp>BDP|4996607430791175657</stp>
        <tr r="T122" s="89"/>
      </tp>
      <tp t="s">
        <v>#N/A Requesting Data...4177361834</v>
        <stp/>
        <stp>BDP|3807948298497989200</stp>
        <tr r="P45" s="338"/>
      </tp>
      <tp t="s">
        <v>#N/A N/A</v>
        <stp/>
        <stp>BDP|4148348666006447154</stp>
        <tr r="AF19" s="1"/>
      </tp>
      <tp t="s">
        <v>#N/A N/A</v>
        <stp/>
        <stp>BDP|9242806905375372266</stp>
        <tr r="R122" s="89"/>
        <tr r="R123" s="89"/>
      </tp>
      <tp t="s">
        <v>#N/A Requesting Data...3984288639</v>
        <stp/>
        <stp>BDP|3531676896459233342</stp>
        <tr r="G35" s="446"/>
      </tp>
      <tp t="s">
        <v>#N/A Requesting Data...3825924983</v>
        <stp/>
        <stp>BDP|9850960325197941300</stp>
        <tr r="AF16" s="338"/>
        <tr r="AF38" s="338"/>
        <tr r="AF40" s="338"/>
      </tp>
      <tp t="s">
        <v>#N/A Requesting Data...4015468835</v>
        <stp/>
        <stp>BDP|2192763400756291577</stp>
        <tr r="C204" s="89"/>
      </tp>
      <tp t="s">
        <v>#N/A Requesting Data...4195844226</v>
        <stp/>
        <stp>BDP|1831578601782415092</stp>
        <tr r="V18" s="338"/>
      </tp>
      <tp t="s">
        <v>#N/A Requesting Data...3950859598</v>
        <stp/>
        <stp>BDP|5023379335197141408</stp>
        <tr r="T18" s="2"/>
        <tr r="O197" s="89"/>
      </tp>
      <tp t="s">
        <v>#N/A Requesting Data...4017711023</v>
        <stp/>
        <stp>BDP|5205861990736541413</stp>
        <tr r="E14" s="2"/>
      </tp>
      <tp t="s">
        <v>#N/A Requesting Data...3986488217</v>
        <stp/>
        <stp>BDP|5315552559291956278</stp>
        <tr r="T56" s="89"/>
      </tp>
      <tp t="s">
        <v>#N/A Requesting Data...3892957034</v>
        <stp/>
        <stp>BDP|9650470625011320866</stp>
        <tr r="AA225" s="89"/>
        <tr r="Z225" s="89"/>
      </tp>
      <tp t="s">
        <v>#N/A Requesting Data...3920510176</v>
        <stp/>
        <stp>BDP|9271742846914689876</stp>
        <tr r="S15" s="338"/>
        <tr r="S39" s="338"/>
      </tp>
      <tp t="s">
        <v>#N/A Requesting Data...3800079739</v>
        <stp/>
        <stp>BDP|1183356610207551274</stp>
        <tr r="T20" s="2"/>
      </tp>
      <tp t="s">
        <v>#N/A Requesting Data...4099846254</v>
        <stp/>
        <stp>BDP|3672362430114067167</stp>
        <tr r="T14" s="338"/>
      </tp>
      <tp t="s">
        <v>#N/A Requesting Data...4141830023</v>
        <stp/>
        <stp>BDP|7024465816144052067</stp>
        <tr r="D14" s="2"/>
        <tr r="C7" s="89"/>
      </tp>
      <tp t="s">
        <v>#N/A Requesting Data...4110136607</v>
        <stp/>
        <stp>BDP|3597495719060392002</stp>
        <tr r="C237" s="89"/>
      </tp>
      <tp t="s">
        <v>#N/A Requesting Data...4068093434</v>
        <stp/>
        <stp>BDP|2714917007269668409</stp>
        <tr r="M8" s="252"/>
      </tp>
      <tp t="s">
        <v>#N/A Requesting Data...3790422698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Data...3787088911</v>
        <stp/>
        <stp>BDP|5039887386546055596</stp>
        <tr r="AA14" s="2"/>
        <tr r="T7" s="89"/>
      </tp>
      <tp t="s">
        <v>#N/A Requesting Data...3984267300</v>
        <stp/>
        <stp>BDP|8408000722589740564</stp>
        <tr r="T68" s="89"/>
      </tp>
      <tp t="s">
        <v>#N/A Requesting Data...4131681635</v>
        <stp/>
        <stp>BDP|8885961869603230210</stp>
        <tr r="AK32" s="338"/>
        <tr r="AK46" s="338"/>
        <tr r="AK50" s="338"/>
        <tr r="AK8" s="338"/>
      </tp>
      <tp t="s">
        <v>#N/A Requesting Data...3991483784</v>
        <stp/>
        <stp>BDP|5018086030232967252</stp>
        <tr r="AA6" s="2"/>
      </tp>
      <tp t="s">
        <v>#N/A Requesting Data...3918350333</v>
        <stp/>
        <stp>BDP|5769981822101030995</stp>
        <tr r="T96" s="89"/>
      </tp>
      <tp t="s">
        <v>#N/A Requesting Data...4014905183</v>
        <stp/>
        <stp>BDP|8318036623599634512</stp>
        <tr r="D225" s="89"/>
      </tp>
      <tp t="s">
        <v>#N/A N/A</v>
        <stp/>
        <stp>BDP|1772751390731486839</stp>
        <tr r="AI29" s="1"/>
      </tp>
      <tp t="s">
        <v>#N/A Requesting Data...4094692092</v>
        <stp/>
        <stp>BDP|7214956164048318650</stp>
        <tr r="U34" s="338"/>
      </tp>
      <tp>
        <v>716.5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-0.14505088329315186</v>
        <stp/>
        <stp>BDP|8795046347241444117|22</stp>
        <stp>AVGO US 06/18/26 C350 Equity</stp>
        <stp>theta_mid_rt</stp>
        <tr r="AN5" s="2"/>
      </tp>
      <tp t="s">
        <v>#N/A Requesting Data...3747604786</v>
        <stp/>
        <stp>BDP|1017464849172281472</stp>
        <tr r="E49" s="89"/>
      </tp>
      <tp t="s">
        <v>#N/A Requesting Data...4149166155</v>
        <stp/>
        <stp>BDP|4283425441594897730</stp>
        <tr r="Z169" s="89"/>
        <tr r="AA169" s="89"/>
        <tr r="Z186" s="89"/>
        <tr r="AA186" s="89"/>
      </tp>
      <tp t="s">
        <v>#N/A Requesting Data...4179562510</v>
        <stp/>
        <stp>BDP|4245799967772009077</stp>
        <tr r="D37" s="446"/>
      </tp>
      <tp t="s">
        <v>#N/A Requesting Data...3731517680</v>
        <stp/>
        <stp>BDP|4758516714777806016</stp>
        <tr r="AR13" s="2"/>
      </tp>
      <tp t="s">
        <v>#N/A Requesting Data...4158345315</v>
        <stp/>
        <stp>BDP|2863781781368349292</stp>
        <tr r="AJ16" s="338"/>
        <tr r="AJ38" s="338"/>
        <tr r="AJ40" s="338"/>
      </tp>
      <tp t="s">
        <v>#N/A Requesting Data...3911937843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Data...4273308650</v>
        <stp/>
        <stp>BDP|4897361001360642018</stp>
        <tr r="T48" s="338"/>
      </tp>
      <tp t="s">
        <v>#N/A N/A</v>
        <stp/>
        <stp>BDP|6577894425722203925</stp>
        <tr r="AI36" s="1"/>
      </tp>
      <tp t="s">
        <v>#N/A Requesting Data...3948625871</v>
        <stp/>
        <stp>BDP|5289094940154690244</stp>
        <tr r="S14" s="338"/>
      </tp>
      <tp t="s">
        <v>#N/A Requesting Data...4046172369</v>
        <stp/>
        <stp>BDP|1707015801081904771</stp>
        <tr r="S11" s="338"/>
      </tp>
      <tp t="s">
        <v>#N/A N/A</v>
        <stp/>
        <stp>BDP|5947737455944304421</stp>
        <tr r="AB36" s="1"/>
      </tp>
      <tp t="s">
        <v>#N/A Requesting Data...3885525516</v>
        <stp/>
        <stp>BDP|1510584037002581204</stp>
        <tr r="T115" s="89"/>
      </tp>
      <tp t="s">
        <v>#N/A Requesting Data...3770264988</v>
        <stp/>
        <stp>BDP|6917157052941035414</stp>
        <tr r="AK54" s="338"/>
      </tp>
      <tp t="s">
        <v>#N/A Requesting Data...4073689044</v>
        <stp/>
        <stp>BDP|1092378379464484650</stp>
        <tr r="G9" s="446"/>
      </tp>
      <tp t="s">
        <v>#N/A Requesting Data...4116023720</v>
        <stp/>
        <stp>BDP|5346594685016575959</stp>
        <tr r="AI18" s="338"/>
        <tr r="AK18" s="338"/>
      </tp>
      <tp t="s">
        <v>#N/A Requesting Data...3984985603</v>
        <stp/>
        <stp>BDP|5675170649634239369</stp>
        <tr r="E109" s="89"/>
      </tp>
      <tp t="s">
        <v>#N/A Requesting Data...4156390971</v>
        <stp/>
        <stp>BDP|7675645627431897518</stp>
        <tr r="C19" s="2"/>
      </tp>
      <tp t="s">
        <v>#N/A Requesting Data...4184711171</v>
        <stp/>
        <stp>BDP|3706549500372914371</stp>
        <tr r="E136" s="89"/>
      </tp>
      <tp t="s">
        <v>#N/A N/A</v>
        <stp/>
        <stp>BDP|5312075309057886586</stp>
        <tr r="AI38" s="1"/>
      </tp>
      <tp t="s">
        <v>#N/A Requesting Data...4178963084</v>
        <stp/>
        <stp>BDP|7107626834487292286</stp>
        <tr r="L11" s="252"/>
        <tr r="L11" s="252"/>
      </tp>
      <tp t="s">
        <v>#N/A Requesting Data...3857608699</v>
        <stp/>
        <stp>BDP|8336092558638833275</stp>
        <tr r="M18" s="252"/>
      </tp>
      <tp t="s">
        <v>#N/A Requesting Data...4143660660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e">
        <v>#N/A</v>
        <stp/>
        <stp>BDH|1385144448252425162</stp>
        <tr r="AN33" s="338"/>
        <tr r="AN10" s="338"/>
        <tr r="AN11" s="338"/>
      </tp>
      <tp t="s">
        <v>#N/A Requesting Data...4237737710</v>
        <stp/>
        <stp>BDP|1288906989993060491</stp>
        <tr r="X49" s="338"/>
      </tp>
      <tp t="s">
        <v>#N/A N/A</v>
        <stp/>
        <stp>BDP|4381938020330693849</stp>
        <tr r="AC31" s="1"/>
      </tp>
      <tp t="s">
        <v>#N/A Requesting Data...4232507737</v>
        <stp/>
        <stp>BDP|5938177747656903132</stp>
        <tr r="S55" s="338"/>
      </tp>
      <tp t="s">
        <v>#N/A Requesting Data...4212898205</v>
        <stp/>
        <stp>BDP|1855721819082945297</stp>
        <tr r="P52" s="338"/>
      </tp>
      <tp t="s">
        <v>#N/A Requesting Data...4236750221</v>
        <stp/>
        <stp>BDP|7226011316269547804</stp>
        <tr r="AA101" s="89"/>
        <tr r="Z101" s="89"/>
      </tp>
      <tp t="s">
        <v>#N/A Requesting Data...3835924659</v>
        <stp/>
        <stp>BDP|3900760639080469025</stp>
        <tr r="T13" s="89"/>
      </tp>
      <tp t="s">
        <v>#N/A Requesting Data...3785032114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Data...4153013615</v>
        <stp/>
        <stp>BDP|9683098287681113793</stp>
        <tr r="D9" s="2"/>
        <tr r="C171" s="89"/>
        <tr r="C187" s="89"/>
        <tr r="C27" s="89"/>
      </tp>
      <tp t="s">
        <v>#N/A Requesting Data...4220248061</v>
        <stp/>
        <stp>BDP|6362624963838148922</stp>
        <tr r="AF23" s="1"/>
        <tr r="AF8" s="338"/>
        <tr r="AF9" s="338"/>
      </tp>
      <tp t="s">
        <v>#N/A Requesting Data...4003020686</v>
        <stp/>
        <stp>BDP|2907663611126652497</stp>
        <tr r="D136" s="89"/>
      </tp>
      <tp t="s">
        <v>#N/A Requesting Data...4181562465</v>
        <stp/>
        <stp>BDP|5447413907492272417</stp>
        <tr r="AG48" s="338"/>
        <tr r="AG49" s="338"/>
      </tp>
      <tp t="s">
        <v>#N/A Requesting Data...4281252346</v>
        <stp/>
        <stp>BDP|4445164765726738268</stp>
        <tr r="AA26" s="89"/>
        <tr r="AA170" s="89"/>
        <tr r="Z170" s="89"/>
        <tr r="Z26" s="89"/>
      </tp>
      <tp t="s">
        <v>#N/A Requesting Data...3798502691</v>
        <stp/>
        <stp>BDP|2614909402095251903</stp>
        <tr r="L12" s="252"/>
        <tr r="L12" s="252"/>
      </tp>
      <tp t="s">
        <v>#N/A Requesting Data...3845753682</v>
        <stp/>
        <stp>BDP|1776687918603536244</stp>
        <tr r="AD17" s="2"/>
        <tr r="V196" s="89"/>
      </tp>
      <tp t="s">
        <v>#N/A Requesting Data...4137924813</v>
        <stp/>
        <stp>BDP|1763661788150711882</stp>
        <tr r="E233" s="89"/>
      </tp>
      <tp t="s">
        <v>#N/A Requesting Data...3814143847</v>
        <stp/>
        <stp>BDP|5476793879341768354</stp>
        <tr r="AK30" s="338"/>
      </tp>
      <tp t="s">
        <v>#N/A Requesting Data...3915857020</v>
        <stp/>
        <stp>BDP|5145531487678652752</stp>
        <tr r="AK15" s="338"/>
        <tr r="AK16" s="338"/>
        <tr r="AK17" s="338"/>
        <tr r="AK38" s="338"/>
        <tr r="AK39" s="338"/>
        <tr r="AK44" s="338"/>
        <tr r="AK52" s="338"/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Data...3828329255</v>
        <stp/>
        <stp>BDP|9356568301399407276</stp>
        <tr r="L29" s="338"/>
        <tr r="J29" s="338"/>
      </tp>
      <tp t="s">
        <v>#N/A Requesting Data...4233589038</v>
        <stp/>
        <stp>BDP|7057279456164256342</stp>
        <tr r="S32" s="338"/>
      </tp>
      <tp t="s">
        <v>#N/A Requesting Data...3984403567</v>
        <stp/>
        <stp>BDP|8901954355874847764</stp>
        <tr r="O205" s="89"/>
        <tr r="O213" s="89"/>
      </tp>
      <tp t="s">
        <v>#N/A Requesting Data...4033751482</v>
        <stp/>
        <stp>BDP|7250845338122873916</stp>
        <tr r="D11" s="2"/>
      </tp>
      <tp t="s">
        <v>#N/A Requesting Data...3835377706</v>
        <stp/>
        <stp>BDP|5679496740627876502</stp>
        <tr r="N20" s="252"/>
        <tr r="N20" s="252"/>
      </tp>
      <tp t="s">
        <v>#N/A Requesting Data...4273534528</v>
        <stp/>
        <stp>BDP|7775425857631476016</stp>
        <tr r="X53" s="338"/>
      </tp>
      <tp t="s">
        <v>#N/A Requesting Data...4251613421</v>
        <stp/>
        <stp>BDP|6730519311327945299</stp>
        <tr r="AK11" s="338"/>
      </tp>
      <tp t="s">
        <v>#N/A Requesting Data...4175125824</v>
        <stp/>
        <stp>BDP|7034052966182144450</stp>
        <tr r="G7" s="446"/>
      </tp>
      <tp t="s">
        <v>#N/A Requesting Data...4152425879</v>
        <stp/>
        <stp>BDP|5264049846531072744</stp>
        <tr r="AA95" s="89"/>
        <tr r="Z95" s="89"/>
      </tp>
      <tp t="e">
        <v>#N/A</v>
        <stp/>
        <stp>BDH|6491737742322220037</stp>
        <tr r="AS52" s="338"/>
        <tr r="AS38" s="338"/>
        <tr r="AS15" s="338"/>
        <tr r="AS39" s="338"/>
        <tr r="AS16" s="338"/>
        <tr r="AS44" s="338"/>
        <tr r="AS17" s="338"/>
      </tp>
      <tp t="s">
        <v>#N/A Requesting Data...3824687317</v>
        <stp/>
        <stp>BDP|4375402103807111045</stp>
        <tr r="AR16" s="2"/>
      </tp>
      <tp t="s">
        <v>#N/A Requesting Data...3887151798</v>
        <stp/>
        <stp>BDP|7817792651205133748</stp>
        <tr r="U30" s="338"/>
      </tp>
      <tp t="s">
        <v>#N/A Requesting Data...4110043380</v>
        <stp/>
        <stp>BDP|1636158366620394139</stp>
        <tr r="V160" s="89"/>
      </tp>
      <tp t="s">
        <v>#N/A Requesting Data...4174562778</v>
        <stp/>
        <stp>BDP|7130911573469165773</stp>
        <tr r="AD5" s="2"/>
        <tr r="V22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239.3</v>
        <stp/>
        <stp>BDP|4344863504285541564|22</stp>
        <stp>AMZN Equity</stp>
        <stp>LAST_PRICE</stp>
        <tr r="I21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Data...4022999688</v>
        <stp/>
        <stp>BDP|9478381283761550308</stp>
        <tr r="AD19" s="2"/>
      </tp>
      <tp t="s">
        <v>#N/A Requesting Data...4161921509</v>
        <stp/>
        <stp>BDP|3454753217493992655</stp>
        <tr r="AB35" s="1"/>
        <tr r="F36" s="446"/>
      </tp>
      <tp t="s">
        <v>#N/A N/A</v>
        <stp/>
        <stp>BDP|8148908707662517398</stp>
        <tr r="AG22" s="1"/>
      </tp>
      <tp t="s">
        <v>#N/A Requesting Data...4269552013</v>
        <stp/>
        <stp>BDP|1189172247476298290</stp>
        <tr r="O7" s="252"/>
      </tp>
      <tp t="s">
        <v>#N/A Requesting Data...3970689777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Data...3986434795</v>
        <stp/>
        <stp>BDP|2073373381748750195</stp>
        <tr r="F25" s="446"/>
      </tp>
      <tp t="s">
        <v>#N/A N/A</v>
        <stp/>
        <stp>BDP|5508729427063936303</stp>
        <tr r="AB34" s="1"/>
      </tp>
      <tp t="s">
        <v>#N/A Requesting Data...4282127373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Data...3881742662</v>
        <stp/>
        <stp>BDP|5045073666933003089</stp>
        <tr r="V9" s="338"/>
      </tp>
      <tp t="s">
        <v>#N/A Requesting Data...4044536771</v>
        <stp/>
        <stp>BDP|7131418634293998332</stp>
        <tr r="T11" s="2"/>
      </tp>
      <tp t="s">
        <v>#N/A Requesting Data...4082882984</v>
        <stp/>
        <stp>BDP|5247577618786009732</stp>
        <tr r="D197" s="89"/>
      </tp>
      <tp t="s">
        <v>#N/A N/A</v>
        <stp/>
        <stp>BDP|3833608477975887782</stp>
        <tr r="AC7" s="2"/>
      </tp>
      <tp t="s">
        <v>#N/A Requesting Data...3942047279</v>
        <stp/>
        <stp>BDP|5526635939431875188</stp>
        <tr r="AI29" s="338"/>
      </tp>
      <tp t="s">
        <v>#N/A Requesting Data...4021509132</v>
        <stp/>
        <stp>BDP|5959149956824211564</stp>
        <tr r="G38" s="446"/>
      </tp>
      <tp t="s">
        <v>#N/A Requesting Data...3973914869</v>
        <stp/>
        <stp>BDP|5381969730908949709</stp>
        <tr r="AD4" s="2"/>
      </tp>
      <tp t="s">
        <v>#N/A Requesting Data...4181880267</v>
        <stp/>
        <stp>BDP|9733097685151622010</stp>
        <tr r="T14" s="2"/>
        <tr r="O7" s="89"/>
      </tp>
      <tp t="s">
        <v>#N/A Requesting Data...4067614451</v>
        <stp/>
        <stp>BDP|8739029094357904654</stp>
        <tr r="O20" s="89"/>
      </tp>
      <tp t="s">
        <v>#N/A Requesting Data...3985824073</v>
        <stp/>
        <stp>BDP|5376386408366731097</stp>
        <tr r="AA50" s="89"/>
        <tr r="Z50" s="89"/>
      </tp>
      <tp t="s">
        <v>#N/A Requesting Data...4046314815</v>
        <stp/>
        <stp>BDP|3572723856414756549</stp>
        <tr r="C222" s="89"/>
      </tp>
      <tp t="s">
        <v>#N/A N/A</v>
        <stp/>
        <stp>BDP|6809118251995947735</stp>
        <tr r="AG15" s="1"/>
      </tp>
      <tp t="s">
        <v>#N/A Requesting Data...4023925542</v>
        <stp/>
        <stp>BDP|8781859390611325836</stp>
        <tr r="X12" s="338"/>
      </tp>
      <tp t="s">
        <v>#N/A Requesting Data...4239210174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B222" s="89"/>
        <tr r="AB223" s="89"/>
        <tr r="AB224" s="89"/>
        <tr r="AB225" s="89"/>
      </tp>
      <tp t="s">
        <v>#N/A Requesting Data...4208332418</v>
        <stp/>
        <stp>BDP|1324694372333290388</stp>
        <tr r="T212" s="89"/>
      </tp>
      <tp t="s">
        <v>#N/A N/A</v>
        <stp/>
        <stp>BDP|2925650370332906175</stp>
        <tr r="AI28" s="1"/>
      </tp>
      <tp t="s">
        <v>#N/A Requesting Data...3920680967</v>
        <stp/>
        <stp>BDP|3960122539301296028</stp>
        <tr r="O170" s="89"/>
        <tr r="O26" s="89"/>
      </tp>
      <tp t="s">
        <v>#N/A Requesting Data...4035083781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Data...4271937877</v>
        <stp/>
        <stp>BDP|2469275853951470473</stp>
        <tr r="F17" s="2"/>
      </tp>
      <tp t="s">
        <v>#N/A Requesting Data...4240535896</v>
        <stp/>
        <stp>BDP|8026979944376338335</stp>
        <tr r="E203" s="89"/>
      </tp>
      <tp t="s">
        <v>#N/A Requesting Data...4146079765</v>
        <stp/>
        <stp>BDP|4552037620785435316</stp>
        <tr r="P33" s="338"/>
      </tp>
      <tp t="s">
        <v>#N/A Requesting Data...3911447404</v>
        <stp/>
        <stp>BDP|4649895345359151185</stp>
        <tr r="C39" s="89"/>
      </tp>
      <tp t="s">
        <v>#N/A Requesting Data...4272076307</v>
        <stp/>
        <stp>BDP|1912350260220949454</stp>
        <tr r="AJ29" s="338"/>
        <tr r="AJ30" s="338"/>
      </tp>
      <tp t="s">
        <v>#N/A Requesting Data...4111557672</v>
        <stp/>
        <stp>BDP|5137251643354744701</stp>
        <tr r="L36" s="338"/>
        <tr r="H36" s="338"/>
      </tp>
      <tp t="s">
        <v>#N/A Requesting Data...4165816250</v>
        <stp/>
        <stp>BDP|6283111272633911397</stp>
        <tr r="AJ14" s="338"/>
        <tr r="AJ35" s="338"/>
      </tp>
      <tp t="s">
        <v>#N/A Requesting Data...4142355695</v>
        <stp/>
        <stp>BDP|7112967104169217777</stp>
        <tr r="P30" s="338"/>
      </tp>
      <tp t="s">
        <v>#N/A Requesting Data...3892986685</v>
        <stp/>
        <stp>BDP|7207851431765010907</stp>
        <tr r="C235" s="89"/>
      </tp>
      <tp t="s">
        <v>#N/A Requesting Data...4043487041</v>
        <stp/>
        <stp>BDP|5682063267492381124</stp>
        <tr r="S12" s="338"/>
      </tp>
      <tp t="s">
        <v>#N/A Requesting Data...4171396397</v>
        <stp/>
        <stp>BDP|1018734111515407205</stp>
        <tr r="F18" s="252"/>
      </tp>
      <tp t="s">
        <v>#N/A Requesting Data...4200227945</v>
        <stp/>
        <stp>BDP|4028930726656593970</stp>
        <tr r="AJ16" s="338"/>
        <tr r="AJ38" s="338"/>
        <tr r="AJ40" s="338"/>
      </tp>
      <tp t="s">
        <v>#N/A Requesting Data...4029026420</v>
        <stp/>
        <stp>BDP|1494500509740882420</stp>
        <tr r="D96" s="89"/>
      </tp>
      <tp t="s">
        <v>#N/A Requesting Data...3970760762</v>
        <stp/>
        <stp>BDP|3485044105441809296</stp>
        <tr r="L12" s="338"/>
        <tr r="J12" s="338"/>
      </tp>
      <tp t="s">
        <v>#N/A Requesting Data...4257060274</v>
        <stp/>
        <stp>BDP|6637641837380428351</stp>
        <tr r="D89" s="89"/>
      </tp>
      <tp t="s">
        <v>#N/A Requesting Data...4017896301</v>
        <stp/>
        <stp>BDP|2723076874625349028</stp>
        <tr r="M7" s="252"/>
      </tp>
      <tp t="s">
        <v>#N/A Requesting Data...4294439455</v>
        <stp/>
        <stp>BDP|4386065153847319607</stp>
        <tr r="C7" s="2"/>
      </tp>
      <tp t="s">
        <v>#N/A Requesting Data...4186231853</v>
        <stp/>
        <stp>BDP|1377734860226121644</stp>
        <tr r="C234" s="89"/>
      </tp>
      <tp>
        <v>20.65</v>
        <stp/>
        <stp>BDP|18330625039410541292|22</stp>
        <stp>AMZN US 07/17/26 C250 Equity</stp>
        <stp>ask</stp>
        <tr r="L234" s="89"/>
      </tp>
      <tp>
        <v>33.450000000000003</v>
        <stp/>
        <stp>BDP|14709653448625040347|22</stp>
        <stp>TSM US 07/17/26 C340 Equity</stp>
        <stp>ask</stp>
        <tr r="L19" s="89"/>
      </tp>
      <tp>
        <v>15.57</v>
        <stp/>
        <stp>BDP|13708122924811862625|22</stp>
        <stp>TSM US 06/18/26 C380 Equity</stp>
        <stp>mid</stp>
        <tr r="L20" s="2"/>
      </tp>
      <tp>
        <v>198.08</v>
        <stp/>
        <stp>BDP|17027429052585223577|22</stp>
        <stp>RSP EQUITY</stp>
        <stp>LAST_PRICE</stp>
        <tr r="I5" s="1"/>
      </tp>
      <tp t="s">
        <v>#N/A Requesting Data...4223587190</v>
        <stp/>
        <stp>BDP|5033376349836196559</stp>
        <tr r="X29" s="338"/>
      </tp>
      <tp t="s">
        <v>#N/A Requesting Data...4186882102</v>
        <stp/>
        <stp>BDP|3552512649496298558</stp>
        <tr r="M14" s="252"/>
      </tp>
      <tp t="s">
        <v>#N/A Requesting Data...3932968693</v>
        <stp/>
        <stp>BDP|6512582705651116331</stp>
        <tr r="D12" s="2"/>
        <tr r="C62" s="89"/>
      </tp>
      <tp t="s">
        <v>#N/A Requesting Data...4240497899</v>
        <stp/>
        <stp>BDP|8548403483194970146</stp>
        <tr r="V55" s="89"/>
      </tp>
      <tp t="s">
        <v>#N/A Requesting Data...4233279497</v>
        <stp/>
        <stp>BDP|9570666606426496899</stp>
        <tr r="O13" s="89"/>
      </tp>
      <tp t="s">
        <v>#N/A N/A</v>
        <stp/>
        <stp>BDP|5889104764011396273</stp>
        <tr r="AI33" s="1"/>
      </tp>
      <tp t="s">
        <v>#N/A Requesting Data...4125819815</v>
        <stp/>
        <stp>BDP|5256432133392845134</stp>
        <tr r="C101" s="89"/>
      </tp>
      <tp t="s">
        <v>#N/A Requesting Data...4203902278</v>
        <stp/>
        <stp>BDP|7551465529835272566</stp>
        <tr r="N9" s="252"/>
        <tr r="N9" s="252"/>
      </tp>
      <tp t="s">
        <v>#N/A Requesting Data...4180883046</v>
        <stp/>
        <stp>BDP|1897815793981176051</stp>
        <tr r="AR11" s="2"/>
      </tp>
      <tp t="s">
        <v>#N/A Requesting Data...4190634241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Data...4093238726</v>
        <stp/>
        <stp>BDP|7601159166158268985</stp>
        <tr r="S16" s="252"/>
      </tp>
      <tp t="s">
        <v>#N/A Requesting Data...4114855095</v>
        <stp/>
        <stp>BDP|3235511292777879969</stp>
        <tr r="X11" s="338"/>
      </tp>
      <tp t="s">
        <v>#N/A Requesting Data...4204624983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Data...4136644225</v>
        <stp/>
        <stp>BDP|1748256233439783899</stp>
        <tr r="T15" s="338"/>
        <tr r="T39" s="338"/>
      </tp>
      <tp t="e">
        <v>#N/A</v>
        <stp/>
        <stp>BDH|7107648716010876140</stp>
        <tr r="AP36" s="338"/>
      </tp>
      <tp t="s">
        <v>#N/A Requesting Data...4175328194</v>
        <stp/>
        <stp>BDP|7660636101386198693</stp>
        <tr r="P15" s="338"/>
        <tr r="P39" s="338"/>
      </tp>
      <tp t="s">
        <v>#N/A Requesting Data...4024802596</v>
        <stp/>
        <stp>BDP|8463094131499939398</stp>
        <tr r="X18" s="338"/>
      </tp>
      <tp t="s">
        <v>#N/A Requesting Data...3971950625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Data...4192421816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Data...3955739122</v>
        <stp/>
        <stp>BDP|6241899226908646569</stp>
        <tr r="D42" s="446"/>
      </tp>
      <tp t="s">
        <v>#N/A Requesting Data...4079510151</v>
        <stp/>
        <stp>BDP|9471140668958223775</stp>
        <tr r="V40" s="89"/>
      </tp>
      <tp t="s">
        <v>#N/A N/A</v>
        <stp/>
        <stp>BDP|6270526114126903508</stp>
        <tr r="AQ15" s="2"/>
        <tr r="AQ14" s="2"/>
        <tr r="AB7" s="89"/>
        <tr r="AB8" s="89"/>
      </tp>
      <tp t="s">
        <v>#N/A Requesting Data...3961630675</v>
        <stp/>
        <stp>BDP|2974198673022627786</stp>
        <tr r="AK48" s="338"/>
        <tr r="AK49" s="338"/>
      </tp>
      <tp t="s">
        <v>#N/A Requesting Data...4293041315</v>
        <stp/>
        <stp>BDP|5183368778820171035</stp>
        <tr r="F45" s="446"/>
      </tp>
      <tp t="s">
        <v>#N/A Requesting Data...4156229208</v>
        <stp/>
        <stp>BDP|5678783394829319341</stp>
        <tr r="F20" s="2"/>
      </tp>
      <tp t="s">
        <v>#N/A N/A</v>
        <stp/>
        <stp>BDP|5223714776062803600</stp>
        <tr r="AC13" s="1"/>
      </tp>
      <tp t="s">
        <v>#N/A Requesting Data...4061831596</v>
        <stp/>
        <stp>BDP|3142121838040986004</stp>
        <tr r="T40" s="89"/>
      </tp>
      <tp t="s">
        <v>#N/A Requesting Data...4153708748</v>
        <stp/>
        <stp>BDP|3632340523775049631</stp>
        <tr r="D39" s="89"/>
      </tp>
      <tp t="s">
        <v>#N/A Requesting Data...4007771141</v>
        <stp/>
        <stp>BDP|7603021556517835487</stp>
        <tr r="AH52" s="338"/>
        <tr r="AH53" s="338"/>
        <tr r="AH54" s="338"/>
      </tp>
      <tp t="s">
        <v>#N/A Requesting Data...4238591167</v>
        <stp/>
        <stp>BDP|4388333855843269056</stp>
        <tr r="P10" s="252"/>
      </tp>
      <tp t="s">
        <v>#N/A Requesting Data...4111502630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Data...4111322670</v>
        <stp/>
        <stp>BDP|2790133807587110508</stp>
        <tr r="O10" s="252"/>
      </tp>
      <tp t="e">
        <v>#N/A</v>
        <stp/>
        <stp>BDH|6298084635711592582</stp>
        <tr r="AU30" s="338"/>
      </tp>
      <tp t="s">
        <v>#N/A Requesting Data...4021919726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Data...4143368611</v>
        <stp/>
        <stp>BDP|9843491038236897916</stp>
        <tr r="C20" s="89"/>
      </tp>
      <tp t="s">
        <v>#N/A N/A</v>
        <stp/>
        <stp>BDP|9739406253298596110</stp>
        <tr r="AI19" s="1"/>
      </tp>
      <tp t="e">
        <v>#N/A</v>
        <stp/>
        <stp>BDH|9446020770446756912</stp>
        <tr r="AM53" s="338"/>
        <tr r="AM52" s="338"/>
        <tr r="AM54" s="338"/>
      </tp>
      <tp t="s">
        <v>#N/A N/A</v>
        <stp/>
        <stp>BDP|1821230040030393694</stp>
        <tr r="AQ12" s="2"/>
        <tr r="AQ13" s="2"/>
        <tr r="AQ11" s="2"/>
        <tr r="AQ10" s="2"/>
        <tr r="AB62" s="89"/>
        <tr r="AB63" s="89"/>
      </tp>
      <tp t="s">
        <v>#N/A Requesting Data...3945568385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19" s="2"/>
        <tr r="AQ20" s="2"/>
        <tr r="AB19" s="89"/>
        <tr r="AB20" s="89"/>
      </tp>
      <tp t="s">
        <v>#N/A Requesting Data...4134000458</v>
        <stp/>
        <stp>BDP|8707806237397902583</stp>
        <tr r="S11" s="252"/>
      </tp>
      <tp t="s">
        <v>#N/A Requesting Data...4152089998</v>
        <stp/>
        <stp>BDP|2620741033323734402</stp>
        <tr r="T203" s="89"/>
      </tp>
      <tp t="s">
        <v>#N/A Requesting Data...4189586784</v>
        <stp/>
        <stp>BDP|9939228331380883944</stp>
        <tr r="G11" s="446"/>
      </tp>
      <tp t="s">
        <v>#N/A Requesting Data...4084591434</v>
        <stp/>
        <stp>BDP|7072033161838356860</stp>
        <tr r="O75" s="89"/>
      </tp>
      <tp t="s">
        <v>#N/A Requesting Data...4095886141</v>
        <stp/>
        <stp>BDP|2267087599569280367</stp>
        <tr r="P34" s="338"/>
      </tp>
      <tp t="s">
        <v>#N/A Requesting Data...4002658191</v>
        <stp/>
        <stp>BDP|2620429521461757456</stp>
        <tr r="AK42" s="338"/>
      </tp>
      <tp t="s">
        <v>#N/A Requesting Data...4199275318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Data...4200707251</v>
        <stp/>
        <stp>BDP|4309165367065469727</stp>
        <tr r="E18" s="2"/>
      </tp>
      <tp t="s">
        <v>#N/A Requesting Data...4103107273</v>
        <stp/>
        <stp>BDP|7361061810540035705</stp>
        <tr r="AA15" s="2"/>
        <tr r="T8" s="89"/>
      </tp>
      <tp t="e">
        <v>#N/A</v>
        <stp/>
        <stp>BDH|3369070975786341373</stp>
        <tr r="AS29" s="338"/>
      </tp>
      <tp>
        <v>3.85</v>
        <stp/>
        <stp>BDP|118569511771704697|22</stp>
        <stp>INTC US 07/17/26 C60 Equity</stp>
        <stp>ask</stp>
        <tr r="Q16" s="2"/>
        <tr r="L195" s="89"/>
      </tp>
      <tp t="s">
        <v>#N/A Requesting Data...4037212904</v>
        <stp/>
        <stp>BDP|6219652639352291374</stp>
        <tr r="D55" s="89"/>
      </tp>
      <tp t="s">
        <v>#N/A Requesting Data...4154539258</v>
        <stp/>
        <stp>BDP|7964758820092579227</stp>
        <tr r="AJ52" s="338"/>
        <tr r="AJ53" s="338"/>
        <tr r="AJ54" s="338"/>
      </tp>
      <tp t="s">
        <v>#N/A Requesting Data...4231028705</v>
        <stp/>
        <stp>BDP|7860310106547363177</stp>
        <tr r="AA180" s="89"/>
        <tr r="Z180" s="89"/>
      </tp>
      <tp t="s">
        <v>#N/A N/A</v>
        <stp/>
        <stp>BDP|6976223375119574839</stp>
        <tr r="K37" s="1"/>
      </tp>
      <tp t="s">
        <v>#N/A Requesting Data...4265501788</v>
        <stp/>
        <stp>BDP|9060205111721083990</stp>
        <tr r="AI48" s="338"/>
        <tr r="AI49" s="338"/>
        <tr r="AK48" s="338"/>
        <tr r="AK49" s="338"/>
      </tp>
      <tp t="s">
        <v>#N/A Requesting Data...4241198021</v>
        <stp/>
        <stp>BDP|8644058243408809607</stp>
        <tr r="V49" s="338"/>
      </tp>
      <tp t="s">
        <v>#N/A Requesting Data...4021713880</v>
        <stp/>
        <stp>BDP|2721287269476965276</stp>
        <tr r="V35" s="338"/>
      </tp>
      <tp t="s">
        <v>#N/A Requesting Data...4160082284</v>
        <stp/>
        <stp>BDP|1927755561564288678</stp>
        <tr r="G45" s="446"/>
      </tp>
      <tp t="s">
        <v>#N/A Requesting Data...3975446664</v>
        <stp/>
        <stp>BDP|3284843281913962260</stp>
        <tr r="C5" s="2"/>
      </tp>
      <tp t="e">
        <v>#N/A</v>
        <stp/>
        <stp>BDH|4913966597276987091</stp>
        <tr r="AP10" s="338"/>
        <tr r="AP11" s="338"/>
        <tr r="AP33" s="338"/>
      </tp>
      <tp t="s">
        <v>#N/A Requesting Data...4184487848</v>
        <stp/>
        <stp>BDP|5871188314703840456</stp>
        <tr r="L11" s="338"/>
        <tr r="J11" s="338"/>
      </tp>
      <tp t="s">
        <v>#N/A Requesting Data...4271187267</v>
        <stp/>
        <stp>BDP|5728718823292467081</stp>
        <tr r="S7" s="2"/>
        <tr r="S10" s="2"/>
        <tr r="S11" s="2"/>
        <tr r="S12" s="2"/>
        <tr r="S13" s="2"/>
        <tr r="S16" s="2"/>
        <tr r="S17" s="2"/>
        <tr r="S18" s="2"/>
        <tr r="S19" s="2"/>
        <tr r="S20" s="2"/>
        <tr r="S6" s="2"/>
        <tr r="S9" s="2"/>
        <tr r="S8" s="2"/>
        <tr r="S15" s="2"/>
        <tr r="S14" s="2"/>
        <tr r="S4" s="2"/>
        <tr r="S5" s="2"/>
        <tr r="N81" s="89"/>
        <tr r="N169" s="89"/>
        <tr r="N186" s="89"/>
        <tr r="N13" s="89"/>
        <tr r="N14" s="89"/>
        <tr r="L12" s="1"/>
        <tr r="L13" s="1"/>
        <tr r="L14" s="1"/>
        <tr r="L16" s="1"/>
        <tr r="L17" s="1"/>
        <tr r="L18" s="1"/>
        <tr r="L19" s="1"/>
        <tr r="L20" s="1"/>
        <tr r="L21" s="1"/>
        <tr r="L22" s="1"/>
        <tr r="L23" s="1"/>
        <tr r="L24" s="1"/>
        <tr r="L27" s="1"/>
        <tr r="L28" s="1"/>
        <tr r="L29" s="1"/>
        <tr r="L30" s="1"/>
        <tr r="L32" s="1"/>
        <tr r="L33" s="1"/>
        <tr r="L34" s="1"/>
        <tr r="L35" s="1"/>
        <tr r="L36" s="1"/>
        <tr r="L37" s="1"/>
        <tr r="L38" s="1"/>
        <tr r="L39" s="1"/>
        <tr r="L40" s="1"/>
        <tr r="L15" s="1"/>
        <tr r="N153" s="89"/>
        <tr r="N7" s="89"/>
        <tr r="N8" s="89"/>
        <tr r="N19" s="89"/>
        <tr r="N20" s="89"/>
        <tr r="N26" s="89"/>
        <tr r="N27" s="89"/>
        <tr r="N33" s="89"/>
        <tr r="N34" s="89"/>
        <tr r="N39" s="89"/>
        <tr r="N40" s="89"/>
        <tr r="N49" s="89"/>
        <tr r="N50" s="89"/>
        <tr r="N55" s="89"/>
        <tr r="N56" s="89"/>
        <tr r="N62" s="89"/>
        <tr r="N63" s="89"/>
        <tr r="N75" s="89"/>
        <tr r="N170" s="89"/>
        <tr r="N171" s="89"/>
        <tr r="N180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N101" s="89"/>
        <tr r="N102" s="89"/>
        <tr r="N160" s="89"/>
        <tr r="N76" s="89"/>
        <tr r="N82" s="89"/>
        <tr r="N95" s="89"/>
      </tp>
      <tp t="s">
        <v>#N/A Requesting Data...4016327856</v>
        <stp/>
        <stp>BDP|5145625159843494775</stp>
        <tr r="P10" s="338"/>
      </tp>
      <tp t="s">
        <v>#N/A Requesting Data...4287804822</v>
        <stp/>
        <stp>BDP|5676239072204174683</stp>
        <tr r="AA233" s="89"/>
        <tr r="Z233" s="89"/>
      </tp>
      <tp t="s">
        <v>#N/A Requesting Data...4023200898</v>
        <stp/>
        <stp>BDP|4413248519100279551</stp>
        <tr r="AD6" s="2"/>
      </tp>
      <tp t="s">
        <v>#N/A Requesting Data...4180182730</v>
        <stp/>
        <stp>BDP|9919677548080032985</stp>
        <tr r="G44" s="446"/>
      </tp>
      <tp t="e">
        <v>#N/A</v>
        <stp/>
        <stp>BDH|1384293151361208571</stp>
        <tr r="AS13" s="338"/>
      </tp>
      <tp t="s">
        <v>#N/A Requesting Data...4043098804</v>
        <stp/>
        <stp>BDP|3371693940045698635</stp>
        <tr r="V123" s="89"/>
      </tp>
      <tp t="s">
        <v>#N/A Requesting Data...4081530098</v>
        <stp/>
        <stp>BDP|8428913731466273690</stp>
        <tr r="L8" s="252"/>
        <tr r="L8" s="252"/>
      </tp>
      <tp t="s">
        <v>#N/A Requesting Data...4271795492</v>
        <stp/>
        <stp>BDP|6223131064210098392</stp>
        <tr r="V14" s="338"/>
      </tp>
      <tp t="s">
        <v>#N/A N/A</v>
        <stp/>
        <stp>BDP|3289149679383755445</stp>
        <tr r="AC29" s="1"/>
      </tp>
      <tp t="s">
        <v>#N/A Requesting Data...4132652978</v>
        <stp/>
        <stp>BDP|5711442923249525894</stp>
        <tr r="C50" s="89"/>
      </tp>
      <tp t="s">
        <v>#N/A Requesting Data...4157171751</v>
        <stp/>
        <stp>BDP|3910223521378009966</stp>
        <tr r="N11" s="252"/>
        <tr r="N11" s="252"/>
      </tp>
      <tp t="s">
        <v>#N/A Requesting Data...4182414877</v>
        <stp/>
        <stp>BDP|5024341343609931931</stp>
        <tr r="AJ41" s="338"/>
        <tr r="AJ42" s="338"/>
      </tp>
      <tp t="s">
        <v>#N/A Requesting Data...4157302104</v>
        <stp/>
        <stp>BDP|2109542547769740886</stp>
        <tr r="AI29" s="338"/>
        <tr r="AK29" s="338"/>
      </tp>
      <tp t="s">
        <v>#N/A Requesting Data...4201289207</v>
        <stp/>
        <stp>BDP|3213171497998766175</stp>
        <tr r="E69" s="89"/>
      </tp>
      <tp t="s">
        <v>#N/A N/A</v>
        <stp/>
        <stp>BDP|6172070853435387447</stp>
        <tr r="AB32" s="1"/>
      </tp>
      <tp t="s">
        <v>#N/A Requesting Data...4118146339</v>
        <stp/>
        <stp>BDP|4636653477250550732</stp>
        <tr r="G31" s="446"/>
      </tp>
      <tp t="s">
        <v>#N/A N/A</v>
        <stp/>
        <stp>BDP|5714451203842663158</stp>
        <tr r="K8" s="1"/>
      </tp>
      <tp t="e">
        <v>#N/A</v>
        <stp/>
        <stp>BDH|7579963351839137005</stp>
        <tr r="AR13" s="338"/>
      </tp>
      <tp t="e">
        <v>#N/A</v>
        <stp/>
        <stp>BDH|5303049178861459188</stp>
        <tr r="AP37" s="338"/>
      </tp>
      <tp t="s">
        <v>#N/A Requesting Data...4127675270</v>
        <stp/>
        <stp>BDP|4880433377190901556</stp>
        <tr r="E115" s="89"/>
      </tp>
      <tp t="s">
        <v>#N/A N/A</v>
        <stp/>
        <stp>BDP|5535231548416828761</stp>
        <tr r="T153" s="89"/>
      </tp>
      <tp t="s">
        <v>#N/A Requesting Data...4082063546</v>
        <stp/>
        <stp>BDP|4772481059877400045</stp>
        <tr r="C33" s="89"/>
      </tp>
      <tp t="s">
        <v>#N/A Requesting Data...4204318225</v>
        <stp/>
        <stp>BDP|3519061147724655148</stp>
        <tr r="AJ31" s="338"/>
        <tr r="AJ32" s="338"/>
      </tp>
      <tp t="s">
        <v>#N/A Requesting Data...4177249613</v>
        <stp/>
        <stp>BDP|1861574508736334034</stp>
        <tr r="AA204" s="89"/>
        <tr r="Z204" s="89"/>
      </tp>
      <tp t="s">
        <v>#N/A Requesting Data...4082220479</v>
        <stp/>
        <stp>BDP|9125333988758543887</stp>
        <tr r="AJ17" s="338"/>
        <tr r="AJ18" s="338"/>
      </tp>
      <tp t="s">
        <v>#N/A Requesting Data...4114329856</v>
        <stp/>
        <stp>BDP|3704402235085322359</stp>
        <tr r="AA8" s="89"/>
        <tr r="Z8" s="89"/>
      </tp>
      <tp t="s">
        <v>#N/A Requesting Data...4005505105</v>
        <stp/>
        <stp>BDP|7134890756011396990</stp>
        <tr r="L45" s="338"/>
        <tr r="J45" s="338"/>
      </tp>
      <tp t="s">
        <v>#N/A N/A</v>
        <stp/>
        <stp>BDP|7828293524842926786</stp>
        <tr r="AI31" s="1"/>
      </tp>
      <tp t="s">
        <v>#N/A Requesting Data...4293983885</v>
        <stp/>
        <stp>BDP|2307633905712170406</stp>
        <tr r="P46" s="338"/>
      </tp>
      <tp t="s">
        <v>#N/A Requesting Data...4290324327</v>
        <stp/>
        <stp>BDP|3773131274556681138</stp>
        <tr r="E205" s="89"/>
        <tr r="E213" s="89"/>
      </tp>
      <tp t="e">
        <v>#N/A</v>
        <stp/>
        <stp>BDH|7000015074545215721</stp>
        <tr r="AR12" s="338"/>
      </tp>
      <tp t="e">
        <v>#N/A</v>
        <stp/>
        <stp>BDH|8734302797290756025</stp>
        <tr r="AU42" s="338"/>
      </tp>
      <tp>
        <v>3.4</v>
        <stp/>
        <stp>BDP|16278285412802013296|22</stp>
        <stp>MSFT US 02/20/26 P410 Equity</stp>
        <stp>ask</stp>
        <tr r="L205" s="89"/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N/A</v>
        <stp/>
        <stp>BDP|4669365388388290407</stp>
        <tr r="K16" s="1"/>
        <tr r="K5" s="1"/>
      </tp>
      <tp t="s">
        <v>#N/A Requesting Data...4107613080</v>
        <stp/>
        <stp>BDP|1294995983457020437</stp>
        <tr r="E222" s="89"/>
      </tp>
      <tp t="s">
        <v>#N/A Requesting Data...4064671264</v>
        <stp/>
        <stp>BDP|2591422732557732191</stp>
        <tr r="L13" s="338"/>
        <tr r="L34" s="338"/>
        <tr r="H13" s="338"/>
        <tr r="H34" s="338"/>
      </tp>
      <tp t="s">
        <v>#N/A N/A</v>
        <stp/>
        <stp>BDP|3208325823773954213</stp>
        <tr r="K13" s="1"/>
      </tp>
      <tp t="e">
        <v>#N/A</v>
        <stp/>
        <stp>BDH|1828168903545709614</stp>
        <tr r="AS32" s="338"/>
        <tr r="AS46" s="338"/>
        <tr r="AS50" s="338"/>
        <tr r="AS8" s="338"/>
      </tp>
      <tp t="s">
        <v>#N/A Requesting Data...4037279312</v>
        <stp/>
        <stp>BDP|7919916036548158668</stp>
        <tr r="AI9" s="338"/>
        <tr r="AK9" s="338"/>
      </tp>
      <tp t="s">
        <v>#N/A Requesting Data...4046338915</v>
        <stp/>
        <stp>BDP|5970596063913968630</stp>
        <tr r="AG30" s="338"/>
      </tp>
      <tp t="s">
        <v>#N/A Requesting Data...4128824199</v>
        <stp/>
        <stp>BDP|6103121895225663895</stp>
        <tr r="D14" s="89"/>
      </tp>
      <tp t="s">
        <v>#N/A Requesting Data...4112127419</v>
        <stp/>
        <stp>BDP|7170630364126625297</stp>
        <tr r="S52" s="338"/>
      </tp>
      <tp t="s">
        <v>#N/A N/A</v>
        <stp/>
        <stp>BDP|7115677759757668004</stp>
        <tr r="AC36" s="1"/>
      </tp>
      <tp t="s">
        <v>#N/A Requesting Data...4039705080</v>
        <stp/>
        <stp>BDP|3754293213215371607</stp>
        <tr r="AB18" s="1"/>
        <tr r="F5" s="446"/>
        <tr r="F6" s="446"/>
      </tp>
      <tp t="s">
        <v>#N/A Requesting Data...4200014297</v>
        <stp/>
        <stp>BDP|2213180314153111209</stp>
        <tr r="AF16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Data...4149701995</v>
        <stp/>
        <stp>BDP|6716369783157547983</stp>
        <tr r="V234" s="89"/>
      </tp>
      <tp t="s">
        <v>#N/A N/A</v>
        <stp/>
        <stp>BDP|9588206623063881918</stp>
        <tr r="AF34" s="1"/>
      </tp>
      <tp t="s">
        <v>#N/A Requesting Data...4282876656</v>
        <stp/>
        <stp>BDP|7360582975363056511</stp>
        <tr r="AA211" s="89"/>
        <tr r="Z211" s="89"/>
      </tp>
      <tp t="s">
        <v>#N/A Requesting Data...4069357176</v>
        <stp/>
        <stp>BDP|9390709548618762108</stp>
        <tr r="N6" s="252"/>
        <tr r="N6" s="252"/>
      </tp>
      <tp t="s">
        <v>#N/A Requesting Data...4081221051</v>
        <stp/>
        <stp>BDP|7796453577674837314</stp>
        <tr r="U44" s="338"/>
      </tp>
      <tp t="s">
        <v>#N/A Requesting Data...4090879840</v>
        <stp/>
        <stp>BDP|7961266924697349349</stp>
        <tr r="X36" s="338"/>
      </tp>
      <tp t="s">
        <v>#N/A Requesting Data...4079345807</v>
        <stp/>
        <stp>BDP|7659781264157478228</stp>
        <tr r="D95" s="89"/>
      </tp>
      <tp t="s">
        <v>#N/A Requesting Data...4173356050</v>
        <stp/>
        <stp>BDP|7777047645317887721</stp>
        <tr r="V145" s="89"/>
      </tp>
      <tp t="s">
        <v>#N/A Requesting Data...4205168461</v>
        <stp/>
        <stp>BDP|2793585885519216544</stp>
        <tr r="L19" s="252"/>
        <tr r="L19" s="252"/>
      </tp>
      <tp t="s">
        <v>#N/A Requesting Data...4154859075</v>
        <stp/>
        <stp>BDP|8230930209200509213</stp>
        <tr r="X30" s="338"/>
      </tp>
      <tp t="s">
        <v>#N/A Requesting Data...4264475711</v>
        <stp/>
        <stp>BDP|4504254438877448117</stp>
        <tr r="D203" s="89"/>
      </tp>
      <tp t="s">
        <v>#N/A Requesting Data...4049559216</v>
        <stp/>
        <stp>BDP|2987243114927275566</stp>
        <tr r="E63" s="89"/>
      </tp>
      <tp t="s">
        <v>#N/A Requesting Data...4233234992</v>
        <stp/>
        <stp>BDP|9739316558495716945</stp>
        <tr r="T7" s="2"/>
      </tp>
      <tp t="s">
        <v>#N/A N/A</v>
        <stp/>
        <stp>BDP|4608993769468398070</stp>
        <tr r="V153" s="89"/>
      </tp>
      <tp t="s">
        <v>#N/A Requesting Data...4121609795</v>
        <stp/>
        <stp>BDP|6169555274102368514</stp>
        <tr r="S10" s="338"/>
      </tp>
      <tp t="s">
        <v>#N/A Requesting Data...4143831902</v>
        <stp/>
        <stp>BDP|2465258476870377467</stp>
        <tr r="Z122" s="89"/>
        <tr r="AA122" s="89"/>
      </tp>
      <tp t="s">
        <v>#N/A Requesting Data...4175897823</v>
        <stp/>
        <stp>BDP|8020332285295353568</stp>
        <tr r="P32" s="338"/>
      </tp>
      <tp t="s">
        <v>#N/A Requesting Data...4095830558</v>
        <stp/>
        <stp>BDP|1891482215573037468</stp>
        <tr r="T204" s="89"/>
      </tp>
      <tp t="s">
        <v>#N/A Requesting Data...4281115756</v>
        <stp/>
        <stp>BDP|2434188206592879222</stp>
        <tr r="F8" s="2"/>
      </tp>
      <tp t="s">
        <v>#N/A Requesting Data...4060381911</v>
        <stp/>
        <stp>BDP|9375479114956010905</stp>
        <tr r="AA82" s="89"/>
        <tr r="Z82" s="89"/>
      </tp>
      <tp t="s">
        <v>#N/A Requesting Data...4097977256</v>
        <stp/>
        <stp>BDP|4350468486798696356</stp>
        <tr r="Z81" s="89"/>
        <tr r="AA81" s="89"/>
      </tp>
      <tp t="s">
        <v>#N/A N/A</v>
        <stp/>
        <stp>BDP|3712593953265415595</stp>
        <tr r="K19" s="1"/>
      </tp>
      <tp t="s">
        <v>#N/A Requesting Data...4216135408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Data...4091578471</v>
        <stp/>
        <stp>BDP|5888175656914033689</stp>
        <tr r="AA19" s="2"/>
      </tp>
      <tp t="s">
        <v>#N/A Requesting Data...4067609703</v>
        <stp/>
        <stp>BDP|1111234221652305017</stp>
        <tr r="AD7" s="2"/>
      </tp>
      <tp t="s">
        <v>#N/A Requesting Data...4171217766</v>
        <stp/>
        <stp>BDP|6109913190467097261</stp>
        <tr r="AF24" s="1"/>
        <tr r="AG32" s="338"/>
        <tr r="AG46" s="338"/>
        <tr r="AG50" s="338"/>
        <tr r="AG8" s="338"/>
      </tp>
      <tp t="s">
        <v>#N/A Requesting Data...4191016106</v>
        <stp/>
        <stp>BDP|5764387578793708167</stp>
        <tr r="M20" s="252"/>
      </tp>
      <tp t="s">
        <v>#N/A N/A</v>
        <stp/>
        <stp>BDP|6515604110606525460</stp>
        <tr r="AC39" s="1"/>
      </tp>
      <tp t="s">
        <v>#N/A Requesting Data...4081581793</v>
        <stp/>
        <stp>BDP|6555173421444373279</stp>
        <tr r="AI13" s="338"/>
      </tp>
      <tp t="s">
        <v>#N/A Requesting Data...4124038458</v>
        <stp/>
        <stp>BDP|4229187798419067654</stp>
        <tr r="Q13" s="338"/>
      </tp>
      <tp t="s">
        <v>#N/A Requesting Data...4130121508</v>
        <stp/>
        <stp>BDP|9226344490726854691</stp>
        <tr r="E101" s="89"/>
      </tp>
      <tp t="s">
        <v>#N/A N/A</v>
        <stp/>
        <stp>BDP|6281575064076017068</stp>
        <tr r="AC14" s="1"/>
      </tp>
      <tp t="s">
        <v>#N/A Requesting Data...4250928544</v>
        <stp/>
        <stp>BDP|6247087616267870331</stp>
        <tr r="AH29" s="338"/>
        <tr r="AH30" s="338"/>
      </tp>
      <tp t="e">
        <v>#N/A</v>
        <stp/>
        <stp>BDH|6267543533491223200</stp>
        <tr r="AP31" s="338"/>
        <tr r="AP32" s="338"/>
      </tp>
      <tp t="s">
        <v>#N/A Requesting Data...4162098673</v>
        <stp/>
        <stp>BDP|4307029492407618910</stp>
        <tr r="AK45" s="338"/>
      </tp>
      <tp t="s">
        <v>#N/A Requesting Data...4248488948</v>
        <stp/>
        <stp>BDP|8245865345547421013</stp>
        <tr r="AC23" s="1"/>
        <tr r="D30" s="446"/>
      </tp>
      <tp t="e">
        <v>#N/A</v>
        <stp/>
        <stp>BDH|6265177545016167641</stp>
        <tr r="AS42" s="338"/>
      </tp>
      <tp>
        <v>77.03</v>
        <stp/>
        <stp>BDP|8491242153513196784|22</stp>
        <stp>SHEL Equity</stp>
        <stp>LAST PRICE</stp>
        <tr r="I30" s="338"/>
      </tp>
      <tp>
        <v>97.2</v>
        <stp/>
        <stp>BDP|18176311034118889492|22</stp>
        <stp>META US 07/17/26 C670 Equity</stp>
        <stp>ask</stp>
        <tr r="L26" s="89"/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430.29</v>
        <stp/>
        <stp>BDP|9988051122657863096|22</stp>
        <stp>MSFT US Equity</stp>
        <stp>LAST_PRICE</stp>
        <tr r="S203" s="89"/>
        <tr r="S204" s="89"/>
        <tr r="S205" s="89"/>
        <tr r="S211" s="89"/>
        <tr r="S212" s="89"/>
        <tr r="S235" s="89"/>
        <tr r="S213" s="89"/>
      </tp>
      <tp>
        <v>22.8</v>
        <stp/>
        <stp>BDP|13077608409888620624|22</stp>
        <stp>NVDA US 07/17/26 C195 Equity</stp>
        <stp>bid</stp>
        <tr r="K237" s="89"/>
      </tp>
      <tp>
        <v>-0.13376818597316742</v>
        <stp/>
        <stp>BDP|12098786877158670568|22</stp>
        <stp>TSM US 06/18/26 C340 Equity</stp>
        <stp>theta_mid_rt</stp>
        <tr r="AN19" s="2"/>
      </tp>
      <tp t="s">
        <v>USD</v>
        <stp/>
        <stp>BDP|15742101950255539597|22</stp>
        <stp>MSFT US 02/20/26 P410 Equity</stp>
        <stp>QUOTED_CURRENCY_REALTIME</stp>
        <tr r="F205" s="89"/>
        <tr r="F213" s="89"/>
      </tp>
      <tp>
        <v>6.65</v>
        <stp/>
        <stp>BDP|15563065055018194263|22</stp>
        <stp>INTC US 07/17/26 C50 Equity</stp>
        <stp>ask</stp>
        <tr r="Q17" s="2"/>
        <tr r="L196" s="89"/>
      </tp>
      <tp>
        <v>430.29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Requesting Data...4186842770</v>
        <stp/>
        <stp>BDP|37914852814694011</stp>
        <tr r="V81" s="89"/>
      </tp>
      <tp t="s">
        <v>USD</v>
        <stp/>
        <stp>BDP|15807974610555755775|22</stp>
        <stp>MRVL US 03/20/26 P85 Equity</stp>
        <stp>QUOTED_CURRENCY_REALTIME</stp>
        <tr r="G10" s="2"/>
      </tp>
      <tp>
        <v>9317.09</v>
        <stp/>
        <stp>BDP|8345363860153837789|22</stp>
        <stp>HSCEI Index</stp>
        <stp>LAST_PRICE</stp>
        <tr r="H19" s="252"/>
        <tr r="H19" s="252"/>
      </tp>
      <tp>
        <v>3.04</v>
        <stp/>
        <stp>BDP|16635244585526588457|22</stp>
        <stp>MRVL US 03/20/26 P70 Equity</stp>
        <stp>mid</stp>
        <tr r="L13" s="2"/>
      </tp>
      <tp>
        <v>17.05</v>
        <stp/>
        <stp>BDP|11549499930516457816|22</stp>
        <stp>AVGO US 06/18/26 C410 Equity</stp>
        <stp>bid</stp>
        <tr r="K222" s="89"/>
      </tp>
      <tp>
        <v>10.4</v>
        <stp/>
        <stp>BDP|16199323523634865039|22</stp>
        <stp>MRVL US 03/20/26 P85 Equity</stp>
        <stp>mid</stp>
        <tr r="L10" s="2"/>
      </tp>
      <tp>
        <v>34.9</v>
        <stp/>
        <stp>BDP|17652529992752880187|22</stp>
        <stp>AVGO US 06/18/26 C350 Equity</stp>
        <stp>bid</stp>
        <tr r="P5" s="2"/>
        <tr r="K223" s="89"/>
      </tp>
    </main>
    <main first="bofaddin.rtdserver">
      <tp t="s">
        <v>#N/A Requesting Data...4237459059</v>
        <stp/>
        <stp>BDP|87537406309394703</stp>
        <tr r="Q54" s="338"/>
      </tp>
      <tp t="s">
        <v>USD</v>
        <stp/>
        <stp>BDP|15044284398524356946|22</stp>
        <stp>GOOG US 07/17/26 C350 Equity</stp>
        <stp>QUOTED_CURRENCY_REALTIME</stp>
        <tr r="F236" s="89"/>
      </tp>
      <tp>
        <v>0.18</v>
        <stp/>
        <stp>BDP|15901604230708554053|22</stp>
        <stp>ASHR US 02/20/26 C35 Equity</stp>
        <stp>mid</stp>
        <tr r="L4" s="2"/>
      </tp>
      <tp>
        <v>114.44</v>
        <stp/>
        <stp>BDP|9714868770676517625|22</stp>
        <stp>DELL US Equity</stp>
        <stp>LAST_PRICE</stp>
        <tr r="S50" s="89"/>
        <tr r="S49" s="89"/>
      </tp>
      <tp>
        <v>-0.23142233490943909</v>
        <stp/>
        <stp>BDP|7815535696147585871|22</stp>
        <stp>META US 07/17/26 C750 Equity</stp>
        <stp>theta_mid_rt</stp>
        <tr r="AN8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3.1</v>
        <stp/>
        <stp>BDP|15925931344332195569|22</stp>
        <stp>MRVL US 03/20/26 P70 Equity</stp>
        <stp>ask</stp>
        <tr r="Q13" s="2"/>
        <tr r="L63" s="89"/>
      </tp>
      <tp>
        <v>10.3</v>
        <stp/>
        <stp>BDP|10246542437065037496|22</stp>
        <stp>MRVL US 03/20/26 P85 Equity</stp>
        <stp>bid</stp>
        <tr r="P10" s="2"/>
      </tp>
      <tp t="s">
        <v>#N/A Real Time</v>
        <stp/>
        <stp>BDP|10445519633806217931|22</stp>
        <stp>QQQ US 01/15/26 P623 Equity</stp>
        <stp>bid</stp>
        <tr r="K68" s="89"/>
      </tp>
      <tp>
        <v>0.01</v>
        <stp/>
        <stp>BDP|10106172909594712695|22</stp>
        <stp>QQQ US 01/30/26 P620 Equity</stp>
        <stp>bid</stp>
        <tr r="K81" s="89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BDP|16138004719282524725|22</stp>
        <stp>MSFT US 02/20/26 C450 Equity</stp>
        <stp>QUOTED_CURRENCY_REALTIME</stp>
        <tr r="F203" s="89"/>
      </tp>
      <tp>
        <v>4.75</v>
        <stp/>
        <stp>BDP|10691487052039370592|22</stp>
        <stp>MSFT US 02/20/26 C445 Equity</stp>
        <stp>ask</stp>
        <tr r="L211" s="89"/>
      </tp>
      <tp>
        <v>15</v>
        <stp/>
        <stp>BDP|982929759879592273|22</stp>
        <stp>TSM US 06/18/26 C380 Equity</stp>
        <stp>bid</stp>
        <tr r="P20" s="2"/>
      </tp>
      <tp>
        <v>7.25</v>
        <stp/>
        <stp>BDP|12289700020985263311|22</stp>
        <stp>MRVL US 03/20/26 P80 Equity</stp>
        <stp>bid</stp>
        <tr r="P12" s="2"/>
        <tr r="K62" s="89"/>
      </tp>
      <tp>
        <v>713.6816</v>
        <stp/>
        <stp>BDP|12318182968788510555|22</stp>
        <stp>NDEUCHF Index</stp>
        <stp>LAST_PRICE</stp>
        <tr r="H16" s="252"/>
        <tr r="H16" s="252"/>
      </tp>
      <tp>
        <v>338.53</v>
        <stp/>
        <stp>BDP|2010687940946133293|22</stp>
        <stp>GOOG US Equity</stp>
        <stp>LAST_PRICE</stp>
        <tr r="S236" s="89"/>
      </tp>
      <tp>
        <v>1.2</v>
        <stp/>
        <stp>BDP|11111265580234639760|22</stp>
        <stp>DELL US 02/06/26 P110 Equity</stp>
        <stp>bid</stp>
        <tr r="K50" s="89"/>
      </tp>
      <tp>
        <v>430.29</v>
        <stp/>
        <stp>BDP|1912830234697829517|22</stp>
        <stp>MSFT Equity</stp>
        <stp>LAST_PRICE</stp>
        <tr r="I23" s="1"/>
      </tp>
      <tp>
        <v>0.01</v>
        <stp/>
        <stp>BDP|13025211079997579337|22</stp>
        <stp>QQQ US 01/23/26 P615 Equity</stp>
        <stp>ask</stp>
        <tr r="L75" s="89"/>
      </tp>
      <tp>
        <v>10</v>
        <stp/>
        <stp>BDP|10919516749140731717|22</stp>
        <stp>GDX US 09/18/26 C105 Equity</stp>
        <stp>bid</stp>
        <tr r="K13" s="89"/>
      </tp>
      <tp>
        <v>103.87</v>
        <stp/>
        <stp>BDP|11511261369815685982|22</stp>
        <stp>QQQE EQUITY</stp>
        <stp>LAST_PRICE</stp>
        <tr r="I7" s="1"/>
      </tp>
      <tp t="s">
        <v>USD</v>
        <stp/>
        <stp>BDP|13882225679450827566|22</stp>
        <stp>MSFT US 02/20/26 C435 Equity</stp>
        <stp>QUOTED_CURRENCY_REALTIME</stp>
        <tr r="F204" s="89"/>
      </tp>
      <tp t="s">
        <v>#N/A N/A</v>
        <stp/>
        <stp>BDP|47883857911709246</stp>
        <tr r="R14" s="89"/>
        <tr r="R13" s="89"/>
      </tp>
      <tp t="s">
        <v>#N/A Requesting Data...4216703790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4.9000000000000004</v>
        <stp/>
        <stp>BDP|14841963169371507253|22</stp>
        <stp>MRVL US 03/20/26 P75 Equity</stp>
        <stp>mid</stp>
        <tr r="L11" s="2"/>
      </tp>
      <tp>
        <v>259.48</v>
        <stp/>
        <stp>BDP|13852632459561529635|22</stp>
        <stp>AAPL EQUITY</stp>
        <stp>LAST_PRICE</stp>
        <tr r="C6" s="1"/>
      </tp>
      <tp>
        <v>37548.519999999997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F33" s="89"/>
      </tp>
      <tp>
        <v>3.1</v>
        <stp/>
        <stp>BDP|15215339532765560763|22</stp>
        <stp>DELL US 02/06/26 P115 Equity</stp>
        <stp>bid</stp>
        <tr r="K49" s="89"/>
      </tp>
      <tp>
        <v>538.79</v>
        <stp/>
        <stp>BDP|9828940858298145952|22</stp>
        <stp>MA Equity</stp>
        <stp>LAST PRICE</stp>
        <tr r="G16" s="338"/>
        <tr r="G38" s="338"/>
        <tr r="G40" s="338"/>
      </tp>
      <tp>
        <v>153.18</v>
        <stp/>
        <stp>BDP|7581686725725045071|22</stp>
        <stp>BIDU Equity</stp>
        <stp>LAST_PRICE</stp>
        <tr r="I13" s="1"/>
      </tp>
      <tp>
        <v>-0.23664043843746185</v>
        <stp/>
        <stp>BDP|3838306440182995341|22</stp>
        <stp>META US 07/17/26 C700 Equity</stp>
        <stp>theta_mid_rt</stp>
        <tr r="AN9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#N/A Requesting Data...4239814189</v>
        <stp/>
        <stp>BDP|53420300211506591</stp>
        <tr r="D82" s="89"/>
      </tp>
      <tp t="s">
        <v>USD</v>
        <stp/>
        <stp>BDP|12492213811966261198|22</stp>
        <stp>DELL US 02/06/26 P110 Equity</stp>
        <stp>QUOTED_CURRENCY_REALTIME</stp>
        <tr r="F50" s="89"/>
      </tp>
    </main>
    <main first="bofaddin.rtdserver">
      <tp t="s">
        <v>USD</v>
        <stp/>
        <stp>BDP|13270901624241508025|22</stp>
        <stp>AMAT US 01/23/26 P280 Equity</stp>
        <stp>QUOTED_CURRENCY_REALTIME</stp>
        <tr r="F56" s="89"/>
      </tp>
    </main>
    <main first="bofaddin.rtdserver">
      <tp>
        <v>5</v>
        <stp/>
        <stp>BDP|17311283871303777118|22</stp>
        <stp>MRVL US 03/20/26 P75 Equity</stp>
        <stp>ask</stp>
        <tr r="Q11" s="2"/>
      </tp>
      <tp>
        <v>0.03</v>
        <stp/>
        <stp>BDP|11546932509834899026|22</stp>
        <stp>AMAT US 01/23/26 P290 Equity</stp>
        <stp>ask</stp>
        <tr r="L55" s="89"/>
      </tp>
      <tp>
        <v>17.5</v>
        <stp/>
        <stp>BDP|13407383351402000483|22</stp>
        <stp>AVGO US 06/18/26 C410 Equity</stp>
        <stp>ask</stp>
        <tr r="L222" s="89"/>
      </tp>
      <tp>
        <v>191.13</v>
        <stp/>
        <stp>BDP|2630581548609766860|22</stp>
        <stp>NVDA US Equity</stp>
        <stp>LAST_PRICE</stp>
        <tr r="Z6" s="2"/>
        <tr r="S237" s="89"/>
        <tr r="S34" s="89"/>
        <tr r="S33" s="89"/>
        <tr r="S39" s="89"/>
        <tr r="S40" s="89"/>
      </tp>
      <tp t="s">
        <v>USD</v>
        <stp/>
        <stp>BDP|16004856901519448852|22</stp>
        <stp>INTC US 07/17/26 C60 Equity</stp>
        <stp>QUOTED_CURRENCY_REALTIME</stp>
        <tr r="G16" s="2"/>
        <tr r="F195" s="89"/>
      </tp>
      <tp>
        <v>338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480.53</v>
        <stp/>
        <stp>BDP|16804995271076659285|22</stp>
        <stp>BRK/B Equity</stp>
        <stp>LAST PRICE</stp>
        <tr r="I18" s="338"/>
      </tp>
      <tp>
        <v>10.5</v>
        <stp/>
        <stp>BDP|13966874951199659074|22</stp>
        <stp>MRVL US 03/20/26 P85 Equity</stp>
        <stp>ask</stp>
        <tr r="Q10" s="2"/>
      </tp>
      <tp>
        <v>35.549999999999997</v>
        <stp/>
        <stp>BDP|16021407028720881249|22</stp>
        <stp>AVGO US 06/18/26 C350 Equity</stp>
        <stp>ask</stp>
        <tr r="Q5" s="2"/>
        <tr r="L223" s="89"/>
      </tp>
      <tp>
        <v>175.63</v>
        <stp/>
        <stp>BDP|6290765801174780597|22</stp>
        <stp>WDAY Equity</stp>
        <stp>LAST PRICE</stp>
        <tr r="L10" s="446"/>
      </tp>
      <tp>
        <v>0.56000000000000005</v>
        <stp/>
        <stp>BDP|12042499060543611620|22</stp>
        <stp>NVDA US 02/13/26 C210 Equity</stp>
        <stp>bid</stp>
        <tr r="K40" s="89"/>
      </tp>
      <tp>
        <v>2.5</v>
        <stp/>
        <stp>BDP|15563000227893054160|22</stp>
        <stp>NVDA US 02/06/26 C195 Equity</stp>
        <stp>bid</stp>
        <tr r="K39" s="89"/>
      </tp>
      <tp>
        <v>6939.03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0.01</v>
        <stp/>
        <stp>BDP|11479392081372755949|22</stp>
        <stp>QQQ US 01/30/26 P619 Equity</stp>
        <stp>bid</stp>
        <tr r="K82" s="89"/>
      </tp>
      <tp>
        <v>7973.17</v>
        <stp/>
        <stp>BDP|17372378885504057467|22</stp>
        <stp>CSIN0301 Index</stp>
        <stp>LAST_PRICE</stp>
        <tr r="H7" s="252"/>
        <tr r="H7" s="252"/>
      </tp>
      <tp>
        <v>6.3</v>
        <stp/>
        <stp>BDP|13492411471909401383|22</stp>
        <stp>INTC US 07/17/26 C50 Equity</stp>
        <stp>mid</stp>
        <tr r="L17" s="2"/>
      </tp>
      <tp>
        <v>22.95</v>
        <stp/>
        <stp>BDP|11464015968203804117|22</stp>
        <stp>NVDA US 07/17/26 C195 Equity</stp>
        <stp>ask</stp>
        <tr r="L237" s="89"/>
      </tp>
      <tp>
        <v>14.8</v>
        <stp/>
        <stp>BDP|10572433094613538553|22</stp>
        <stp>NVDA US 05/15/26 C200 Equity</stp>
        <stp>mid</stp>
        <tr r="L6" s="2"/>
      </tp>
      <tp>
        <v>239.3</v>
        <stp/>
        <stp>BDP|12911088506019095722|22</stp>
        <stp>AMZN EQUITY</stp>
        <stp>LAST_PRICE</stp>
        <tr r="C5" s="1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>
        <v>14.9</v>
        <stp/>
        <stp>BDP|15097796525407453303|22</stp>
        <stp>NVDA US 05/15/26 C200 Equity</stp>
        <stp>ask</stp>
        <tr r="Q6" s="2"/>
      </tp>
      <tp>
        <v>5.2633999999999999</v>
        <stp/>
        <stp>BDP|10515480241315630363|22</stp>
        <stp>brl Curncy</stp>
        <stp>LAST_PRICE</stp>
        <tr r="AC3" s="1"/>
      </tp>
      <tp>
        <v>4.6500000000000004</v>
        <stp/>
        <stp>BDP|17796047069567767238|22</stp>
        <stp>MSFT US 02/20/26 C445 Equity</stp>
        <stp>bid</stp>
        <tr r="K211" s="89"/>
      </tp>
      <tp>
        <v>191.13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33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Data...4290739750</v>
        <stp/>
        <stp>BDP|830479133252019005</stp>
        <tr r="Q33" s="338"/>
      </tp>
      <tp t="s">
        <v>#N/A Requesting Data...2140179128</v>
        <stp/>
        <stp>BDP|751520279507684047</stp>
        <tr r="X40" s="338"/>
      </tp>
      <tp t="s">
        <v>#N/A Requesting Data...4085177965</v>
        <stp/>
        <stp>BDP|196285167087372652</stp>
        <tr r="O19" s="89"/>
      </tp>
      <tp t="s">
        <v>#N/A Requesting Data...1932540087</v>
        <stp/>
        <stp>BDP|711948671629350257</stp>
        <tr r="E19" s="89"/>
      </tp>
      <tp t="s">
        <v>#N/A Requesting Data...2326351662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0.55624538660049438</v>
        <stp/>
        <stp>BDP|1582912119927825825|22</stp>
        <stp>NVDA US 07/17/26 C195 Equity</stp>
        <stp>DELTA_MID_RT</stp>
        <tr r="W237" s="89"/>
      </tp>
      <tp>
        <v>180.27</v>
        <stp/>
        <stp>BDP|15031025441735979532|22</stp>
        <stp>RDDT Equity</stp>
        <stp>LAST PRICE</stp>
        <tr r="L11" s="446"/>
      </tp>
      <tp>
        <v>19.2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Data...1906485643</v>
        <stp/>
        <stp>BDP|608595985359488024</stp>
        <tr r="AH13" s="338"/>
        <tr r="AH34" s="338"/>
        <tr r="AJ13" s="338"/>
        <tr r="AJ34" s="338"/>
      </tp>
      <tp t="s">
        <v>#N/A Requesting Data...290595531</v>
        <stp/>
        <stp>BDP|707708639631714132</stp>
        <tr r="E234" s="89"/>
      </tp>
      <tp t="s">
        <v>#N/A Requesting Data...3795178476</v>
        <stp/>
        <stp>BDP|179535275676098042</stp>
        <tr r="C75" s="89"/>
      </tp>
      <tp t="e">
        <v>#N/A</v>
        <stp/>
        <stp>BDH|271006990849825499</stp>
        <tr r="AS31" s="338"/>
        <tr r="AS41" s="338"/>
        <tr r="AS47" s="338"/>
        <tr r="AS33" s="338"/>
        <tr r="AN49" s="338"/>
        <tr r="AN45" s="338"/>
        <tr r="AN46" s="338"/>
        <tr r="AS51" s="338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Data...3516605354</v>
        <stp/>
        <stp>BDP|517385034553339470</stp>
        <tr r="Q46" s="338"/>
      </tp>
      <tp t="s">
        <v>#N/A Requesting Data...1314595596</v>
        <stp/>
        <stp>BDP|686234847331911027</stp>
        <tr r="G17" s="446"/>
      </tp>
      <tp t="s">
        <v>#N/A Requesting Data...1844771935</v>
        <stp/>
        <stp>BDP|845945561529258153</stp>
        <tr r="X37" s="338"/>
      </tp>
      <tp t="e">
        <v>#N/A</v>
        <stp/>
        <stp>BDH|657737470495847265</stp>
        <tr r="AP18" s="338"/>
        <tr r="AP17" s="338"/>
      </tp>
      <tp t="s">
        <v>#N/A Requesting Data...3440077870</v>
        <stp/>
        <stp>BDP|408762416568436914</stp>
        <tr r="T116" s="89"/>
      </tp>
      <tp t="s">
        <v>#N/A Requesting Data...2936204343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5718.18</v>
        <stp/>
        <stp>BDP|7715274099356745424|22</stp>
        <stp>HSTECH Index</stp>
        <stp>LAST_PRICE</stp>
        <tr r="H14" s="252"/>
        <tr r="H14" s="252"/>
      </tp>
      <tp>
        <v>691.97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Data...174444073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Data...1899058688</v>
        <stp/>
        <stp>BDP|729521579226123201</stp>
        <tr r="C236" s="89"/>
      </tp>
      <tp t="s">
        <v>#N/A Requesting Data...4187979289</v>
        <stp/>
        <stp>BDP|542757678043528506</stp>
        <tr r="Q51" s="338"/>
      </tp>
      <tp t="s">
        <v>#N/A N/A</v>
        <stp/>
        <stp>BDP|703780504329627859</stp>
        <tr r="AI22" s="1"/>
      </tp>
      <tp t="s">
        <v>#N/A Requesting Data...280876205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Data...172183694</v>
        <stp/>
        <stp>BDP|294565388632351941</stp>
        <tr r="V75" s="89"/>
      </tp>
      <tp t="s">
        <v>#N/A Real Time</v>
        <stp/>
        <stp>BDP|7287440995933707632|22</stp>
        <stp>4OK5C 21650 Index</stp>
        <stp>ask</stp>
        <tr r="L116" s="89"/>
      </tp>
      <tp t="e">
        <v>#N/A</v>
        <stp/>
        <stp>BDH|753064120931726574</stp>
        <tr r="AU51" s="338"/>
        <tr r="AU41" s="338"/>
        <tr r="AU33" s="338"/>
        <tr r="AP45" s="338"/>
        <tr r="AU47" s="338"/>
        <tr r="AU31" s="338"/>
        <tr r="AP49" s="338"/>
        <tr r="AP46" s="338"/>
      </tp>
      <tp>
        <v>164.58</v>
        <stp/>
        <stp>BDP|7132801475716187902|22</stp>
        <stp>ORCL EQUITY</stp>
        <stp>LAST_PRICE</stp>
        <tr r="C10" s="1"/>
      </tp>
      <tp>
        <v>0.3017200231552124</v>
        <stp/>
        <stp>BDP|3921340733218828052|22</stp>
        <stp>MSFT US 02/20/26 C445 Equity</stp>
        <stp>DELTA_MID_RT</stp>
        <tr r="W211" s="89"/>
      </tp>
      <tp t="s">
        <v>#N/A Requesting Data...1902613807</v>
        <stp/>
        <stp>BDP|930699410161740793</stp>
        <tr r="D19" s="2"/>
      </tp>
      <tp t="s">
        <v>#N/A Requesting Data...3737531032</v>
        <stp/>
        <stp>BDP|517543108217561323</stp>
        <tr r="P53" s="338"/>
      </tp>
      <tp t="s">
        <v>#N/A Requesting Data...193998864</v>
        <stp/>
        <stp>BDP|244764414260319781</stp>
        <tr r="O18" s="252"/>
      </tp>
      <tp t="s">
        <v>#N/A Requesting Data...1506959889</v>
        <stp/>
        <stp>BDP|896518566545118787</stp>
        <tr r="AA102" s="89"/>
        <tr r="Z102" s="89"/>
      </tp>
      <tp t="e">
        <v>#N/A</v>
        <stp/>
        <stp>BDH|593840281237119617</stp>
        <tr r="AM16" s="338"/>
        <tr r="AM40" s="338"/>
        <tr r="AM38" s="338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N/A</v>
        <stp/>
        <stp>BDP|739245098392147969</stp>
        <tr r="AG17" s="1"/>
      </tp>
      <tp t="s">
        <v>#N/A Requesting Data...3600674693</v>
        <stp/>
        <stp>BDP|999131207671054040</stp>
        <tr r="P55" s="338"/>
      </tp>
      <tp t="s">
        <v>#N/A N/A</v>
        <stp/>
        <stp>BDP|798980087638306908</stp>
        <tr r="K4" s="1"/>
      </tp>
      <tp t="s">
        <v>#N/A Requesting Data...156601317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9.4968192279338837E-2</v>
        <stp/>
        <stp>BDP|3119816362787157926|22</stp>
        <stp>NVDA US 02/13/26 C210 Equity</stp>
        <stp>DELTA_MID_RT</stp>
        <tr r="W40" s="89"/>
      </tp>
      <tp>
        <v>198.08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Data...1912627493</v>
        <stp/>
        <stp>BDP|661100657203862412</stp>
        <tr r="C40" s="89"/>
      </tp>
      <tp t="s">
        <v>#N/A N/A</v>
        <stp/>
        <stp>BDP|400489739133855744</stp>
        <tr r="AF25" s="1"/>
      </tp>
      <tp t="s">
        <v>#N/A Requesting Data...372756583</v>
        <stp/>
        <stp>BDP|103387833183780070</stp>
        <tr r="Z108" s="89"/>
        <tr r="AA108" s="89"/>
      </tp>
      <tp t="e">
        <v>#N/A</v>
        <stp/>
        <stp>BDH|467797121024221242</stp>
        <tr r="AU9" s="338"/>
      </tp>
      <tp t="s">
        <v>#N/A N/A</v>
        <stp/>
        <stp>BDP|128295106685337499</stp>
        <tr r="R153" s="89"/>
      </tp>
      <tp t="e">
        <v>#N/A</v>
        <stp/>
        <stp>BDH|150109369871609583</stp>
        <tr r="AU18" s="338"/>
      </tp>
      <tp t="s">
        <v>#N/A Requesting Data...2854523570</v>
        <stp/>
        <stp>BDP|689502992447620823</stp>
        <tr r="Q10" s="338"/>
      </tp>
      <tp>
        <v>86.2</v>
        <stp/>
        <stp>BDP|6244681688337820540|22</stp>
        <stp>KBWB EQUITY</stp>
        <stp>LAST_PRICE</stp>
        <tr r="I1" s="1"/>
      </tp>
      <tp>
        <v>-0.26245984435081482</v>
        <stp/>
        <stp>BDP|6165044578768178450|22</stp>
        <stp>DELL US 02/06/26 P110 Equity</stp>
        <stp>DELTA_MID_RT</stp>
        <tr r="W50" s="89"/>
      </tp>
      <tp>
        <v>15.47</v>
        <stp/>
        <stp>BDP|11593899381746563402|22</stp>
        <stp>RIOT Equity</stp>
        <stp>LAST_PRICE</stp>
        <tr r="I37" s="1"/>
      </tp>
      <tp>
        <v>16.149999999999999</v>
        <stp/>
        <stp>BDP|7303697284640564666|22</stp>
        <stp>TSM US 06/18/26 C380 Equity</stp>
        <stp>ask</stp>
        <tr r="Q20" s="2"/>
      </tp>
      <tp>
        <v>20.75</v>
        <stp/>
        <stp>BDP|3151677417243031834|22</stp>
        <stp>TSM US 07/17/26 C380 Equity</stp>
        <stp>ask</stp>
        <tr r="L20" s="89"/>
      </tp>
      <tp t="s">
        <v>#N/A N/A</v>
        <stp/>
        <stp>BDP|864721970423249168</stp>
        <tr r="D153" s="89"/>
      </tp>
      <tp t="s">
        <v>#N/A N/A</v>
        <stp/>
        <stp>BDP|450712038053400567</stp>
        <tr r="AG12" s="1"/>
      </tp>
      <tp>
        <v>621.87</v>
        <stp/>
        <stp>BDP|13846945124532688911|22</stp>
        <stp>QQQ Equity</stp>
        <stp>LAST_PRICE</stp>
        <tr r="I17" s="1"/>
      </tp>
      <tp t="s">
        <v>#N/A Requesting Data...1275352666</v>
        <stp/>
        <stp>BDP|908193390539320353</stp>
        <tr r="AA62" s="89"/>
        <tr r="Z62" s="89"/>
      </tp>
      <tp t="s">
        <v>#N/A Requesting Data...370104563</v>
        <stp/>
        <stp>BDP|990393331705558743</stp>
        <tr r="O34" s="89"/>
      </tp>
      <tp t="s">
        <v>#N/A Requesting Data...627588270</v>
        <stp/>
        <stp>BDP|310378113498032857</stp>
        <tr r="AB24" s="1"/>
        <tr r="F9" s="446"/>
      </tp>
      <tp>
        <v>0.37012156844139099</v>
        <stp/>
        <stp>BDP|2773479736639591037|22</stp>
        <stp>NVDA US 02/06/26 C195 Equity</stp>
        <stp>DELTA_MID_RT</stp>
        <tr r="W39" s="89"/>
      </tp>
      <tp>
        <v>-0.20622360706329346</v>
        <stp/>
        <stp>BDP|5551973401497312809|22</stp>
        <stp>AVGO US 06/18/26 P270 Equity</stp>
        <stp>DELTA_MID_RT</stp>
        <tr r="W225" s="89"/>
      </tp>
      <tp>
        <v>6.9569000000000001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Data...2344828764</v>
        <stp/>
        <stp>BDP|630836919334916088</stp>
        <tr r="X10" s="338"/>
      </tp>
      <tp t="s">
        <v>#N/A N/A</v>
        <stp/>
        <stp>BDP|894652130481491978</stp>
        <tr r="AC8" s="2"/>
        <tr r="AC9" s="2"/>
      </tp>
      <tp t="s">
        <v>#N/A Requesting Data...1058836205</v>
        <stp/>
        <stp>BDP|270487313100359854</stp>
        <tr r="V17" s="338"/>
      </tp>
      <tp>
        <v>691.97</v>
        <stp/>
        <stp>BDP|13189918054944550299|22</stp>
        <stp>SPY Equity</stp>
        <stp>LAST_PRICE</stp>
        <tr r="X3" s="1"/>
      </tp>
      <tp>
        <v>-0.33363521099090576</v>
        <stp/>
        <stp>BDP|6782369029995673063|22</stp>
        <stp>MSFT US 02/20/26 P420 Equity</stp>
        <stp>DELTA_MID_RT</stp>
        <tr r="W212" s="89"/>
      </tp>
      <tp>
        <v>-7.1098439395427704E-2</v>
        <stp/>
        <stp>BDP|3178362372691625299|22</stp>
        <stp>MRVL US 03/20/26 P80 Equity</stp>
        <stp>theta_mid_rt</stp>
        <tr r="AN12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346.3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50" s="89"/>
        <tr r="R49" s="89"/>
      </tp>
      <tp t="s">
        <v>#N/A Requesting Data...2101173128</v>
        <stp/>
        <stp>BDP|127253274771311898</stp>
        <tr r="AF20" s="1"/>
        <tr r="AG11" s="338"/>
      </tp>
      <tp t="s">
        <v>#N/A Requesting Data...3112239497</v>
        <stp/>
        <stp>BDP|824832122673497597</stp>
        <tr r="E40" s="89"/>
      </tp>
      <tp t="s">
        <v>#N/A N/A</v>
        <stp/>
        <stp>BDP|971159081933947638</stp>
        <tr r="C153" s="89"/>
      </tp>
      <tp t="s">
        <v>#N/A Requesting Data...1361716556</v>
        <stp/>
        <stp>BDP|827675090525898604</stp>
        <tr r="AF41" s="338"/>
        <tr r="AF42" s="338"/>
      </tp>
      <tp t="s">
        <v>#N/A Requesting Data...4065348123</v>
        <stp/>
        <stp>BDP|782705090920373269</stp>
        <tr r="D129" s="89"/>
      </tp>
      <tp t="s">
        <v>#N/A Requesting Data...2703865528</v>
        <stp/>
        <stp>BDP|404252579678701218</stp>
        <tr r="T10" s="2"/>
      </tp>
      <tp t="s">
        <v>#N/A Requesting Data...1098694968</v>
        <stp/>
        <stp>BDP|747191926384069867</stp>
        <tr r="L15" s="252"/>
        <tr r="L15" s="252"/>
      </tp>
      <tp t="s">
        <v>#N/A Requesting Data...771461885</v>
        <stp/>
        <stp>BDP|250232642990829947</stp>
        <tr r="C14" s="89"/>
      </tp>
      <tp t="s">
        <v>#N/A Requesting Data...2537672092</v>
        <stp/>
        <stp>BDP|176347289857022339</stp>
        <tr r="S17" s="252"/>
      </tp>
      <tp t="s">
        <v>#N/A Requesting Data...2320902770</v>
        <stp/>
        <stp>BDP|176462091734903668</stp>
        <tr r="O204" s="89"/>
      </tp>
      <tp t="s">
        <v>#N/A Requesting Data...221565029</v>
        <stp/>
        <stp>BDP|278537766618564487</stp>
        <tr r="U17" s="338"/>
      </tp>
      <tp t="s">
        <v>#N/A N/A</v>
        <stp/>
        <stp>BDP|987924063845804559</stp>
        <tr r="E4" s="1"/>
      </tp>
      <tp t="s">
        <v>#N/A Requesting Data...1609410733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716.5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>
        <v>198.08</v>
        <stp/>
        <stp>BDP|10381440186149181728|22</stp>
        <stp>RSP Equity</stp>
        <stp>LAST_PRICE</stp>
        <tr r="I16" s="1"/>
      </tp>
      <tp t="s">
        <v>#N/A N/A</v>
        <stp/>
        <stp>BDP|887987616640012698</stp>
        <tr r="AB12" s="1"/>
      </tp>
      <tp t="s">
        <v>#N/A Requesting Data...1771238793</v>
        <stp/>
        <stp>BDP|574984962441135052</stp>
        <tr r="Q52" s="338"/>
      </tp>
      <tp t="s">
        <v>#N/A Requesting Data...3577334910</v>
        <stp/>
        <stp>BDP|364330932177526925</stp>
        <tr r="S37" s="338"/>
      </tp>
      <tp t="s">
        <v>#N/A N/A</v>
        <stp/>
        <stp>BDP|308105164449948089</stp>
        <tr r="K27" s="1"/>
      </tp>
      <tp>
        <v>33.44</v>
        <stp/>
        <stp>BDP|18329643987132492211|22</stp>
        <stp>ASHR Equity</stp>
        <stp>LAST_PRICE</stp>
        <tr r="I14" s="1"/>
        <tr r="H6" s="252"/>
        <tr r="H6" s="25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Data...3045545842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Data...541327154</v>
        <stp/>
        <stp>BDP|321567796020124549</stp>
        <tr r="F43" s="446"/>
      </tp>
      <tp t="s">
        <v>#N/A Requesting Data...3250885589</v>
        <stp/>
        <stp>BDP|748281786590893378</stp>
        <tr r="AA160" s="89"/>
        <tr r="Z160" s="89"/>
      </tp>
      <tp>
        <v>0.4472581148147583</v>
        <stp/>
        <stp>BDP|3069894195613271321|22</stp>
        <stp>MSFT US 02/20/26 C435 Equity</stp>
        <stp>DELTA_MID_RT</stp>
        <tr r="W204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43.25</v>
        <stp/>
        <stp>BDP|16955313478604069014|22</stp>
        <stp>XLU Equity</stp>
        <stp>LAST PRICE</stp>
        <tr r="I42" s="338"/>
      </tp>
      <tp t="s">
        <v>#N/A Requesting Data...1111877715</v>
        <stp/>
        <stp>BDP|938081193165986446</stp>
        <tr r="U46" s="338"/>
      </tp>
      <tp>
        <v>94.2</v>
        <stp/>
        <stp>BDP|12455594618882884319|22</stp>
        <stp>GDX Equity</stp>
        <stp>LAST_PRICE</stp>
        <tr r="I18" s="1"/>
      </tp>
      <tp t="s">
        <v>#N/A Requesting Data...1627250918</v>
        <stp/>
        <stp>BDP|345620769730348823</stp>
        <tr r="G20" s="446"/>
      </tp>
      <tp t="e">
        <v>#N/A</v>
        <stp/>
        <stp>BDH|108644891293144408</stp>
        <tr r="AU50" s="338"/>
        <tr r="AU32" s="338"/>
        <tr r="AU46" s="338"/>
        <tr r="AU8" s="338"/>
      </tp>
      <tp t="s">
        <v>#N/A Requesting Data...2561895073</v>
        <stp/>
        <stp>BDP|493910466490440711</stp>
        <tr r="T13" s="2"/>
        <tr r="O63" s="89"/>
      </tp>
      <tp t="s">
        <v>#N/A N/A</v>
        <stp/>
        <stp>BDP|771655587750732627</stp>
        <tr r="AI21" s="1"/>
      </tp>
      <tp t="s">
        <v>USD</v>
        <stp/>
        <stp>BDP|5876029209403858680|22</stp>
        <stp>TSM US 06/18/26 C340 Equity</stp>
        <stp>QUOTED_CURRENCY_REALTIME</stp>
        <tr r="G19" s="2"/>
      </tp>
      <tp>
        <v>-2.7517000213265419E-2</v>
        <stp/>
        <stp>BDP|1593024835823764098|22</stp>
        <stp>AMAT US 01/23/26 P280 Equity</stp>
        <stp>DELTA_MID_RT</stp>
        <tr r="W56" s="89"/>
      </tp>
      <tp>
        <v>90.31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N/A</v>
        <stp/>
        <stp>BDP|410104351027872819</stp>
        <tr r="AB25" s="1"/>
      </tp>
      <tp t="s">
        <v>#N/A Requesting Data...1719212058</v>
        <stp/>
        <stp>BDP|764078797243992127</stp>
        <tr r="D56" s="89"/>
      </tp>
      <tp t="s">
        <v>#N/A Requesting Data...1282712983</v>
        <stp/>
        <stp>BDP|237201852408926413</stp>
        <tr r="U35" s="338"/>
      </tp>
      <tp t="s">
        <v>#N/A Requesting Data...2491191243</v>
        <stp/>
        <stp>BDP|410647168382881996</stp>
        <tr r="V54" s="338"/>
      </tp>
      <tp t="s">
        <v>#N/A Requesting Data...611508268</v>
        <stp/>
        <stp>BDP|981114986491900309</stp>
        <tr r="F8" s="252"/>
      </tp>
      <tp t="s">
        <v>#N/A Requesting Data...3735022508</v>
        <stp/>
        <stp>BDP|158907810677526447</stp>
        <tr r="D18" s="2"/>
        <tr r="C197" s="89"/>
      </tp>
      <tp t="s">
        <v>#N/A Requesting Data...2714557565</v>
        <stp/>
        <stp>BDP|612746655750406928</stp>
        <tr r="S16" s="338"/>
        <tr r="S38" s="338"/>
      </tp>
      <tp t="s">
        <v>#N/A Requesting Data...3163448452</v>
        <stp/>
        <stp>BDP|150228317830515823</stp>
        <tr r="T81" s="89"/>
      </tp>
      <tp t="s">
        <v>#N/A Real Time</v>
        <stp/>
        <stp>BDP|9931751547643048436|22</stp>
        <stp>4OK5C 21300 Index</stp>
        <stp>bid</stp>
        <tr r="K115" s="89"/>
      </tp>
      <tp>
        <v>331.3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78.92</v>
        <stp/>
        <stp>BDP|15428137786848034213|22</stp>
        <stp>MRVL Equity</stp>
        <stp>LAST PRICE</stp>
        <tr r="G37" s="338"/>
      </tp>
      <tp>
        <v>39.61</v>
        <stp/>
        <stp>BDP|15189910301226923788|22</stp>
        <stp>FXI Equity</stp>
        <stp>LAST_PRICE</stp>
        <tr r="H9" s="252"/>
        <tr r="H9" s="252"/>
      </tp>
      <tp>
        <v>78.92</v>
        <stp/>
        <stp>BDP|14735743812855208855|22</stp>
        <stp>MRVL Equity</stp>
        <stp>LAST_PRICE</stp>
        <tr r="I36" s="1"/>
      </tp>
      <tp>
        <v>3.85</v>
        <stp/>
        <stp>BDP|2655392201055061554|22</stp>
        <stp>INTC US 07/17/26 P40 Equity</stp>
        <stp>ask</stp>
        <tr r="Q18" s="2"/>
        <tr r="L197" s="89"/>
      </tp>
      <tp>
        <v>11.45</v>
        <stp/>
        <stp>BDP|2947614605786602114|22</stp>
        <stp>GDX US 09/18/26 C105 Equity</stp>
        <stp>ask</stp>
        <tr r="L13" s="89"/>
      </tp>
      <tp>
        <v>191.13</v>
        <stp/>
        <stp>BDP|18083567340910719726|22</stp>
        <stp>NVDA Equity</stp>
        <stp>LAST PRICE</stp>
        <tr r="G14" s="338"/>
        <tr r="G35" s="338"/>
      </tp>
      <tp t="s">
        <v>#N/A Invalid Security</v>
        <stp/>
        <stp>BDP|1624133834498536761|22</stp>
        <stp>-4,7839018528775 Index</stp>
        <stp>mid</stp>
        <tr r="L1" s="2"/>
      </tp>
      <tp>
        <v>7.38</v>
        <stp/>
        <stp>BDP|1603579272794795324|22</stp>
        <stp>MRVL US 03/20/26 P80 Equity</stp>
        <stp>mid</stp>
        <tr r="L12" s="2"/>
      </tp>
      <tp t="s">
        <v>#N/A Real Time</v>
        <stp/>
        <stp>BDP|8340553546063687451|22</stp>
        <stp>4OK5C 21650 Index</stp>
        <stp>DELTA_MID_RT</stp>
        <tr r="W116" s="89"/>
      </tp>
      <tp>
        <v>3.7</v>
        <stp/>
        <stp>BDP|3366296364494691481|22</stp>
        <stp>INTC US 07/17/26 C60 Equity</stp>
        <stp>mid</stp>
        <tr r="L16" s="2"/>
      </tp>
      <tp>
        <v>191.13</v>
        <stp/>
        <stp>BDP|10556089213855348182|22</stp>
        <stp>NVDA Equity</stp>
        <stp>LAST_PRICE</stp>
        <tr r="I35" s="1"/>
      </tp>
      <tp t="s">
        <v>USD</v>
        <stp/>
        <stp>BDP|4232577079069091557|22</stp>
        <stp>GDX US 09/18/26 C105 Equity</stp>
        <stp>QUOTED_CURRENCY_REALTIME</stp>
        <tr r="F13" s="89"/>
      </tp>
      <tp>
        <v>103.87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53.44</v>
        <stp/>
        <stp>BDP|11210988692762470107|22</stp>
        <stp>XLF Equity</stp>
        <stp>LAST_PRICE</stp>
        <tr r="I38" s="1"/>
      </tp>
      <tp>
        <v>259.48</v>
        <stp/>
        <stp>BDP|17831911536214693857|22</stp>
        <stp>AAPL Equity</stp>
        <stp>LAST_PRICE</stp>
        <tr r="I20" s="1"/>
      </tp>
      <tp t="s">
        <v>#N/A Real Time</v>
        <stp/>
        <stp>BDP|7909497283026172618|22</stp>
        <stp>4OK5C 21300 Index</stp>
        <stp>DELTA_MID_RT</stp>
        <tr r="W115" s="89"/>
      </tp>
      <tp>
        <v>46.47</v>
        <stp/>
        <stp>BDP|10275830506276374754|22</stp>
        <stp>INTC Equity</stp>
        <stp>LAST_PRICE</stp>
        <tr r="I34" s="1"/>
      </tp>
      <tp>
        <v>-1.1499886400997639E-2</v>
        <stp/>
        <stp>BDP|5598166511208398697|22</stp>
        <stp>ASHR US 02/20/26 C35 Equity</stp>
        <stp>theta_mid_rt</stp>
        <tr r="AN4" s="2"/>
      </tp>
      <tp>
        <v>169.56</v>
        <stp/>
        <stp>BDP|16076910053857732698|22</stp>
        <stp>BABA Equity</stp>
        <stp>LAST_PRICE</stp>
        <tr r="I12" s="1"/>
      </tp>
      <tp>
        <v>3.67</v>
        <stp/>
        <stp>BDP|2917703585590040909|22</stp>
        <stp>INTC US 07/17/26 P40 Equity</stp>
        <stp>mid</stp>
        <tr r="L18" s="2"/>
      </tp>
      <tp>
        <v>3.5</v>
        <stp/>
        <stp>BDP|6431933654204043778|22</stp>
        <stp>INTC US 07/17/26 P40 Equity</stp>
        <stp>bid</stp>
        <tr r="P18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72.400000000000006</v>
        <stp/>
        <stp>BDP|16675559367525942243|22</stp>
        <stp>TTE Equity</stp>
        <stp>LAST PRICE</stp>
        <tr r="I29" s="338"/>
      </tp>
      <tp>
        <v>0.51958262920379639</v>
        <stp/>
        <stp>BDP|16687792746206833445|22</stp>
        <stp>TSM US 06/18/26 C340 Equity</stp>
        <stp>DELTA_MID_RT</stp>
        <tr r="AF19" s="2"/>
      </tp>
      <tp>
        <v>4117.9489999999996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99.48</v>
        <stp/>
        <stp>BDP|11576966289528241643|22</stp>
        <stp>HOOD Equity</stp>
        <stp>LAST PRICE</stp>
        <tr r="L5" s="446"/>
        <tr r="L6" s="446"/>
      </tp>
      <tp>
        <v>0.5324673056602478</v>
        <stp/>
        <stp>BDP|15150595801257451367|22</stp>
        <stp>TSM US 07/17/26 C340 Equity</stp>
        <stp>DELTA_MID_RT</stp>
        <tr r="W19" s="89"/>
      </tp>
      <tp>
        <v>391.84</v>
        <stp/>
        <stp>BDP|13530810646219131800|22</stp>
        <stp>LITE Equity</stp>
        <stp>LAST_PRICE</stp>
        <tr r="I28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263.64</v>
        <stp/>
        <stp>BDP|13659659385475398852|22</stp>
        <stp>ACN Equity</stp>
        <stp>LAST PRICE</stp>
        <tr r="L8" s="446"/>
      </tp>
      <tp>
        <v>7.5</v>
        <stp/>
        <stp>BDP|8734482328934403813|22</stp>
        <stp>MRVL US 03/20/26 P80 Equity</stp>
        <stp>ask</stp>
        <tr r="Q12" s="2"/>
        <tr r="L62" s="89"/>
      </tp>
      <tp>
        <v>331.3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5.95</v>
        <stp/>
        <stp>BDP|9317551536395983431|22</stp>
        <stp>INTC US 07/17/26 C50 Equity</stp>
        <stp>bid</stp>
        <tr r="P17" s="2"/>
        <tr r="K196" s="89"/>
      </tp>
      <tp>
        <v>84.81</v>
        <stp/>
        <stp>BDP|3517880411788471110|22</stp>
        <stp>COPX EQUITY</stp>
        <stp>LAST_PRICE</stp>
        <tr r="I9" s="1"/>
      </tp>
      <tp>
        <v>3.55</v>
        <stp/>
        <stp>BDP|8500678922565396001|22</stp>
        <stp>INTC US 07/17/26 C60 Equity</stp>
        <stp>bid</stp>
        <tr r="P16" s="2"/>
        <tr r="K195" s="89"/>
      </tp>
      <tp>
        <v>0.68149912357330322</v>
        <stp/>
        <stp>BDP|1115882164603689622|22</stp>
        <stp>META US 07/17/26 C670 Equity</stp>
        <stp>DELTA_MID_RT</stp>
        <tr r="W26" s="89"/>
        <tr r="W170" s="89"/>
      </tp>
      <tp>
        <v>5001.84</v>
        <stp/>
        <stp>BDP|13402169581729532440|22</stp>
        <stp>BKNG Equity</stp>
        <stp>LAST PRICE</stp>
        <tr r="G12" s="338"/>
      </tp>
      <tp>
        <v>0.33752086758613586</v>
        <stp/>
        <stp>BDP|17478839230977938286|22</stp>
        <stp>TSM US 06/18/26 C380 Equity</stp>
        <stp>DELTA_MID_RT</stp>
        <tr r="AF20" s="2"/>
      </tp>
      <tp>
        <v>0.51702898740768433</v>
        <stp/>
        <stp>BDP|4089992193290453877|22</stp>
        <stp>LITE US 03/20/26 C420 Equity</stp>
        <stp>DELTA_MID_RT</stp>
        <tr r="AF7" s="2"/>
      </tp>
      <tp>
        <v>0.49094825983047485</v>
        <stp/>
        <stp>BDP|7125100259003145731|22</stp>
        <stp>META US 07/17/26 C750 Equity</stp>
        <stp>DELTA_MID_RT</stp>
        <tr r="AF8" s="2"/>
        <tr r="W188" s="89"/>
      </tp>
      <tp t="s">
        <v>USD</v>
        <stp/>
        <stp>BDP|6580497242376158383|22</stp>
        <stp>GDX US 09/18/26 C115 Equity</stp>
        <stp>QUOTED_CURRENCY_REALTIME</stp>
        <tr r="F14" s="89"/>
      </tp>
      <tp>
        <v>0.27131485939025879</v>
        <stp/>
        <stp>BDP|9423536240340943551|22</stp>
        <stp>AAPL US 04/17/26 C280 Equity</stp>
        <stp>DELTA_MID_RT</stp>
        <tr r="AF15" s="2"/>
        <tr r="W8" s="89"/>
      </tp>
      <tp>
        <v>0.02</v>
        <stp/>
        <stp>BDP|9546820502805748786|22</stp>
        <stp>QQQ US 01/30/26 P620 Equity</stp>
        <stp>ask</stp>
        <tr r="L81" s="89"/>
      </tp>
      <tp>
        <v>212.29</v>
        <stp/>
        <stp>BDP|18434337130911834676|22</stp>
        <stp>CRM Equity</stp>
        <stp>LAST PRICE</stp>
        <tr r="G31" s="338"/>
        <tr r="G32" s="338"/>
        <tr r="L9" s="446"/>
      </tp>
      <tp>
        <v>330.56</v>
        <stp/>
        <stp>BDP|13113113388917834281|22</stp>
        <stp>TSM Equity</stp>
        <stp>LAST_PRICE</stp>
        <tr r="I33" s="1"/>
      </tp>
      <tp t="s">
        <v>#N/A Real Time</v>
        <stp/>
        <stp>BDP|16744070427508501583|22</stp>
        <stp>QQQ US 01/15/26 P622 Equity</stp>
        <stp>DELTA_MID_RT</stp>
        <tr r="W69" s="89"/>
      </tp>
      <tp>
        <v>338.53</v>
        <stp/>
        <stp>BDP|16760158171648826820|22</stp>
        <stp>GOOG Equity</stp>
        <stp>LAST_PRICE</stp>
        <tr r="I19" s="1"/>
      </tp>
      <tp>
        <v>0.12</v>
        <stp/>
        <stp>BDP|9704315770915911503|22</stp>
        <stp>ASHR US 02/20/26 C35 Equity</stp>
        <stp>bid</stp>
        <tr r="P4" s="2"/>
      </tp>
      <tp>
        <v>8</v>
        <stp/>
        <stp>BDP|7029302373160148016|22</stp>
        <stp>GDX US 09/18/26 C115 Equity</stp>
        <stp>bid</stp>
        <tr r="K14" s="89"/>
      </tp>
      <tp t="s">
        <v>#N/A Real Time</v>
        <stp/>
        <stp>BDP|3703572431849033805|22</stp>
        <stp>3OF5C    22500 Index</stp>
        <stp>DELTA_MID_RT</stp>
        <tr r="W109" s="89"/>
      </tp>
      <tp>
        <v>23.74</v>
        <stp/>
        <stp>BDP|12167170999494993919|22</stp>
        <stp>KHC Equity</stp>
        <stp>LAST_PRICE</stp>
        <tr r="I39" s="1"/>
      </tp>
      <tp>
        <v>5685</v>
        <stp/>
        <stp>BDP|18259571086573127790|22</stp>
        <stp>HCTA Index</stp>
        <stp>LAST PRICE</stp>
        <tr r="L12" s="446"/>
      </tp>
      <tp>
        <v>2.98</v>
        <stp/>
        <stp>BDP|5295851568697877083|22</stp>
        <stp>MRVL US 03/20/26 P70 Equity</stp>
        <stp>bid</stp>
        <tr r="P13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0.02</v>
        <stp/>
        <stp>BDP|4762822947348476553|22</stp>
        <stp>QQQ US 01/30/26 P619 Equity</stp>
        <stp>ask</stp>
        <tr r="L82" s="89"/>
      </tp>
      <tp>
        <v>0.24</v>
        <stp/>
        <stp>BDP|8465872380432047250|22</stp>
        <stp>ASHR US 02/20/26 C35 Equity</stp>
        <stp>ask</stp>
        <tr r="Q4" s="2"/>
      </tp>
      <tp>
        <v>-0.41993755102157593</v>
        <stp/>
        <stp>BDP|5098027637962601743|22</stp>
        <stp>2OG6P 25450 Index</stp>
        <stp>DELTA_MID_RT</stp>
        <tr r="W153" s="89"/>
      </tp>
      <tp>
        <v>330.56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0.37292903661727905</v>
        <stp/>
        <stp>BDP|18231477560940764707|22</stp>
        <stp>TSM US 07/17/26 C380 Equity</stp>
        <stp>DELTA_MID_RT</stp>
        <tr r="W20" s="89"/>
      </tp>
      <tp>
        <v>4706.34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P&amp;L'!$B$12:$B$40</c:f>
              <c:strCache>
                <c:ptCount val="29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NQA</c:v>
                </c:pt>
                <c:pt idx="4">
                  <c:v>RSP</c:v>
                </c:pt>
                <c:pt idx="5">
                  <c:v>QQQ</c:v>
                </c:pt>
                <c:pt idx="6">
                  <c:v>GDX</c:v>
                </c:pt>
                <c:pt idx="7">
                  <c:v>GOOG</c:v>
                </c:pt>
                <c:pt idx="8">
                  <c:v>AAPL</c:v>
                </c:pt>
                <c:pt idx="9">
                  <c:v>AMZN</c:v>
                </c:pt>
                <c:pt idx="10">
                  <c:v>META</c:v>
                </c:pt>
                <c:pt idx="11">
                  <c:v>MSFT</c:v>
                </c:pt>
                <c:pt idx="12">
                  <c:v>IGV</c:v>
                </c:pt>
                <c:pt idx="13">
                  <c:v>000660 KP</c:v>
                </c:pt>
                <c:pt idx="14">
                  <c:v>005930 KS</c:v>
                </c:pt>
                <c:pt idx="15">
                  <c:v>EWY</c:v>
                </c:pt>
                <c:pt idx="16">
                  <c:v>LITE</c:v>
                </c:pt>
                <c:pt idx="17">
                  <c:v>CSCO</c:v>
                </c:pt>
                <c:pt idx="18">
                  <c:v>AKAM</c:v>
                </c:pt>
                <c:pt idx="19">
                  <c:v>300502 CH</c:v>
                </c:pt>
                <c:pt idx="20">
                  <c:v>AVGO</c:v>
                </c:pt>
                <c:pt idx="21">
                  <c:v>TSM</c:v>
                </c:pt>
                <c:pt idx="22">
                  <c:v>INTC</c:v>
                </c:pt>
                <c:pt idx="23">
                  <c:v>NVDA</c:v>
                </c:pt>
                <c:pt idx="24">
                  <c:v>MRVL</c:v>
                </c:pt>
                <c:pt idx="25">
                  <c:v>RIOT</c:v>
                </c:pt>
                <c:pt idx="26">
                  <c:v>XLF</c:v>
                </c:pt>
                <c:pt idx="27">
                  <c:v>KHC</c:v>
                </c:pt>
                <c:pt idx="28">
                  <c:v>XLP</c:v>
                </c:pt>
              </c:strCache>
            </c:strRef>
          </c:cat>
          <c:val>
            <c:numRef>
              <c:f>'Master P&amp;L'!$J$12:$J$40</c:f>
              <c:numCache>
                <c:formatCode>0.00%</c:formatCode>
                <c:ptCount val="29"/>
                <c:pt idx="0">
                  <c:v>-2.6915351506456187E-2</c:v>
                </c:pt>
                <c:pt idx="1">
                  <c:v>-2.7490318075042763E-2</c:v>
                </c:pt>
                <c:pt idx="2">
                  <c:v>-1.531213191990588E-2</c:v>
                </c:pt>
                <c:pt idx="3">
                  <c:v>1.4043848014355653E-3</c:v>
                </c:pt>
                <c:pt idx="4">
                  <c:v>-2.2164013701390095E-3</c:v>
                </c:pt>
                <c:pt idx="5">
                  <c:v>-1.2010866974881962E-2</c:v>
                </c:pt>
                <c:pt idx="6">
                  <c:v>-0.12761622522689386</c:v>
                </c:pt>
                <c:pt idx="7">
                  <c:v>-3.8386582413052484E-4</c:v>
                </c:pt>
                <c:pt idx="8">
                  <c:v>-1.0751048417842135E-2</c:v>
                </c:pt>
                <c:pt idx="9">
                  <c:v>-1.0052537955570151E-2</c:v>
                </c:pt>
                <c:pt idx="10">
                  <c:v>-2.9540436943831128E-2</c:v>
                </c:pt>
                <c:pt idx="11">
                  <c:v>-7.4048442906573531E-3</c:v>
                </c:pt>
                <c:pt idx="12">
                  <c:v>-2.1242007152920683E-2</c:v>
                </c:pt>
                <c:pt idx="13">
                  <c:v>5.5749128919860613E-2</c:v>
                </c:pt>
                <c:pt idx="14">
                  <c:v>-1.3648213464192649E-2</c:v>
                </c:pt>
                <c:pt idx="15">
                  <c:v>-1.6787148594377577E-2</c:v>
                </c:pt>
                <c:pt idx="16">
                  <c:v>2.7265100671140852E-2</c:v>
                </c:pt>
                <c:pt idx="17">
                  <c:v>-1.4025245441796619E-3</c:v>
                </c:pt>
                <c:pt idx="18">
                  <c:v>-2.2143935581278251E-2</c:v>
                </c:pt>
                <c:pt idx="19">
                  <c:v>6.74045801526717E-2</c:v>
                </c:pt>
                <c:pt idx="20">
                  <c:v>1.7234602243521024E-3</c:v>
                </c:pt>
                <c:pt idx="21">
                  <c:v>-2.6476218524517758E-2</c:v>
                </c:pt>
                <c:pt idx="22">
                  <c:v>-4.5006165228113404E-2</c:v>
                </c:pt>
                <c:pt idx="23">
                  <c:v>-7.1684587813619638E-3</c:v>
                </c:pt>
                <c:pt idx="24">
                  <c:v>-2.975165970002458E-2</c:v>
                </c:pt>
                <c:pt idx="25">
                  <c:v>-8.8391278727165457E-2</c:v>
                </c:pt>
                <c:pt idx="26">
                  <c:v>-2.0541549953314586E-3</c:v>
                </c:pt>
                <c:pt idx="27">
                  <c:v>2.5929127052722434E-2</c:v>
                </c:pt>
                <c:pt idx="28">
                  <c:v>1.680262997686599E-2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9</xdr:row>
      <xdr:rowOff>178594</xdr:rowOff>
    </xdr:from>
    <xdr:to>
      <xdr:col>20</xdr:col>
      <xdr:colOff>315393</xdr:colOff>
      <xdr:row>54</xdr:row>
      <xdr:rowOff>107625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AEE125B-7BFE-53C8-3539-CC3CDD713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0" y="2024063"/>
          <a:ext cx="4875487" cy="94302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2.783953819446" createdVersion="8" refreshedVersion="8" minRefreshableVersion="3" recordCount="37" xr:uid="{C35D4399-4CEF-409A-AF8E-A02DC4C552E4}">
  <cacheSource type="worksheet">
    <worksheetSource name="Tabelad"/>
  </cacheSource>
  <cacheFields count="34">
    <cacheField name="Ticker" numFmtId="172">
      <sharedItems containsBlank="1" count="188">
        <s v="BABA"/>
        <s v="BIDU"/>
        <s v="ASHR"/>
        <s v="NQA"/>
        <s v="RSP"/>
        <s v="QQQ"/>
        <s v="GDX"/>
        <s v="GOOG"/>
        <s v="AAPL"/>
        <s v="AMZN"/>
        <s v="META"/>
        <s v="MSFT"/>
        <s v="IGV"/>
        <s v="000660 KP"/>
        <s v="005930 KS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7216"/>
    </cacheField>
    <cacheField name="Price Today" numFmtId="43">
      <sharedItems containsSemiMixedTypes="0" containsString="0" containsNumber="1" minValue="15.47" maxValue="909000"/>
    </cacheField>
    <cacheField name="% Chg" numFmtId="10">
      <sharedItems containsSemiMixedTypes="0" containsString="0" containsNumber="1" minValue="-0.12761622522689386" maxValue="6.74045801526717E-2"/>
    </cacheField>
    <cacheField name="Price Yest" numFmtId="43">
      <sharedItems containsSemiMixedTypes="0" containsString="0" containsNumber="1" minValue="15.88" maxValue="901874"/>
    </cacheField>
    <cacheField name="FX" numFmtId="168">
      <sharedItems containsSemiMixedTypes="0" containsString="0" containsNumber="1" minValue="1" maxValue="1441.05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3070375" maxValue="5779710.5599999996"/>
    </cacheField>
    <cacheField name="D1 Exp %" numFmtId="198">
      <sharedItems containsSemiMixedTypes="0" containsString="0" containsNumber="1" minValue="-9.6280446494594139E-3" maxValue="2.4120679153517041E-3"/>
    </cacheField>
    <cacheField name="D1 P&amp;L bps" numFmtId="170">
      <sharedItems containsSemiMixedTypes="0" containsString="0" containsNumber="1" minValue="-1.5245525090926308" maxValue="0.30387557034892093"/>
    </cacheField>
    <cacheField name="Options Exp USD (delta adj)" numFmtId="166">
      <sharedItems containsString="0" containsBlank="1" containsNumber="1" minValue="-616785.72825193405" maxValue="12396461.762356758"/>
    </cacheField>
    <cacheField name="Option Exp %" numFmtId="10">
      <sharedItems containsString="0" containsBlank="1" containsNumber="1" minValue="-2.5740546179934057E-4" maxValue="5.1734610877927729E-3"/>
    </cacheField>
    <cacheField name="Options P&amp;L bps" numFmtId="170">
      <sharedItems containsString="0" containsBlank="1" containsNumber="1" minValue="-1.3184030226016605" maxValue="0.1694374767501837"/>
    </cacheField>
    <cacheField name="Exp" numFmtId="166">
      <sharedItems containsString="0" containsBlank="1" containsNumber="1" minValue="-23070375" maxValue="14114712.642356759"/>
    </cacheField>
    <cacheField name="Exp %" numFmtId="173">
      <sharedItems containsString="0" containsBlank="1" containsNumber="1" minValue="-9.6280446494594139E-3" maxValue="5.8905450620070172E-3"/>
    </cacheField>
    <cacheField name="P&amp;L bps" numFmtId="170">
      <sharedItems containsSemiMixedTypes="0" containsString="0" containsNumber="1" minValue="-1.7081793311864264" maxValue="0.30387557034892093"/>
    </cacheField>
    <cacheField name="xx" numFmtId="166">
      <sharedItems containsSemiMixedTypes="0" containsString="0" containsNumber="1" minValue="7.0107693158433708" maxValue="232336.5325791855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6525.600000000002"/>
    </cacheField>
    <cacheField name="Beta Adj" numFmtId="170">
      <sharedItems containsSemiMixedTypes="0" containsString="0" containsNumber="1" minValue="-1.1211468887880587" maxValue="1.3900508506027098"/>
    </cacheField>
    <cacheField name="Expo Beta Adj" numFmtId="10">
      <sharedItems containsMixedTypes="1" containsNumber="1" minValue="-2.0591261856468344E-3" maxValue="8.7215578684215981E-3"/>
    </cacheField>
    <cacheField name="Vol 10d" numFmtId="43">
      <sharedItems containsSemiMixedTypes="0" containsString="0" containsNumber="1" minValue="11.481486699069919" maxValue="146.04399685237766"/>
    </cacheField>
    <cacheField name="Beta Adj2" numFmtId="43">
      <sharedItems containsMixedTypes="1" containsNumber="1" minValue="0.36503863334655762" maxValue="2.0717568397521973"/>
    </cacheField>
    <cacheField name="Daily P&amp;L" numFmtId="166">
      <sharedItems containsSemiMixedTypes="0" containsString="0" containsNumber="1" minValue="-342419.83984294377" maxValue="68251.518731217744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8.399703E-2" maxValue="6.6666809999999998E-3"/>
    </cacheField>
    <cacheField name="Column4" numFmtId="170">
      <sharedItems containsMixedTypes="1" containsNumber="1" minValue="-0.87540294367158844" maxValue="0.21497069646556169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m/>
    <s v="USD"/>
    <s v="Long"/>
    <m/>
    <n v="3378"/>
    <n v="169.56"/>
    <n v="-2.6915351506456187E-2"/>
    <n v="174.25"/>
    <n v="1"/>
    <n v="1"/>
    <n v="572773.68000000005"/>
    <n v="2.3903775144856461E-4"/>
    <n v="-6.6117424763727728E-2"/>
    <n v="0"/>
    <n v="0"/>
    <n v="0"/>
    <n v="572773.68000000005"/>
    <n v="2.3903775144856461E-4"/>
    <n v="-6.6117424763727728E-2"/>
    <n v="21197.488552724699"/>
    <m/>
    <n v="1182.3"/>
    <n v="6.3254637432106839E-2"/>
    <n v="2.0474256612542882E-4"/>
    <n v="42.339513017527878"/>
    <n v="0.85652816295623779"/>
    <n v="-14850.205462518408"/>
    <m/>
    <s v="20/02/2026"/>
    <e v="#VALUE!"/>
    <e v="#VALUE!"/>
    <s v="12/06/2025"/>
  </r>
  <r>
    <x v="1"/>
    <x v="0"/>
    <m/>
    <s v="USD"/>
    <s v="Long"/>
    <m/>
    <n v="3510"/>
    <n v="153.18"/>
    <n v="-2.7490318075042763E-2"/>
    <n v="157.51"/>
    <n v="1"/>
    <n v="1"/>
    <n v="537661.80000000005"/>
    <n v="2.2438438112552215E-4"/>
    <n v="-6.3427625687002692E-2"/>
    <n v="0"/>
    <n v="0"/>
    <n v="0"/>
    <n v="537661.80000000005"/>
    <n v="2.2438438112552215E-4"/>
    <n v="-6.3427625687002692E-2"/>
    <n v="23464.200019584801"/>
    <m/>
    <n v="1228.5"/>
    <n v="7.1468155621435228E-2"/>
    <n v="2.3251989204483116E-4"/>
    <n v="50.96123376356072"/>
    <n v="1.0362570285797119"/>
    <n v="-14246.067157298565"/>
    <m/>
    <s v="26/02/2026"/>
    <e v="#VALUE!"/>
    <e v="#VALUE!"/>
    <s v="#N/A Field Not Applicable"/>
  </r>
  <r>
    <x v="2"/>
    <x v="0"/>
    <m/>
    <s v="USD"/>
    <s v="Long"/>
    <m/>
    <n v="21000"/>
    <n v="33.44"/>
    <n v="-1.531213191990588E-2"/>
    <n v="33.96"/>
    <n v="1"/>
    <n v="1"/>
    <n v="702240"/>
    <n v="2.9306840806169723E-4"/>
    <n v="-4.5572838574187646E-2"/>
    <n v="663737.98227310181"/>
    <n v="2.7700021906308523E-4"/>
    <n v="-3.9308659451840727E-2"/>
    <n v="1365977.9822731018"/>
    <n v="5.7006862712478251E-4"/>
    <n v="-8.4881498026028374E-2"/>
    <n v="107483.43776913876"/>
    <m/>
    <n v="14297.018355131151"/>
    <n v="4.0907720999313994E-2"/>
    <n v="6.5044580760719708E-4"/>
    <n v="11.481486699069919"/>
    <n v="1.1409956216812134"/>
    <n v="-10235.819358592857"/>
    <m/>
    <s v="#N/A N/A"/>
    <n v="-9.4228420000000007E-3"/>
    <n v="-5.3716666025537395E-2"/>
    <s v="19/12/2025"/>
  </r>
  <r>
    <x v="3"/>
    <x v="1"/>
    <m/>
    <s v="USD"/>
    <s v="Short"/>
    <m/>
    <n v="-45"/>
    <n v="25633.75"/>
    <n v="-9.752672232243853E-6"/>
    <n v="25634"/>
    <n v="1"/>
    <n v="20"/>
    <n v="-23070375"/>
    <n v="-9.6280446494594139E-3"/>
    <n v="9.3900079479781681E-4"/>
    <n v="0"/>
    <n v="0"/>
    <n v="0"/>
    <n v="-23070375"/>
    <n v="-9.6280446494594139E-3"/>
    <n v="9.3900079479781681E-4"/>
    <n v="7.0107693158433708"/>
    <m/>
    <n v="-315"/>
    <n v="-1.1211468887880587"/>
    <e v="#VALUE!"/>
    <n v="18.631353378295898"/>
    <s v="#N/A Field Not Applicable"/>
    <n v="210.90287139957687"/>
    <m/>
    <s v="#N/A Field Not Applicable"/>
    <e v="#VALUE!"/>
    <e v="#VALUE!"/>
    <s v="#N/A Field Not Applicable"/>
  </r>
  <r>
    <x v="4"/>
    <x v="1"/>
    <m/>
    <s v="USD"/>
    <s v="Short"/>
    <m/>
    <n v="-22900"/>
    <n v="198.08"/>
    <n v="-2.2164013701390095E-3"/>
    <n v="198.52"/>
    <n v="1"/>
    <n v="1"/>
    <n v="-4536032"/>
    <n v="-1.893038956990369E-3"/>
    <n v="4.20505422594789E-2"/>
    <n v="0"/>
    <n v="0"/>
    <n v="0"/>
    <n v="-4536032"/>
    <n v="-1.893038956990369E-3"/>
    <n v="4.20505422594789E-2"/>
    <n v="18145.426893174474"/>
    <m/>
    <n v="-8014.9999999999991"/>
    <n v="-0.15897626719668559"/>
    <n v="-1.8861595860525002E-3"/>
    <n v="13.43670327414139"/>
    <n v="0.99636596441268921"/>
    <n v="9444.6992543205561"/>
    <m/>
    <s v="#N/A N/A"/>
    <e v="#VALUE!"/>
    <e v="#VALUE!"/>
    <s v="22/12/2025"/>
  </r>
  <r>
    <x v="4"/>
    <x v="1"/>
    <m/>
    <s v="USD"/>
    <s v="Short"/>
    <m/>
    <n v="-25000"/>
    <n v="198.08"/>
    <n v="4.7681850461602782E-3"/>
    <n v="197.14"/>
    <n v="1"/>
    <n v="1"/>
    <n v="-4952000"/>
    <n v="-2.0666364159283505E-3"/>
    <n v="-9.8073416345552486E-2"/>
    <n v="0"/>
    <n v="0"/>
    <n v="0"/>
    <n v="-4952000"/>
    <n v="-2.0666364159283505E-3"/>
    <n v="-9.8073416345552486E-2"/>
    <n v="18145.426893174474"/>
    <m/>
    <n v="-8750"/>
    <n v="-0.17355487685227683"/>
    <n v="-2.0591261856468344E-3"/>
    <n v="13.43670327414139"/>
    <n v="0.99636596441268921"/>
    <n v="-22027.633235067529"/>
    <m/>
    <s v="#N/A N/A"/>
    <e v="#VALUE!"/>
    <e v="#VALUE!"/>
    <s v="22/12/2025"/>
  </r>
  <r>
    <x v="5"/>
    <x v="1"/>
    <m/>
    <s v="USD"/>
    <s v="Short"/>
    <m/>
    <m/>
    <n v="621.87"/>
    <n v="-1.2010866974881962E-2"/>
    <n v="629.42999999999995"/>
    <n v="1"/>
    <n v="1"/>
    <n v="0"/>
    <n v="0"/>
    <n v="0"/>
    <m/>
    <m/>
    <n v="-0.19406016425821546"/>
    <m/>
    <m/>
    <n v="-0.19406016425821546"/>
    <n v="5779.7387862414971"/>
    <m/>
    <n v="0"/>
    <n v="0"/>
    <n v="0"/>
    <n v="17.634642743666596"/>
    <n v="1.0010099411010742"/>
    <n v="0"/>
    <m/>
    <s v="#N/A N/A"/>
    <n v="-5.846548E-3"/>
    <n v="0"/>
    <s v="22/12/2025"/>
  </r>
  <r>
    <x v="6"/>
    <x v="2"/>
    <m/>
    <s v="USD"/>
    <m/>
    <m/>
    <n v="26510"/>
    <n v="94.2"/>
    <n v="-0.12761622522689386"/>
    <n v="107.98"/>
    <n v="1"/>
    <n v="1"/>
    <n v="2497242"/>
    <n v="1.0421832101344397E-3"/>
    <n v="-1.5245525090926308"/>
    <n v="0"/>
    <n v="0"/>
    <n v="-0.18362682209379555"/>
    <n v="2497242"/>
    <n v="1.0421832101344397E-3"/>
    <n v="-1.7081793311864264"/>
    <n v="38155.479394904454"/>
    <m/>
    <n v="9278.5"/>
    <n v="0.60704638333875094"/>
    <n v="1.0328805231560464E-3"/>
    <n v="93.196110232548179"/>
    <n v="0.9910738468170166"/>
    <n v="-342419.83984294377"/>
    <m/>
    <s v="#N/A N/A"/>
    <n v="-8.399703E-2"/>
    <n v="-0.87540294367158844"/>
    <s v="22/12/2025"/>
  </r>
  <r>
    <x v="6"/>
    <x v="2"/>
    <m/>
    <s v="USD"/>
    <m/>
    <m/>
    <n v="-6510"/>
    <n v="94.2"/>
    <n v="2.0474488137796509E-2"/>
    <n v="92.31"/>
    <n v="1"/>
    <n v="1"/>
    <n v="-613242"/>
    <n v="-2.5592654462373453E-4"/>
    <n v="-5.1348319462723821E-2"/>
    <m/>
    <m/>
    <m/>
    <n v="-613242"/>
    <n v="-2.5592654462373453E-4"/>
    <n v="-5.1348319462723821E-2"/>
    <n v="38155.479394904454"/>
    <m/>
    <n v="-2278.4999999999995"/>
    <n v="-0.14907099040117952"/>
    <n v="-2.5364210508283143E-4"/>
    <n v="93.196110232548179"/>
    <n v="0.9910738468170166"/>
    <n v="-11533.012619614463"/>
    <m/>
    <s v="#N/A N/A"/>
    <n v="-8.399703E-2"/>
    <n v="0.21497069646556169"/>
    <s v="22/12/2025"/>
  </r>
  <r>
    <x v="7"/>
    <x v="3"/>
    <m/>
    <s v="USD"/>
    <s v="Long"/>
    <m/>
    <n v="14500"/>
    <n v="338.53"/>
    <n v="-3.8386582413052484E-4"/>
    <n v="338.66"/>
    <n v="1"/>
    <n v="1"/>
    <n v="4908685"/>
    <n v="2.0485596072942762E-3"/>
    <n v="-7.8667399919759851E-3"/>
    <n v="0"/>
    <n v="0"/>
    <n v="0"/>
    <n v="4908685"/>
    <n v="2.0485596072942762E-3"/>
    <n v="-7.8667399919759851E-3"/>
    <n v="10617.216078338701"/>
    <m/>
    <n v="5075"/>
    <n v="0.26832674851583288"/>
    <n v="2.116348388902619E-3"/>
    <n v="20.95730073445992"/>
    <n v="1.0330909490585327"/>
    <n v="-1766.89738928161"/>
    <m/>
    <s v="04/02/2026"/>
    <n v="-1.192939E-2"/>
    <n v="-0.24438066493660265"/>
    <s v="08/12/2025"/>
  </r>
  <r>
    <x v="8"/>
    <x v="3"/>
    <m/>
    <s v="USD"/>
    <s v="Long"/>
    <m/>
    <n v="9100"/>
    <n v="259.48"/>
    <n v="-1.0751048417842135E-2"/>
    <n v="262.3"/>
    <n v="1"/>
    <n v="1"/>
    <n v="2361268"/>
    <n v="9.8543667943584495E-4"/>
    <n v="-0.10709617064934006"/>
    <n v="2417922.1990585332"/>
    <n v="1.0090803851889988E-3"/>
    <n v="0.1694374767501837"/>
    <n v="4779190.1990585327"/>
    <n v="1.9945170646248436E-3"/>
    <n v="6.2341306100843638E-2"/>
    <n v="13851.727142747031"/>
    <m/>
    <n v="6446.418104171752"/>
    <n v="0.35174339552096812"/>
    <n v="2.1361557925342416E-3"/>
    <n v="28.21682716158692"/>
    <n v="1.0710140466690063"/>
    <n v="-24054.175492693012"/>
    <m/>
    <s v="01/05/2026"/>
    <n v="-1.4286829999999999E-2"/>
    <n v="-0.28495326234394153"/>
    <s v="09/02/2026"/>
  </r>
  <r>
    <x v="8"/>
    <x v="3"/>
    <m/>
    <s v="USD"/>
    <s v="Long"/>
    <m/>
    <n v="-9100"/>
    <n v="259.48"/>
    <n v="1.7568627450980534E-2"/>
    <n v="255"/>
    <n v="1"/>
    <n v="1"/>
    <n v="-2361268"/>
    <n v="-9.8543667943584495E-4"/>
    <n v="-0.17013859734363357"/>
    <m/>
    <m/>
    <m/>
    <n v="-2361268"/>
    <n v="-9.8543667943584495E-4"/>
    <n v="-0.17013859734363357"/>
    <n v="13851.727142747031"/>
    <m/>
    <n v="-3184.9999999999995"/>
    <n v="-0.17378685288955859"/>
    <n v="-1.0554165257786526E-3"/>
    <n v="28.21682716158692"/>
    <n v="1.0710140466690063"/>
    <n v="-38213.725605413267"/>
    <m/>
    <s v="01/05/2026"/>
    <n v="-1.4286829999999999E-2"/>
    <n v="0.1407876631486441"/>
    <s v="09/02/2026"/>
  </r>
  <r>
    <x v="9"/>
    <x v="3"/>
    <m/>
    <s v="USD"/>
    <s v="Long"/>
    <m/>
    <n v="16335"/>
    <n v="239.3"/>
    <n v="-1.0052537955570151E-2"/>
    <n v="241.73"/>
    <n v="1"/>
    <n v="1"/>
    <n v="3908965.5"/>
    <n v="1.6313429828165534E-3"/>
    <n v="-0.16565664221663975"/>
    <n v="0"/>
    <n v="0"/>
    <n v="0"/>
    <n v="3908965.5"/>
    <n v="1.6313429828165534E-3"/>
    <n v="-0.16565664221663975"/>
    <n v="15019.833510238193"/>
    <m/>
    <n v="5717.25"/>
    <n v="0.2972665351887599"/>
    <n v="2.0703444946505666E-3"/>
    <n v="29.155515505441731"/>
    <n v="1.2691043615341187"/>
    <n v="-37207.06276657022"/>
    <m/>
    <s v="05/02/2026"/>
    <n v="-7.5290290000000005E-3"/>
    <n v="-0.12282428626572332"/>
    <s v="#N/A Field Not Applicable"/>
  </r>
  <r>
    <x v="10"/>
    <x v="3"/>
    <m/>
    <s v="USD"/>
    <s v="Long"/>
    <m/>
    <n v="4000"/>
    <n v="716.5"/>
    <n v="-2.9540436943831128E-2"/>
    <n v="738.31"/>
    <n v="1"/>
    <n v="1"/>
    <n v="2866000"/>
    <n v="1.1960783457291302E-3"/>
    <n v="-0.36408190816960589"/>
    <n v="5398446.1263567209"/>
    <n v="2.2529534236987361E-3"/>
    <n v="-0.94648150112970653"/>
    <n v="8264446.1263567209"/>
    <n v="3.449031769427866E-3"/>
    <n v="-1.3105634092993124"/>
    <n v="5016.3938018143754"/>
    <m/>
    <n v="4037.0637044310565"/>
    <n v="1.3900508506027098"/>
    <n v="4.0641570315410186E-3"/>
    <n v="64.48422367919423"/>
    <n v="1.1783472299575806"/>
    <n v="-81774.073337329057"/>
    <m/>
    <s v="30/04/2026"/>
    <e v="#VALUE!"/>
    <e v="#VALUE!"/>
    <s v="15/12/2025"/>
  </r>
  <r>
    <x v="10"/>
    <x v="3"/>
    <m/>
    <s v="USD"/>
    <s v="Long"/>
    <m/>
    <n v="1750"/>
    <n v="716.5"/>
    <n v="-1.1123992491995027E-2"/>
    <n v="724.56"/>
    <n v="1"/>
    <n v="1"/>
    <n v="1253875"/>
    <n v="5.2328427625649441E-4"/>
    <n v="-5.8864916491658294E-2"/>
    <m/>
    <m/>
    <m/>
    <n v="1253875"/>
    <n v="5.2328427625649441E-4"/>
    <n v="-5.8864916491658294E-2"/>
    <n v="5016.3938018143754"/>
    <m/>
    <n v="612.5"/>
    <n v="0.21089737698705657"/>
    <n v="6.1661057740719754E-4"/>
    <n v="64.48422367919423"/>
    <n v="1.1783472299575806"/>
    <n v="-13221.266671515607"/>
    <m/>
    <s v="30/04/2026"/>
    <e v="#VALUE!"/>
    <e v="#VALUE!"/>
    <s v="15/12/2025"/>
  </r>
  <r>
    <x v="11"/>
    <x v="3"/>
    <m/>
    <s v="USD"/>
    <s v="Long"/>
    <m/>
    <n v="4180"/>
    <n v="430.29"/>
    <n v="-7.4048442906573531E-3"/>
    <n v="433.5"/>
    <n v="1"/>
    <n v="1"/>
    <n v="1798612.2000000002"/>
    <n v="7.5062146014802215E-4"/>
    <n v="-5.5996999397502509E-2"/>
    <n v="0"/>
    <n v="0"/>
    <n v="0"/>
    <n v="1798612.2000000002"/>
    <n v="7.5062146014802215E-4"/>
    <n v="-5.5996999397502509E-2"/>
    <n v="8353.0785261102974"/>
    <m/>
    <n v="1463"/>
    <n v="0.30712744209814818"/>
    <n v="7.6540095585829839E-4"/>
    <n v="65.46627473988454"/>
    <n v="1.019689679145813"/>
    <n v="-12577.122434956551"/>
    <m/>
    <s v="30/04/2026"/>
    <e v="#VALUE!"/>
    <e v="#VALUE!"/>
    <s v="19/02/2026"/>
  </r>
  <r>
    <x v="12"/>
    <x v="3"/>
    <m/>
    <s v="USD"/>
    <s v="Long"/>
    <m/>
    <n v="-13000"/>
    <n v="90.31"/>
    <n v="-2.1242007152920683E-2"/>
    <n v="92.27"/>
    <n v="1"/>
    <n v="1"/>
    <n v="-1174030"/>
    <n v="-4.8996226805176919E-4"/>
    <n v="0.10633662333977019"/>
    <n v="0"/>
    <n v="0"/>
    <n v="0"/>
    <n v="-1174030"/>
    <n v="-4.8996226805176919E-4"/>
    <n v="0.10633662333977019"/>
    <n v="39798.983047281581"/>
    <m/>
    <n v="-4549.9999999999982"/>
    <n v="-0.1033665501871506"/>
    <n v="-4.8958682108142125E-4"/>
    <n v="33.754942183010364"/>
    <n v="0.99923372268676758"/>
    <n v="23883.578503383113"/>
    <m/>
    <s v="#N/A N/A"/>
    <n v="-5.7439989999999996E-3"/>
    <n v="2.8143427777270944E-2"/>
    <s v="21/03/2024"/>
  </r>
  <r>
    <x v="12"/>
    <x v="3"/>
    <m/>
    <s v="USD"/>
    <s v="Long"/>
    <m/>
    <n v="-13000"/>
    <n v="90.31"/>
    <n v="-1.0843373493975794E-2"/>
    <n v="91.3"/>
    <n v="1"/>
    <n v="1"/>
    <n v="-1174030"/>
    <n v="-4.8996226805176919E-4"/>
    <n v="5.3710845462434834E-2"/>
    <m/>
    <m/>
    <m/>
    <n v="-1174030"/>
    <n v="-4.8996226805176919E-4"/>
    <n v="5.3710845462434834E-2"/>
    <n v="39798.983047281581"/>
    <m/>
    <n v="-4549.9999999999982"/>
    <n v="-0.1033665501871506"/>
    <n v="-4.8958682108142125E-4"/>
    <n v="33.754942183010364"/>
    <n v="0.99923372268676758"/>
    <n v="12063.644244055731"/>
    <m/>
    <s v="#N/A N/A"/>
    <n v="-5.7439989999999996E-3"/>
    <n v="2.8143427777270944E-2"/>
    <s v="21/03/2024"/>
  </r>
  <r>
    <x v="13"/>
    <x v="4"/>
    <m/>
    <s v="KRW"/>
    <s v="Long"/>
    <m/>
    <n v="2186"/>
    <n v="909000"/>
    <n v="5.5749128919860613E-2"/>
    <n v="861000"/>
    <n v="1441.05"/>
    <n v="1"/>
    <n v="1378907.046944936"/>
    <n v="5.7546436134826905E-4"/>
    <n v="0.30387557034892093"/>
    <n v="0"/>
    <n v="0"/>
    <n v="0"/>
    <n v="1378907.046944936"/>
    <n v="5.7546436134826905E-4"/>
    <n v="0.30387557034892093"/>
    <n v="5698.0070708767325"/>
    <m/>
    <n v="0.53093230630443078"/>
    <n v="0.23140813874237909"/>
    <n v="9.4036803927229052E-4"/>
    <n v="64.339870000000005"/>
    <n v="1.6341030000000001"/>
    <n v="68251.518731217744"/>
    <m/>
    <s v="23/04/2026"/>
    <e v="#VALUE!"/>
    <e v="#VALUE!"/>
    <s v="26/02/2026"/>
  </r>
  <r>
    <x v="13"/>
    <x v="4"/>
    <m/>
    <s v="KRW"/>
    <s v="Long"/>
    <m/>
    <n v="-793"/>
    <n v="909000"/>
    <n v="7.9013254623150342E-3"/>
    <n v="901874"/>
    <n v="1441.05"/>
    <n v="1"/>
    <n v="-500216.50879566988"/>
    <n v="-2.0875719970227694E-4"/>
    <n v="-1.6365278383701047E-2"/>
    <n v="0"/>
    <n v="0"/>
    <n v="0"/>
    <n v="-500216.50879566988"/>
    <n v="-2.0875719970227694E-4"/>
    <n v="-1.6365278383701047E-2"/>
    <n v="5698.0070708767325"/>
    <m/>
    <n v="-0.19260261614794771"/>
    <n v="-8.3946319315053364E-2"/>
    <n v="-3.4113076630508989E-4"/>
    <n v="64.339870000000005"/>
    <n v="1.6341030000000001"/>
    <n v="-3675.6989147374911"/>
    <m/>
    <s v="23/04/2026"/>
    <e v="#VALUE!"/>
    <e v="#VALUE!"/>
    <s v="26/02/2026"/>
  </r>
  <r>
    <x v="14"/>
    <x v="4"/>
    <m/>
    <s v="KRW"/>
    <s v="Long"/>
    <m/>
    <n v="3090"/>
    <n v="160800"/>
    <n v="-1.3648213464192649E-2"/>
    <n v="163025"/>
    <n v="1441.05"/>
    <n v="1"/>
    <n v="344798.58436556678"/>
    <n v="1.4389606433974636E-4"/>
    <n v="-1.9910991489796994E-2"/>
    <n v="0"/>
    <n v="0"/>
    <n v="0"/>
    <n v="344798.58436556678"/>
    <n v="1.4389606433974636E-4"/>
    <n v="-1.9910991489796994E-2"/>
    <n v="32210.748926784516"/>
    <m/>
    <n v="0.75049443114395753"/>
    <n v="4.5193697738800748E-2"/>
    <n v="1.6781662659526409E-4"/>
    <n v="50.251489999999997"/>
    <n v="1.1662349999999999"/>
    <n v="-4472.0785124733611"/>
    <m/>
    <s v="07/04/2026"/>
    <e v="#VALUE!"/>
    <e v="#VALUE!"/>
    <s v="29/12/2025"/>
  </r>
  <r>
    <x v="15"/>
    <x v="4"/>
    <m/>
    <s v="USD"/>
    <s v="Long"/>
    <m/>
    <n v="47216"/>
    <n v="122.41"/>
    <n v="-1.6787148594377577E-2"/>
    <n v="124.5"/>
    <n v="1"/>
    <n v="1"/>
    <n v="5779710.5599999996"/>
    <n v="2.4120679153517041E-3"/>
    <n v="-0.41183089151908092"/>
    <n v="0"/>
    <n v="0"/>
    <n v="0"/>
    <n v="5779710.5599999996"/>
    <n v="2.4120679153517041E-3"/>
    <n v="-0.41183089151908092"/>
    <n v="29362.357315578793"/>
    <m/>
    <n v="16525.600000000002"/>
    <n v="0.55576291092428987"/>
    <n v="2.2650120217306575E-3"/>
    <n v="36.865490056037928"/>
    <n v="0.93903326988220215"/>
    <n v="-92498.662443755951"/>
    <m/>
    <s v="#N/A N/A"/>
    <n v="6.6666809999999998E-3"/>
    <n v="0.16080487341984814"/>
    <s v="16/12/2025"/>
  </r>
  <r>
    <x v="16"/>
    <x v="5"/>
    <m/>
    <s v="USD"/>
    <s v="Long"/>
    <m/>
    <n v="900"/>
    <n v="391.84"/>
    <n v="2.7265100671140852E-2"/>
    <n v="381.44"/>
    <n v="1"/>
    <n v="1"/>
    <n v="352656"/>
    <n v="1.471752285734306E-4"/>
    <n v="3.9062433063589093E-2"/>
    <n v="1215555.8305549622"/>
    <n v="5.0729239600543548E-4"/>
    <n v="0.1627601377649549"/>
    <n v="1568211.8305549622"/>
    <n v="6.54467624578866E-4"/>
    <n v="0.20182257082854399"/>
    <n v="9172.7392787872614"/>
    <m/>
    <n v="1400.7608735561369"/>
    <n v="0.3483713714786994"/>
    <n v="1.3218719847445145E-3"/>
    <n v="85.167573373027992"/>
    <n v="2.0197668075561523"/>
    <n v="8773.5594502223776"/>
    <m/>
    <s v="03/02/2026"/>
    <e v="#VALUE!"/>
    <e v="#VALUE!"/>
    <s v="#N/A N/A"/>
  </r>
  <r>
    <x v="17"/>
    <x v="5"/>
    <m/>
    <s v="USD"/>
    <s v="Long"/>
    <m/>
    <n v="30410"/>
    <n v="78.319999999999993"/>
    <n v="-1.4025245441796619E-3"/>
    <n v="78.430000000000007"/>
    <n v="1"/>
    <n v="1"/>
    <n v="2381711.1999999997"/>
    <n v="9.9396831545727187E-4"/>
    <n v="-1.3960229149682517E-2"/>
    <n v="0"/>
    <n v="0"/>
    <n v="0"/>
    <n v="2381711.1999999997"/>
    <n v="9.9396831545727187E-4"/>
    <n v="-1.3960229149682517E-2"/>
    <n v="45891.804890194078"/>
    <m/>
    <n v="10643.499999999998"/>
    <n v="0.16028170215904425"/>
    <n v="9.2612061672307105E-4"/>
    <n v="25.800693992593864"/>
    <n v="0.93174058198928833"/>
    <n v="-3135.5164227502755"/>
    <m/>
    <s v="12/02/2026"/>
    <n v="-4.3351259999999999E-3"/>
    <n v="-4.3089778875150211E-2"/>
    <s v="02/01/2026"/>
  </r>
  <r>
    <x v="18"/>
    <x v="5"/>
    <m/>
    <s v="USD"/>
    <s v="Long"/>
    <m/>
    <n v="6300"/>
    <n v="97.15"/>
    <n v="-2.2143935581278251E-2"/>
    <n v="99.35"/>
    <n v="1"/>
    <n v="1"/>
    <n v="612045"/>
    <n v="2.554269962009021E-4"/>
    <n v="-5.7842448959545219E-2"/>
    <n v="0"/>
    <n v="0"/>
    <n v="0"/>
    <n v="612045"/>
    <n v="2.554269962009021E-4"/>
    <n v="-5.7842448959545219E-2"/>
    <n v="36996.872454966542"/>
    <m/>
    <n v="2205"/>
    <n v="9.2316902675112708E-2"/>
    <n v="1.9067960598126248E-4"/>
    <n v="57.827499237396061"/>
    <n v="0.74651312828063965"/>
    <n v="-12991.616878213868"/>
    <m/>
    <s v="19/02/2026"/>
    <n v="1.5239590000000001E-3"/>
    <n v="3.8926026970333063E-3"/>
    <s v="#N/A Field Not Applicable"/>
  </r>
  <r>
    <x v="18"/>
    <x v="5"/>
    <m/>
    <s v="USD"/>
    <s v="Long"/>
    <m/>
    <n v="1000"/>
    <n v="97.15"/>
    <n v="4.6535677352637084E-3"/>
    <n v="96.7"/>
    <n v="1"/>
    <n v="1"/>
    <n v="97150"/>
    <n v="4.0543967650936844E-5"/>
    <n v="1.8780015895956451E-3"/>
    <n v="0"/>
    <n v="0"/>
    <n v="0"/>
    <n v="97150"/>
    <n v="4.0543967650936844E-5"/>
    <n v="1.8780015895956451E-3"/>
    <n v="36996.872454966542"/>
    <m/>
    <n v="350"/>
    <n v="1.4653476615097256E-2"/>
    <n v="3.026660412400992E-5"/>
    <n v="57.827499237396061"/>
    <n v="0.74651312828063965"/>
    <n v="421.80574279915623"/>
    <m/>
    <s v="19/02/2026"/>
    <n v="1.5239590000000001E-3"/>
    <n v="6.1787344397354078E-4"/>
    <s v="#N/A Field Not Applicable"/>
  </r>
  <r>
    <x v="19"/>
    <x v="5"/>
    <m/>
    <s v="CNY"/>
    <s v="Long"/>
    <m/>
    <n v="2600"/>
    <n v="419.49"/>
    <n v="6.74045801526717E-2"/>
    <n v="393"/>
    <n v="6.9569000000000001"/>
    <n v="1"/>
    <n v="156775.86281245956"/>
    <n v="6.5427848793783559E-5"/>
    <n v="4.1316448891447401E-2"/>
    <n v="0"/>
    <n v="0"/>
    <n v="0"/>
    <n v="156775.86281245956"/>
    <n v="6.5427848793783559E-5"/>
    <n v="4.1316448891447401E-2"/>
    <n v="59607.645244337415"/>
    <m/>
    <n v="130.80538745705701"/>
    <n v="2.8471500896291864E-2"/>
    <n v="7.9444129701631847E-5"/>
    <n v="69.625399999999999"/>
    <n v="1.2142250000000001"/>
    <n v="9279.8193095420593"/>
    <m/>
    <s v="22/04/2026"/>
    <e v="#VALUE!"/>
    <e v="#VALUE!"/>
    <s v="28/05/2025"/>
  </r>
  <r>
    <x v="20"/>
    <x v="6"/>
    <m/>
    <s v="USD"/>
    <s v="Long"/>
    <m/>
    <n v="1500"/>
    <n v="331.3"/>
    <n v="1.7234602243521024E-3"/>
    <n v="330.73"/>
    <n v="1"/>
    <n v="1"/>
    <n v="496950"/>
    <n v="2.0739397554434447E-4"/>
    <n v="3.5682030202316612E-3"/>
    <n v="2023794.8658943176"/>
    <n v="8.4459777225889116E-4"/>
    <n v="4.757604026975548E-3"/>
    <n v="2520744.8658943176"/>
    <n v="1.0519917478032357E-3"/>
    <n v="8.3258070472072097E-3"/>
    <n v="10848.916869906428"/>
    <m/>
    <n v="2663.0265712738037"/>
    <n v="0.24213493216265633"/>
    <n v="2.1370212670708522E-3"/>
    <n v="36.82689453308452"/>
    <n v="2.031404972076416"/>
    <n v="801.43091131838241"/>
    <m/>
    <s v="06/03/2026"/>
    <n v="4.4447169999999999E-3"/>
    <n v="4.6758056053207549E-2"/>
    <s v="22/12/2025"/>
  </r>
  <r>
    <x v="21"/>
    <x v="6"/>
    <m/>
    <s v="USD"/>
    <s v="Long"/>
    <m/>
    <n v="5198"/>
    <n v="330.56"/>
    <n v="-2.6476218524517758E-2"/>
    <n v="339.55"/>
    <n v="1"/>
    <n v="1"/>
    <n v="1718250.8800000001"/>
    <n v="7.1708397421424365E-4"/>
    <n v="-0.19502011520407964"/>
    <n v="12396461.762356758"/>
    <n v="5.1734610877927729E-3"/>
    <n v="-1.3184030226016605"/>
    <n v="14114712.642356759"/>
    <n v="5.8905450620070172E-3"/>
    <n v="-1.5134231378057401"/>
    <n v="10873.203530372701"/>
    <m/>
    <n v="14944.788918274642"/>
    <n v="1.2582775460700701"/>
    <n v="8.7215578684215981E-3"/>
    <n v="34.177551525701475"/>
    <n v="1.4806028604507446"/>
    <n v="-43802.201771376283"/>
    <m/>
    <s v="17/04/2026"/>
    <e v="#VALUE!"/>
    <e v="#VALUE!"/>
    <s v="17/03/2026"/>
  </r>
  <r>
    <x v="22"/>
    <x v="6"/>
    <m/>
    <s v="USD"/>
    <s v="Long"/>
    <m/>
    <m/>
    <n v="46.47"/>
    <n v="-4.5006165228113404E-2"/>
    <n v="48.66"/>
    <n v="1"/>
    <n v="1"/>
    <n v="0"/>
    <n v="0"/>
    <n v="0"/>
    <n v="548114.80579376221"/>
    <n v="2.2874677256924165E-4"/>
    <n v="-0.11581009802506403"/>
    <n v="548114.80579376221"/>
    <n v="2.2874677256924165E-4"/>
    <n v="-0.11581009802506403"/>
    <n v="77345.516655907035"/>
    <m/>
    <n v="4128.2587051391602"/>
    <n v="0.20879433083183671"/>
    <n v="3.3669408933394336E-4"/>
    <n v="146.04399685237766"/>
    <n v="1.4719074964523315"/>
    <n v="0"/>
    <m/>
    <s v="24/04/2026"/>
    <e v="#VALUE!"/>
    <e v="#VALUE!"/>
    <s v="03/09/2024"/>
  </r>
  <r>
    <x v="23"/>
    <x v="6"/>
    <m/>
    <s v="USD"/>
    <s v="Long"/>
    <m/>
    <n v="20008"/>
    <n v="191.13"/>
    <n v="-7.1684587813619638E-3"/>
    <n v="192.51"/>
    <n v="1"/>
    <n v="1"/>
    <n v="3824129.04"/>
    <n v="1.5959378702086276E-3"/>
    <n v="-0.11523017113419656"/>
    <n v="1395122.7535218"/>
    <n v="5.8223172195443948E-4"/>
    <n v="-4.5385038415227674E-2"/>
    <n v="5219251.7935218001"/>
    <n v="2.178169592163067E-3"/>
    <n v="-0.16061520954942424"/>
    <n v="18805.243336995762"/>
    <m/>
    <n v="9557.5688156366341"/>
    <n v="0.46078783212713664"/>
    <n v="4.0294258050053711E-3"/>
    <n v="33.84771020842642"/>
    <n v="1.8499137163162231"/>
    <n v="-25881.100525904683"/>
    <m/>
    <s v="25/02/2026"/>
    <n v="-6.9606579999999998E-3"/>
    <n v="-0.15161493597046588"/>
    <s v="04/12/2025"/>
  </r>
  <r>
    <x v="24"/>
    <x v="6"/>
    <m/>
    <s v="USD"/>
    <s v="Short"/>
    <m/>
    <n v="2951"/>
    <n v="78.92"/>
    <n v="-2.975165970002458E-2"/>
    <n v="81.34"/>
    <n v="1"/>
    <n v="1"/>
    <n v="232892.92"/>
    <n v="9.7194060881237488E-5"/>
    <n v="-2.9803551359933463E-2"/>
    <n v="-616785.72825193405"/>
    <n v="-2.5740546179934057E-4"/>
    <n v="7.6267731221911508E-2"/>
    <n v="-383892.80825193401"/>
    <n v="-1.6021140091810305E-4"/>
    <n v="4.6464179861978046E-2"/>
    <n v="45542.906221490113"/>
    <m/>
    <n v="-1702.5149884462348"/>
    <n v="-3.8515455078825984E-2"/>
    <n v="-3.177317204035102E-4"/>
    <n v="38.46463346114983"/>
    <n v="1.9832029342651367"/>
    <n v="-6693.9821505349646"/>
    <m/>
    <s v="05/03/2026"/>
    <n v="-1.4629890000000001E-2"/>
    <n v="2.3438751721777468E-2"/>
    <s v="09/01/2026"/>
  </r>
  <r>
    <x v="25"/>
    <x v="7"/>
    <m/>
    <s v="USD"/>
    <s v="Long"/>
    <m/>
    <n v="31630"/>
    <n v="15.47"/>
    <n v="-8.8391278727165457E-2"/>
    <n v="16.97"/>
    <n v="1"/>
    <n v="1"/>
    <n v="489316.10000000003"/>
    <n v="2.0420809191438579E-4"/>
    <n v="-0.19800396759636607"/>
    <n v="0"/>
    <n v="0"/>
    <n v="0"/>
    <n v="489316.10000000003"/>
    <n v="2.0420809191438579E-4"/>
    <n v="-0.19800396759636607"/>
    <n v="232336.5325791855"/>
    <m/>
    <n v="11070.5"/>
    <n v="0.10409750432865533"/>
    <n v="4.2306951115637416E-4"/>
    <n v="81.561903529110452"/>
    <n v="2.0717568397521973"/>
    <n v="-44472.385482457386"/>
    <m/>
    <s v="24/02/2026"/>
    <n v="-3.5945709999999999E-2"/>
    <n v="-7.3404048516078554E-2"/>
    <s v="12/10/2017"/>
  </r>
  <r>
    <x v="25"/>
    <x v="7"/>
    <m/>
    <s v="USD"/>
    <s v="Long"/>
    <m/>
    <n v="2870"/>
    <n v="15.47"/>
    <n v="-2.5818639798488641E-2"/>
    <n v="15.88"/>
    <n v="1"/>
    <n v="1"/>
    <n v="44398.9"/>
    <n v="1.8529156616955016E-5"/>
    <n v="-4.9107654899492956E-3"/>
    <m/>
    <m/>
    <m/>
    <n v="44398.9"/>
    <n v="1.8529156616955016E-5"/>
    <n v="-4.9107654899492956E-3"/>
    <n v="232336.5325791855"/>
    <m/>
    <n v="1004.4999999999998"/>
    <n v="9.4454580279241477E-3"/>
    <n v="3.838790695601624E-5"/>
    <n v="81.561903529110452"/>
    <n v="2.0717568397521973"/>
    <n v="-1102.975150115032"/>
    <m/>
    <s v="24/02/2026"/>
    <n v="-3.5945709999999999E-2"/>
    <n v="-6.6604369029764614E-3"/>
    <s v="12/10/2017"/>
  </r>
  <r>
    <x v="26"/>
    <x v="8"/>
    <m/>
    <s v="USD"/>
    <s v="Long"/>
    <m/>
    <n v="45750"/>
    <n v="53.44"/>
    <n v="-2.0541549953314586E-3"/>
    <n v="53.55"/>
    <n v="1"/>
    <n v="1"/>
    <n v="2444880"/>
    <n v="1.0203307836379051E-3"/>
    <n v="-2.1002317776977725E-2"/>
    <n v="0"/>
    <n v="0"/>
    <n v="0"/>
    <n v="2444880"/>
    <n v="1.0203307836379051E-3"/>
    <n v="-2.1002317776977725E-2"/>
    <n v="67257.600280688624"/>
    <m/>
    <n v="16012.5"/>
    <n v="0.11305495016311413"/>
    <n v="1.0201689510540449E-3"/>
    <n v="17.728360563232414"/>
    <n v="0.99984139204025269"/>
    <n v="-4717.1942236371769"/>
    <m/>
    <s v="#N/A N/A"/>
    <n v="-3.9962779999999998E-3"/>
    <n v="-4.0775254633749189E-2"/>
    <s v="22/12/2025"/>
  </r>
  <r>
    <x v="27"/>
    <x v="8"/>
    <m/>
    <s v="USD"/>
    <s v="Short"/>
    <m/>
    <n v="-11500"/>
    <n v="23.74"/>
    <n v="2.5929127052722434E-2"/>
    <n v="23.14"/>
    <n v="1"/>
    <n v="1"/>
    <n v="-273010"/>
    <n v="-1.1393626977233419E-4"/>
    <n v="-2.8796024373799609E-2"/>
    <n v="0"/>
    <n v="0"/>
    <n v="0"/>
    <n v="-273010"/>
    <n v="-1.1393626977233419E-4"/>
    <n v="-2.8796024373799609E-2"/>
    <n v="151400.42792754844"/>
    <m/>
    <n v="-4024.9999999999995"/>
    <n v="-3.0062087599995787E-2"/>
    <n v="-4.1591140206297576E-5"/>
    <n v="42.21600396090259"/>
    <n v="0.36503863334655762"/>
    <n v="-6467.6880562536662"/>
    <m/>
    <s v="11/02/2026"/>
    <e v="#VALUE!"/>
    <e v="#VALUE!"/>
    <s v="28/11/2025"/>
  </r>
  <r>
    <x v="28"/>
    <x v="8"/>
    <m/>
    <s v="USD"/>
    <s v="Short"/>
    <m/>
    <n v="-27500"/>
    <n v="83.51"/>
    <n v="1.680262997686599E-2"/>
    <n v="82.13"/>
    <n v="1"/>
    <n v="1"/>
    <n v="-2296525"/>
    <n v="-9.5841724456580276E-4"/>
    <n v="-0.15837813405589954"/>
    <n v="0"/>
    <n v="0"/>
    <n v="0"/>
    <n v="-2296525"/>
    <n v="-9.5841724456580276E-4"/>
    <n v="-0.15837813405589954"/>
    <n v="43039.709723386419"/>
    <m/>
    <n v="-9625"/>
    <n v="-7.0376339872308069E-2"/>
    <n v="-9.609713533645771E-4"/>
    <n v="11.748760201691249"/>
    <n v="1.0026649236679077"/>
    <n v="-35572.284309395545"/>
    <m/>
    <s v="#N/A N/A"/>
    <n v="2.313435E-3"/>
    <n v="-2.2172359981820877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1" firstHeaderRow="0" firstDataRow="1" firstDataCol="1"/>
  <pivotFields count="34">
    <pivotField axis="axisRow" showAll="0">
      <items count="189">
        <item m="1" x="185"/>
        <item m="1" x="181"/>
        <item m="1" x="161"/>
        <item x="8"/>
        <item m="1" x="142"/>
        <item x="2"/>
        <item m="1" x="105"/>
        <item m="1" x="69"/>
        <item m="1" x="107"/>
        <item m="1" x="88"/>
        <item m="1" x="118"/>
        <item x="6"/>
        <item m="1" x="186"/>
        <item m="1" x="179"/>
        <item m="1" x="184"/>
        <item x="12"/>
        <item m="1" x="157"/>
        <item m="1" x="57"/>
        <item m="1" x="44"/>
        <item x="10"/>
        <item m="1" x="58"/>
        <item x="11"/>
        <item m="1" x="99"/>
        <item m="1" x="126"/>
        <item x="23"/>
        <item m="1" x="187"/>
        <item x="4"/>
        <item m="1" x="45"/>
        <item m="1" x="81"/>
        <item x="21"/>
        <item m="1" x="55"/>
        <item m="1" x="54"/>
        <item m="1" x="43"/>
        <item x="26"/>
        <item x="28"/>
        <item m="1" x="183"/>
        <item m="1" x="182"/>
        <item m="1" x="53"/>
        <item m="1" x="70"/>
        <item m="1" x="173"/>
        <item m="1" x="47"/>
        <item x="5"/>
        <item m="1" x="62"/>
        <item m="1" x="63"/>
        <item m="1" x="64"/>
        <item m="1" x="73"/>
        <item m="1" x="68"/>
        <item m="1" x="82"/>
        <item m="1" x="180"/>
        <item m="1" x="95"/>
        <item m="1" x="139"/>
        <item m="1" x="123"/>
        <item m="1" x="65"/>
        <item m="1" x="171"/>
        <item m="1" x="121"/>
        <item m="1" x="177"/>
        <item m="1" x="116"/>
        <item m="1" x="178"/>
        <item m="1" x="167"/>
        <item m="1" x="176"/>
        <item m="1" x="172"/>
        <item x="9"/>
        <item m="1" x="174"/>
        <item m="1" x="175"/>
        <item m="1" x="159"/>
        <item m="1" x="170"/>
        <item m="1" x="102"/>
        <item m="1" x="147"/>
        <item x="20"/>
        <item m="1" x="145"/>
        <item m="1" x="154"/>
        <item m="1" x="78"/>
        <item m="1" x="93"/>
        <item m="1" x="160"/>
        <item m="1" x="60"/>
        <item m="1" x="153"/>
        <item m="1" x="169"/>
        <item m="1" x="168"/>
        <item m="1" x="113"/>
        <item m="1" x="114"/>
        <item x="15"/>
        <item m="1" x="30"/>
        <item m="1" x="166"/>
        <item m="1" x="34"/>
        <item m="1" x="164"/>
        <item m="1" x="163"/>
        <item m="1" x="129"/>
        <item m="1" x="101"/>
        <item m="1" x="162"/>
        <item m="1" x="165"/>
        <item x="24"/>
        <item m="1" x="155"/>
        <item m="1" x="112"/>
        <item x="3"/>
        <item m="1" x="96"/>
        <item m="1" x="158"/>
        <item m="1" x="71"/>
        <item m="1" x="122"/>
        <item m="1" x="156"/>
        <item m="1" x="66"/>
        <item m="1" x="140"/>
        <item m="1" x="141"/>
        <item m="1" x="127"/>
        <item m="1" x="72"/>
        <item m="1" x="152"/>
        <item m="1" x="108"/>
        <item m="1" x="151"/>
        <item m="1" x="149"/>
        <item m="1" x="150"/>
        <item m="1" x="148"/>
        <item m="1" x="144"/>
        <item m="1" x="85"/>
        <item m="1" x="36"/>
        <item m="1" x="146"/>
        <item m="1" x="143"/>
        <item m="1" x="125"/>
        <item m="1" x="39"/>
        <item m="1" x="132"/>
        <item m="1" x="133"/>
        <item m="1" x="75"/>
        <item m="1" x="136"/>
        <item m="1" x="128"/>
        <item m="1" x="117"/>
        <item m="1" x="130"/>
        <item m="1" x="138"/>
        <item m="1" x="135"/>
        <item m="1" x="137"/>
        <item m="1" x="103"/>
        <item m="1" x="80"/>
        <item m="1" x="134"/>
        <item m="1" x="92"/>
        <item m="1" x="131"/>
        <item m="1" x="109"/>
        <item m="1" x="110"/>
        <item m="1" x="97"/>
        <item m="1" x="76"/>
        <item m="1" x="119"/>
        <item m="1" x="61"/>
        <item m="1" x="104"/>
        <item m="1" x="94"/>
        <item m="1" x="98"/>
        <item m="1" x="100"/>
        <item m="1" x="77"/>
        <item m="1" x="120"/>
        <item m="1" x="124"/>
        <item m="1" x="115"/>
        <item m="1" x="106"/>
        <item m="1" x="38"/>
        <item m="1" x="111"/>
        <item m="1" x="86"/>
        <item m="1" x="91"/>
        <item m="1" x="74"/>
        <item m="1" x="33"/>
        <item m="1" x="84"/>
        <item m="1" x="90"/>
        <item m="1" x="89"/>
        <item m="1" x="87"/>
        <item m="1" x="83"/>
        <item m="1" x="79"/>
        <item m="1" x="67"/>
        <item m="1" x="59"/>
        <item m="1" x="56"/>
        <item m="1" x="48"/>
        <item x="16"/>
        <item m="1" x="46"/>
        <item m="1" x="49"/>
        <item m="1" x="40"/>
        <item m="1" x="52"/>
        <item m="1" x="50"/>
        <item x="25"/>
        <item m="1" x="51"/>
        <item m="1" x="37"/>
        <item x="1"/>
        <item x="0"/>
        <item x="7"/>
        <item m="1" x="42"/>
        <item m="1" x="32"/>
        <item m="1" x="35"/>
        <item m="1" x="41"/>
        <item x="13"/>
        <item x="27"/>
        <item m="1" x="31"/>
        <item x="22"/>
        <item x="17"/>
        <item x="18"/>
        <item m="1" x="29"/>
        <item x="19"/>
        <item x="14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9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 r="1">
      <x v="187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7">
      <pivotArea outline="0" collapsedLevelsAreSubtotals="1" fieldPosition="0"/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4">
      <pivotArea outline="0" collapsedLevelsAreSubtotals="1" fieldPosition="0"/>
    </format>
    <format dxfId="1763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2">
      <pivotArea outline="0" collapsedLevelsAreSubtotals="1" fieldPosition="0"/>
    </format>
    <format dxfId="176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0">
      <pivotArea outline="0" collapsedLevelsAreSubtotals="1" fieldPosition="0"/>
    </format>
    <format dxfId="1759">
      <pivotArea type="all" dataOnly="0" outline="0" fieldPosition="0"/>
    </format>
    <format dxfId="1758">
      <pivotArea dataOnly="0" labelOnly="1" grandRow="1" outline="0" fieldPosition="0"/>
    </format>
    <format dxfId="175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6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2">
      <pivotArea dataOnly="0" labelOnly="1" grandRow="1" outline="0" fieldPosition="0"/>
    </format>
    <format dxfId="1751">
      <pivotArea type="all" dataOnly="0" outline="0" fieldPosition="0"/>
    </format>
    <format dxfId="17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9">
      <pivotArea type="all" dataOnly="0" outline="0" fieldPosition="0"/>
    </format>
    <format dxfId="1748">
      <pivotArea outline="0" collapsedLevelsAreSubtotals="1" fieldPosition="0"/>
    </format>
    <format dxfId="1747">
      <pivotArea dataOnly="0" labelOnly="1" grandRow="1" outline="0" fieldPosition="0"/>
    </format>
    <format dxfId="174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0">
      <pivotArea type="all" dataOnly="0" outline="0" fieldPosition="0"/>
    </format>
    <format dxfId="1739">
      <pivotArea outline="0" collapsedLevelsAreSubtotals="1" fieldPosition="0"/>
    </format>
    <format dxfId="1738">
      <pivotArea dataOnly="0" labelOnly="1" grandRow="1" outline="0" fieldPosition="0"/>
    </format>
    <format dxfId="17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6">
      <pivotArea type="all" dataOnly="0" outline="0" fieldPosition="0"/>
    </format>
    <format dxfId="1735">
      <pivotArea outline="0" collapsedLevelsAreSubtotals="1" fieldPosition="0"/>
    </format>
    <format dxfId="1734">
      <pivotArea dataOnly="0" labelOnly="1" grandRow="1" outline="0" fieldPosition="0"/>
    </format>
    <format dxfId="17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1">
      <pivotArea field="1" type="button" dataOnly="0" labelOnly="1" outline="0" axis="axisRow" fieldPosition="0"/>
    </format>
    <format dxfId="17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9">
      <pivotArea field="1" type="button" dataOnly="0" labelOnly="1" outline="0" axis="axisRow" fieldPosition="0"/>
    </format>
    <format dxfId="17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7">
      <pivotArea field="1" type="button" dataOnly="0" labelOnly="1" outline="0" axis="axisRow" fieldPosition="0"/>
    </format>
    <format dxfId="172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45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0" totalsRowShown="0" headerRowDxfId="1725" dataDxfId="1723" headerRowBorderDxfId="1724" tableBorderDxfId="1722">
  <autoFilter ref="B11:AI40" xr:uid="{488A667B-27C2-4003-A53C-C52DE885F6F5}"/>
  <sortState xmlns:xlrd2="http://schemas.microsoft.com/office/spreadsheetml/2017/richdata2" ref="B12:AI40">
    <sortCondition ref="C11:C40"/>
  </sortState>
  <tableColumns count="34">
    <tableColumn id="1" xr3:uid="{C4869650-AB2A-4E52-A8FD-8FC4A1E9B450}" name="Ticker" dataDxfId="1721" totalsRowDxfId="1720"/>
    <tableColumn id="2" xr3:uid="{3392DCC0-4423-44FF-B70A-0E06289D8EEE}" name="Sector" dataDxfId="1719"/>
    <tableColumn id="29" xr3:uid="{7A835F51-8D98-481A-BCE1-CD91D7445A8F}" name="Diretoria" dataDxfId="1718"/>
    <tableColumn id="3" xr3:uid="{B1589ED3-B8E2-4F6B-B66F-D68F68C1ABA6}" name="Crncy" dataDxfId="1717"/>
    <tableColumn id="4" xr3:uid="{616D46BC-AC49-4393-8BDA-875BFB778D29}" name="Long / Short" dataDxfId="1716" totalsRowDxfId="1715">
      <calculatedColumnFormula>IF(T12&gt;0,"Long","Short")</calculatedColumnFormula>
    </tableColumn>
    <tableColumn id="33" xr3:uid="{F6985B5B-9203-43DA-8157-CAE6E92D0561}" name="Qtdd " dataDxfId="1714"/>
    <tableColumn id="5" xr3:uid="{9A4DCF38-5D0D-4646-8CF9-69904711743E}" name="Qtt Shs" dataDxfId="1713"/>
    <tableColumn id="6" xr3:uid="{BC11B5F3-DE4D-477B-AAED-C5AB103E9DA0}" name="Price Today" dataDxfId="1712" totalsRowDxfId="1711">
      <calculatedColumnFormula array="1">_xll.BDP(B12&amp;" Equity","LAST_PRICE")</calculatedColumnFormula>
    </tableColumn>
    <tableColumn id="7" xr3:uid="{704FFD7D-1208-4AA6-81A9-0E257F085F19}" name="% Chg" dataDxfId="1710" totalsRowDxfId="1709">
      <calculatedColumnFormula>I12/K12-1</calculatedColumnFormula>
    </tableColumn>
    <tableColumn id="8" xr3:uid="{E069BEAC-4A43-4F60-BD21-C3F1FDA777D4}" name="Price Yest" dataDxfId="1708" dataCellStyle="Comma">
      <calculatedColumnFormula array="1">_xll.BDP(B12&amp;" EQUITY","PX_YEST_CLOSE")</calculatedColumnFormula>
    </tableColumn>
    <tableColumn id="9" xr3:uid="{A2F51CF4-C965-4A1F-975F-FCDA401F7124}" name="FX" dataDxfId="1707">
      <calculatedColumnFormula array="1">_xll.BDP(E12&amp;" Curncy","PX_LAST")</calculatedColumnFormula>
    </tableColumn>
    <tableColumn id="10" xr3:uid="{0525E66F-8EF5-4CCF-835F-559F3DAE7E58}" name="Mult" dataDxfId="1706" totalsRowDxfId="1705" dataCellStyle="Comma"/>
    <tableColumn id="11" xr3:uid="{8FC681CE-75F1-4027-AD99-551C42A97619}" name="D1 Exp USD" dataDxfId="1704">
      <calculatedColumnFormula>IFERROR(IF(((I12/L12)*H12*M12)&lt;&gt;0,((I12/L12)*H12*M12),0),"-")</calculatedColumnFormula>
    </tableColumn>
    <tableColumn id="12" xr3:uid="{BE55CED1-1EEB-46EA-A2E5-D244B7925B83}" name="D1 Exp %" dataDxfId="1703">
      <calculatedColumnFormula>IFERROR(IF(Tabelad[[#This Row],[D1 Exp USD]]&lt;&gt;0,N12/$AE$7,0),"-")</calculatedColumnFormula>
    </tableColumn>
    <tableColumn id="13" xr3:uid="{622A85AF-E726-48C1-A6C0-2A26A6E13A5C}" name="D1 P&amp;L bps" dataDxfId="170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1" totalsRowDxfId="1700">
      <calculatedColumnFormula>IF(SUM(SUMIFS(Options!$AL$4:$AL$20, Options!$D$4:$D$20, B12), SUMIFS(Options!$AL$4:$AL$20, Options!$D$4:$D$20, B12 &amp; " US"))=0,0,SUM(SUMIFS(Options!$AL$4:$AL$20, Options!$D$4:$D$20, B12), SUMIFS(Options!$AL$4:$AL$20, Options!$D$4:$D$20, B12 &amp; " US")))</calculatedColumnFormula>
    </tableColumn>
    <tableColumn id="15" xr3:uid="{F6743957-5F8D-4443-94E6-3E6136CB024F}" name="Option Exp %" dataDxfId="1699" totalsRowDxfId="1698" dataCellStyle="Percent">
      <calculatedColumnFormula>Q12/$AE$7</calculatedColumnFormula>
    </tableColumn>
    <tableColumn id="16" xr3:uid="{48C8F341-ED13-4859-B6ED-AB346A494BEF}" name="Options P&amp;L bps" dataDxfId="1697" totalsRowDxfId="1696">
      <calculatedColumnFormula>IF(SUM(SUMIFS(Options!$AK$4:$AK$20, Options!$D$4:$D$20, B12), SUMIFS(Options!$AK$4:$AK$20, Options!$D$4:$D$20, B12 &amp; " US"))=0,0,SUM(SUMIFS(Options!$AK$4:$AK$20, Options!$D$4:$D$20, B12), SUMIFS(Options!AK$4:$AK$20, Options!$D$4:$D$20, B12 &amp; " US")))</calculatedColumnFormula>
    </tableColumn>
    <tableColumn id="17" xr3:uid="{4E94A772-CD12-4BE4-A04C-0E1B9CF86096}" name="Exp" dataDxfId="1695" totalsRowDxfId="1694">
      <calculatedColumnFormula>N12+Q12</calculatedColumnFormula>
    </tableColumn>
    <tableColumn id="18" xr3:uid="{56683745-C1CE-4341-A873-C851B97E4432}" name="Exp %" dataDxfId="1693" totalsRowDxfId="1692">
      <calculatedColumnFormula>T12/$AE$7</calculatedColumnFormula>
    </tableColumn>
    <tableColumn id="19" xr3:uid="{AD790890-4299-4C9E-A460-9342E2B4BE92}" name="P&amp;L bps" dataDxfId="1691" totalsRowDxfId="1690">
      <calculatedColumnFormula>P12+S12</calculatedColumnFormula>
    </tableColumn>
    <tableColumn id="20" xr3:uid="{A3132FF2-B491-42D2-B6D5-98FB024D0411}" name="xx" dataDxfId="1689" totalsRowDxfId="1688">
      <calculatedColumnFormula>$W$10/(I12/L12*M12)</calculatedColumnFormula>
    </tableColumn>
    <tableColumn id="21" xr3:uid="{68119C5E-24ED-4841-8DFC-985A70CC957B}" name="Ticker2" dataDxfId="1687" totalsRowDxfId="1686"/>
    <tableColumn id="22" xr3:uid="{EAB0ADAA-AF64-4574-AD5E-BAD2211681D1}" name="xx2" dataDxfId="1685" totalsRowDxfId="1684">
      <calculatedColumnFormula>Tabelad[[#This Row],[Exp %]]*$Y$10*$AD$7/Tabelad[[#This Row],[Price Today]]</calculatedColumnFormula>
    </tableColumn>
    <tableColumn id="23" xr3:uid="{160D9866-3FEF-4C23-ADDC-0615A4FD8D8A}" name="Beta Adj" dataDxfId="1683">
      <calculatedColumnFormula>Tabelad[[#This Row],[Vol 10d]]/16*Tabelad[[#This Row],[Exp %]]*100</calculatedColumnFormula>
    </tableColumn>
    <tableColumn id="27" xr3:uid="{5FC9F15D-E683-4C75-83A6-A027ED24C573}" name="Expo Beta Adj" dataDxfId="1682" totalsRowDxfId="1681">
      <calculatedColumnFormula>Tabelad[[#This Row],[Exp %]]*Tabelad[[#This Row],[Beta Adj2]]</calculatedColumnFormula>
    </tableColumn>
    <tableColumn id="24" xr3:uid="{02F0D998-EE72-4509-80A1-181D260811AE}" name="Vol 10d" dataDxfId="1680">
      <calculatedColumnFormula>_xll.BDP($B12&amp;" Equity","volatility_10d")</calculatedColumnFormula>
    </tableColumn>
    <tableColumn id="25" xr3:uid="{06753197-209B-42CE-8324-F5BF4E6BBC8C}" name="Beta Adj2" dataDxfId="1679" totalsRowDxfId="1678">
      <calculatedColumnFormula>_xll.BDP(B12&amp;" EQUITY","eqy_beta")</calculatedColumnFormula>
    </tableColumn>
    <tableColumn id="26" xr3:uid="{E0099784-2515-472D-A708-E950C7C1F961}" name="Daily P&amp;L" dataDxfId="1677" totalsRowDxfId="1676">
      <calculatedColumnFormula>Tabelad[[#This Row],[D1 P&amp;L bps]]*$AD$5/10000</calculatedColumnFormula>
    </tableColumn>
    <tableColumn id="28" xr3:uid="{E8C15306-AE60-46ED-BE32-1873B2B613BE}" name="VALUE" dataDxfId="1675" totalsRowDxfId="1674"/>
    <tableColumn id="30" xr3:uid="{3553EED7-0690-4464-BFF1-737C1D716FE2}" name="Report Date2" dataDxfId="1673" totalsRowDxfId="1672">
      <calculatedColumnFormula>_xll.BDP(B12&amp;" Equity","EXPECTED_REPORT_DT")</calculatedColumnFormula>
    </tableColumn>
    <tableColumn id="31" xr3:uid="{5102101F-2C4E-4C70-B272-6AB453BA1BFE}" name="Column3" dataDxfId="1671" totalsRowDxfId="1670">
      <calculatedColumnFormula>_xll.BDP(B12&amp;" Index","CHG_PCT_1D_PRE_FROM_REGULAR")/100</calculatedColumnFormula>
    </tableColumn>
    <tableColumn id="32" xr3:uid="{78144925-541C-4BB9-B1CE-5128912D0AEA}" name="Column4" dataDxfId="1669">
      <calculatedColumnFormula>(T12*AG12)/$AD$7*10000</calculatedColumnFormula>
    </tableColumn>
    <tableColumn id="34" xr3:uid="{F48AA587-E15F-424C-9278-DC54512DF635}" name="Column5" dataDxfId="166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7" dataDxfId="1666" totalsRowBorderDxfId="1665">
  <autoFilter ref="F3:G136" xr:uid="{50594F44-C7EB-4454-89DA-F08A9C91DB54}"/>
  <tableColumns count="2">
    <tableColumn id="1" xr3:uid="{C2C1762E-B58F-491C-8249-F5F204F351C6}" name="De (Lote)" totalsRowFunction="count" dataDxfId="1664"/>
    <tableColumn id="2" xr3:uid="{2A11C67E-26BC-4BE0-826C-B31A77595F54}" name="Para (Ticker Daniel)" totalsRowFunction="count" dataDxfId="166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8.792270531401003E-2</v>
      </c>
      <c r="B6" s="145">
        <f>H6-J6</f>
        <v>10.349999999999998</v>
      </c>
      <c r="C6" s="145">
        <f>L6-H6</f>
        <v>0.91000000000000369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33.44</v>
      </c>
      <c r="I6" s="153">
        <f>H6/J6-1</f>
        <v>0.44824599393676912</v>
      </c>
      <c r="J6" s="149" cm="1">
        <f t="array" ref="J6">IF(ISTEXT($E6),_xll.BDH($E6,"PX_LAST",J$2,J$2,"Fill=P","CDR=US"),"")</f>
        <v>23.09</v>
      </c>
      <c r="K6" s="153">
        <f t="shared" ref="K6:K20" si="0">H6/L6-1</f>
        <v>-2.6491994177583855E-2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-0.15358057618141174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7973.17</v>
      </c>
      <c r="I7" s="153">
        <f t="shared" ref="I7:I20" si="1">H7/J7-1</f>
        <v>0.53141416062123437</v>
      </c>
      <c r="J7" s="143" cm="1">
        <f t="array" ref="J7">IF(ISTEXT($E7),_xll.BDH($E7,"PX_LAST",J$2,J$2,"Fill=P","CDR=US"),"")</f>
        <v>5206.41</v>
      </c>
      <c r="K7" s="153">
        <f t="shared" si="0"/>
        <v>-1.2899016510344863E-2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17.049352639803288</v>
      </c>
      <c r="Q7" s="153">
        <f>$P7/T7-1</f>
        <v>0.26224181472128127</v>
      </c>
      <c r="R7" s="153">
        <f>$P7/U7-1</f>
        <v>0.12729201210561181</v>
      </c>
      <c r="S7" s="144" cm="1">
        <f t="array" ref="S7">_xll.BDP($E7,S$2)</f>
        <v>10.820415519922216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4706.34</v>
      </c>
      <c r="I8" s="154">
        <f t="shared" si="1"/>
        <v>0.46489000112053191</v>
      </c>
      <c r="J8" s="140" cm="1">
        <f t="array" ref="J8">IF(ISTEXT($E8),_xll.BDH($E8,"PX_LAST",J$2,J$2,"Fill=P","CDR=US"),"")</f>
        <v>3212.76</v>
      </c>
      <c r="K8" s="154">
        <f t="shared" si="0"/>
        <v>-2.7004564850649948E-2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16.898412492209932</v>
      </c>
      <c r="Q8" s="154">
        <f>P8/T8-1</f>
        <v>0.23907731338475369</v>
      </c>
      <c r="R8" s="154">
        <f>$P8/U8-1</f>
        <v>0.10296346068905859</v>
      </c>
      <c r="S8" s="141" cm="1">
        <f t="array" ref="S8">_xll.BDP($E8,S$2)</f>
        <v>10.788627623844048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0.20033528918692378</v>
      </c>
      <c r="B9" s="145">
        <f>H9-J9</f>
        <v>11.93</v>
      </c>
      <c r="C9" s="145">
        <f>L9-H9</f>
        <v>2.3900000000000006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39.61</v>
      </c>
      <c r="I9" s="153">
        <f t="shared" si="1"/>
        <v>0.43099710982658967</v>
      </c>
      <c r="J9" s="149" cm="1">
        <f t="array" ref="J9">IF(ISTEXT($E9),_xll.BDH($E9,"PX_LAST",J$2,J$2,"Fill=P","CDR=US"),"")</f>
        <v>27.68</v>
      </c>
      <c r="K9" s="153">
        <f t="shared" si="0"/>
        <v>-5.6904761904761902E-2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37548.519999999997</v>
      </c>
      <c r="I10" s="153">
        <f t="shared" si="1"/>
        <v>0.53418194031204558</v>
      </c>
      <c r="J10" s="143" cm="1">
        <f t="array" ref="J10">IF(ISTEXT($E10),_xll.BDH($E10,"PX_LAST",J$2,J$2,"Fill=P","CDR=US"),"")</f>
        <v>24474.62</v>
      </c>
      <c r="K10" s="153">
        <f t="shared" si="0"/>
        <v>-3.316416257901722E-2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11.445510433440129</v>
      </c>
      <c r="Q10" s="153">
        <f>P10/T10-1</f>
        <v>0.2541238435554527</v>
      </c>
      <c r="R10" s="153">
        <f>$P10/U10-1</f>
        <v>8.2036891496888753E-2</v>
      </c>
      <c r="S10" s="144" cm="1">
        <f t="array" ref="S10">_xll.BDP($E10,S$2)</f>
        <v>11.215827330560932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14980.53</v>
      </c>
      <c r="I11" s="154">
        <f t="shared" si="1"/>
        <v>0.32264395825607872</v>
      </c>
      <c r="J11" s="140" cm="1">
        <f t="array" ref="J11">IF(ISTEXT($E11),_xll.BDH($E11,"PX_LAST",J$2,J$2,"Fill=P","CDR=US"),"")</f>
        <v>11326.2</v>
      </c>
      <c r="K11" s="154">
        <f t="shared" si="0"/>
        <v>-4.9435233486107788E-2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13.479775197979269</v>
      </c>
      <c r="Q11" s="154">
        <f>P11/T11-1</f>
        <v>0.16622184522033723</v>
      </c>
      <c r="R11" s="154">
        <f>$P11/U11-1</f>
        <v>3.3654785892975658E-2</v>
      </c>
      <c r="S11" s="141" cm="1">
        <f t="array" ref="S11">_xll.BDP($E11,S$2)</f>
        <v>12.196943449254853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0.97975460122699354</v>
      </c>
      <c r="B12" s="145">
        <f>H12-J12</f>
        <v>8.1500000000000021</v>
      </c>
      <c r="C12" s="145">
        <f>L12-H12</f>
        <v>7.9849999999999994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35.380000000000003</v>
      </c>
      <c r="I12" s="153">
        <f t="shared" si="1"/>
        <v>0.29930224017627616</v>
      </c>
      <c r="J12" s="149" cm="1">
        <f t="array" ref="J12">IF(ISTEXT($E12),_xll.BDH($E12,"PX_LAST",J$2,J$2,"Fill=P","CDR=US"),"")</f>
        <v>27.23</v>
      </c>
      <c r="K12" s="153">
        <f t="shared" si="0"/>
        <v>-0.18413467081747947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6061.1913999999997</v>
      </c>
      <c r="I13" s="153">
        <f t="shared" si="1"/>
        <v>0.45004544257286039</v>
      </c>
      <c r="J13" s="143" cm="1">
        <f t="array" ref="J13">IF(ISTEXT($E13),_xll.BDH($E13,"PX_LAST",J$2,J$2,"Fill=P","CDR=US"),"")</f>
        <v>4180.0010000000002</v>
      </c>
      <c r="K13" s="153">
        <f t="shared" si="0"/>
        <v>-0.11838511172417687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5718.18</v>
      </c>
      <c r="I14" s="154">
        <f t="shared" si="1"/>
        <v>0.54617699627122951</v>
      </c>
      <c r="J14" s="140" cm="1">
        <f t="array" ref="J14">IF(ISTEXT($E14),_xll.BDH($E14,"PX_LAST",J$2,J$2,"Fill=P","CDR=US"),"")</f>
        <v>3698.27</v>
      </c>
      <c r="K14" s="154">
        <f t="shared" si="0"/>
        <v>-0.14850509123723465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27.655004510935747</v>
      </c>
      <c r="Q14" s="154">
        <f>P14/T14-1</f>
        <v>2.0487402524584919E-2</v>
      </c>
      <c r="R14" s="154">
        <f>$P14/U14-1</f>
        <v>-0.28279646512003598</v>
      </c>
      <c r="S14" s="141" cm="1">
        <f t="array" ref="S14">_xll.BDP($E14,S$2)</f>
        <v>9.4734204607827532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0.25993738214341178</v>
      </c>
      <c r="B15" s="145">
        <f>H15-J15</f>
        <v>19.119999999999997</v>
      </c>
      <c r="C15" s="145">
        <f>L15-H15</f>
        <v>4.9700027465820327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62.4</v>
      </c>
      <c r="I15" s="153">
        <f t="shared" si="1"/>
        <v>0.44177449168207028</v>
      </c>
      <c r="J15" s="149" cm="1">
        <f t="array" ref="J15">IF(ISTEXT($E15),_xll.BDH($E15,"PX_LAST",J$2,J$2,"Fill=P","CDR=US"),"")</f>
        <v>43.28</v>
      </c>
      <c r="K15" s="153">
        <f t="shared" si="0"/>
        <v>-7.3771746236631741E-2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713.6816</v>
      </c>
      <c r="I16" s="153">
        <f t="shared" si="1"/>
        <v>0.57870059659034356</v>
      </c>
      <c r="J16" s="143" cm="1">
        <f t="array" ref="J16">IF(ISTEXT($E16),_xll.BDH($E16,"PX_LAST",J$2,J$2,"Fill=P","CDR=US"),"")</f>
        <v>452.06900000000002</v>
      </c>
      <c r="K16" s="153">
        <f t="shared" si="0"/>
        <v>-2.1217512278640105E-2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14.688000747293836</v>
      </c>
      <c r="Q16" s="153">
        <f>P16/T16-1</f>
        <v>0.19512776729622194</v>
      </c>
      <c r="R16" s="153">
        <f>$P16/U16-1</f>
        <v>-1.0504475129834656E-2</v>
      </c>
      <c r="S16" s="144" cm="1">
        <f t="array" ref="S16">_xll.BDP($E16,S$2)</f>
        <v>11.448684923939419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87.19</v>
      </c>
      <c r="I17" s="154">
        <f t="shared" si="1"/>
        <v>0.50639253628196257</v>
      </c>
      <c r="J17" s="140" cm="1">
        <f t="array" ref="J17">IF(ISTEXT($E17),_xll.BDH($E17,"PX_LAST",J$2,J$2,"Fill=P","CDR=US"),"")</f>
        <v>57.88</v>
      </c>
      <c r="K17" s="154">
        <f t="shared" si="0"/>
        <v>-4.8040179058849275E-2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14.696026350699585</v>
      </c>
      <c r="Q17" s="154">
        <f>P17/T17-1</f>
        <v>0.19625774120468731</v>
      </c>
      <c r="R17" s="154">
        <f>$P17/U17-1</f>
        <v>-9.6424520097835309E-3</v>
      </c>
      <c r="S17" s="141" cm="1">
        <f t="array" ref="S17">_xll.BDP($E17,S$2)</f>
        <v>11.448684923939419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27387.11</v>
      </c>
      <c r="I18" s="153">
        <f t="shared" si="1"/>
        <v>0.5009012386070999</v>
      </c>
      <c r="J18" s="143" cm="1">
        <f t="array" ref="J18">IF(ISTEXT($E18),_xll.BDH($E18,"PX_LAST",J$2,J$2,"Fill=P","CDR=US"),"")</f>
        <v>18247.11</v>
      </c>
      <c r="K18" s="153">
        <f t="shared" si="0"/>
        <v>-2.3844725389487453E-2</v>
      </c>
      <c r="L18" s="143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13.332194995720942</v>
      </c>
      <c r="Q18" s="153">
        <f>P18/T18-1</f>
        <v>0.22626469304473273</v>
      </c>
      <c r="R18" s="153">
        <f>$P18/U18-1</f>
        <v>6.4484368283330706E-2</v>
      </c>
      <c r="S18" s="144" cm="1">
        <f t="array" ref="S18">_xll.BDP($E18,S$2)</f>
        <v>10.513129366408574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9317.09</v>
      </c>
      <c r="I19" s="153">
        <f t="shared" si="1"/>
        <v>0.45828350873678225</v>
      </c>
      <c r="J19" s="143" cm="1">
        <f t="array" ref="J19">IF(ISTEXT($E19),_xll.BDH($E19,"PX_LAST",J$2,J$2,"Fill=P","CDR=US"),"")</f>
        <v>6389.08</v>
      </c>
      <c r="K19" s="153">
        <f t="shared" si="0"/>
        <v>-4.6377713478011118E-2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12.021318605416418</v>
      </c>
      <c r="Q19" s="153">
        <f>P19/T19-1</f>
        <v>0.34951207416073582</v>
      </c>
      <c r="R19" s="153">
        <f>$P19/U19-1</f>
        <v>0.18507296771869441</v>
      </c>
      <c r="S19" s="144" cm="1">
        <f t="array" ref="S19">_xll.BDP($E19,S$2)</f>
        <v>11.012962512201735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4117.9489999999996</v>
      </c>
      <c r="I20" s="153">
        <f t="shared" si="1"/>
        <v>0.49802540490476588</v>
      </c>
      <c r="J20" s="143" cm="1">
        <f t="array" ref="J20">IF(ISTEXT($E20),_xll.BDH($E20,"PX_LAST",J$2,J$2,"Fill=P","CDR=US"),"")</f>
        <v>2748.9180000000001</v>
      </c>
      <c r="K20" s="153">
        <f t="shared" si="0"/>
        <v>-1.7399029222122664E-2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15.748470473467952</v>
      </c>
      <c r="Q20" s="153">
        <f>P20/T20-1</f>
        <v>0.28782867136064771</v>
      </c>
      <c r="R20" s="153">
        <f>$P20/U20-1</f>
        <v>0.15608956170105537</v>
      </c>
      <c r="S20" s="144" cm="1">
        <f t="array" ref="S20">_xll.BDP($E20,S$2)</f>
        <v>9.6424746862217923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1.4907243601687393E-2</v>
      </c>
      <c r="AP1" s="23"/>
    </row>
    <row r="2" spans="1:47" outlineLevel="1">
      <c r="D2" s="7" t="s">
        <v>66</v>
      </c>
      <c r="E2" s="265">
        <f>D4+E4</f>
        <v>5.1293700648892705E-3</v>
      </c>
      <c r="Q2" s="179">
        <f ca="1">WORKDAY(Q3,-126)</f>
        <v>45876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46052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46022</v>
      </c>
      <c r="AN3" s="180">
        <f ca="1">WORKDAY($Q$3,-66)</f>
        <v>45960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1.0018306833288332E-2</v>
      </c>
      <c r="E4" s="265">
        <f>SUM(E8:E24)</f>
        <v>-4.8889367683990614E-3</v>
      </c>
      <c r="Q4" s="181" t="str">
        <f ca="1">YEAR($Q$2)&amp;TEXT(MONTH($Q$2),"00")&amp;TEXT(DAY($Q$2),"00")</f>
        <v>20250807</v>
      </c>
      <c r="X4" s="182"/>
    </row>
    <row r="5" spans="1:47" outlineLevel="1">
      <c r="C5" s="7" t="s">
        <v>91</v>
      </c>
      <c r="D5" s="265">
        <f>SUM(D22:D23)</f>
        <v>7.8625666551070518E-4</v>
      </c>
      <c r="Q5" s="181" t="str">
        <f ca="1">YEAR(TODAY())&amp;TEXT(MONTH(TODAY()),"00")&amp;TEXT(DAY(TODAY()),"00")</f>
        <v>20260130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9.7992453610353837E-4</v>
      </c>
      <c r="E8" s="255">
        <f>SUMIF(Tabelad[Ticker],PAIR_Monitor!C8,Tabelad[Exp %])</f>
        <v>-9.7992453610353837E-4</v>
      </c>
      <c r="F8" s="254"/>
      <c r="G8" s="187" cm="1">
        <f t="array" ref="G8">_xll.BDP(B8&amp;" Equity","LAST PRICE")</f>
        <v>430.29</v>
      </c>
      <c r="H8" s="188" cm="1">
        <f t="array" ref="H8">G8/_xll.BDP(B8&amp;" Equity", "PREV_CLOSE_VAL")-1</f>
        <v>-7.4048442906573531E-3</v>
      </c>
      <c r="I8" s="187" cm="1">
        <f t="array" ref="I8">_xll.BDP(C8&amp;" Equity","LAST PRICE")</f>
        <v>90.31</v>
      </c>
      <c r="J8" s="188" cm="1">
        <f t="array" ref="J8">I8/_xll.BDP(C8&amp;" Equity", "PREV_CLOSE_VAL")-1</f>
        <v>-2.1242007152920683E-2</v>
      </c>
      <c r="K8" s="189">
        <f t="shared" ref="K8:K18" si="1">G8/I8</f>
        <v>4.7645886391318788</v>
      </c>
      <c r="L8" s="188" cm="1">
        <f t="array" ref="L8">K8/(_xll.BDP(B8&amp;" Equity", "PREV_CLOSE_VAL")/_xll.BDP(C8&amp;" Equity", "PREV_CLOSE_VAL"))-1</f>
        <v>1.413747112502528E-2</v>
      </c>
      <c r="M8" s="188"/>
      <c r="N8" s="190">
        <f t="shared" ref="N8:N18" si="2">ABS(L8/O8)</f>
        <v>0.90685694011276685</v>
      </c>
      <c r="O8" s="191">
        <f t="shared" ref="O8:O18" si="3">P8/15.87/100</f>
        <v>1.5589527410207941E-2</v>
      </c>
      <c r="P8" s="192" cm="1">
        <f t="array" ref="P8">_xll.BDP($A8&amp;" Index","VOLATILITY_30D")</f>
        <v>24.740580000000001</v>
      </c>
      <c r="Q8" s="192" cm="1">
        <f t="array" aca="1" ref="Q8" ca="1">(_xll.BDP(($B8&amp; " Equity"),"CORR_COEF", "BETA_OVERRIDE_REL_INDEX",($C8&amp; " Equity"),"BETA_OVERRIDE_END_DT",$Q$5,"BETA_OVERRIDE_START_DT",$Q$4))*100</f>
        <v>77.446211097366799</v>
      </c>
      <c r="R8" s="188"/>
      <c r="S8" s="188" cm="1">
        <f t="array" ref="S8">_xll.BDP($A8&amp;" Index","CHG_PCT_2D")/100</f>
        <v>-4.1934730000000003E-2</v>
      </c>
      <c r="T8" s="188" cm="1">
        <f t="array" ref="T8">_xll.BDP($A8&amp;" Index","CHG_PCT_5D")/100</f>
        <v>-3.062258E-3</v>
      </c>
      <c r="U8" s="188" cm="1">
        <f t="array" ref="U8">K8/_xll.BDP($A8&amp;" Index","HIGH_52WEEK")-1</f>
        <v>-3.9821401612618823E-2</v>
      </c>
      <c r="V8" s="188" cm="1">
        <f t="array" ref="V8">K8/_xll.BDP($A8&amp;" Index","LOW_52WEEK")-1</f>
        <v>0.25418896827322324</v>
      </c>
      <c r="W8" s="188"/>
      <c r="X8" s="192" cm="1">
        <f t="array" ref="X8">_xll.BDP($A8&amp;" Index","RSI_14D")</f>
        <v>52.488909999999997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9.0294883096539769E-2</v>
      </c>
      <c r="AE8" s="188"/>
      <c r="AF8" s="195">
        <f>IF(ISTEXT(B8),_xll.BDP(B8 &amp; " Equity","EXPECTED_REPORT_DT")*1,"")</f>
        <v>46142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2.2432288516825638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3.2794430700189947E-2</v>
      </c>
      <c r="AN8" s="194">
        <f ca="1">IF(ISTEXT(B8),AP8/_xll.BDH(B8 &amp;  " Equity","BEST_EPS",$AN$3,$AN$3,"BEST_FPERIOD_OVERRIDE=1BF","CDR=US","Fill=p")-1,"")</f>
        <v>6.4646225016309788E-2</v>
      </c>
      <c r="AO8" s="196">
        <f t="shared" ref="AO8:AO18" ca="1" si="7">G8/AP8</f>
        <v>23.970252353629323</v>
      </c>
      <c r="AP8" s="196" cm="1">
        <f t="array" aca="1" ref="AP8" ca="1">IF(ISTEXT(B8),_xll.BDH(B8 &amp;  " Equity","BEST_EPS",$Q$3,$Q$3,"BEST_FPERIOD_OVERRIDE=1BF","CDR=US","Fill=p"),"")</f>
        <v>17.951000000000001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9.5841724456580276E-4</v>
      </c>
      <c r="E9" s="255">
        <f>SUMIF(Tabelad[Ticker],PAIR_Monitor!C9,Tabelad[Exp %])</f>
        <v>-9.5841724456580276E-4</v>
      </c>
      <c r="F9" s="254"/>
      <c r="G9" s="187" cm="1">
        <f t="array" ref="G9">_xll.BDP(B9&amp;" Equity","LAST PRICE")</f>
        <v>430.29</v>
      </c>
      <c r="H9" s="188" cm="1">
        <f t="array" ref="H9">G9/_xll.BDP(B9&amp;" Equity", "PREV_CLOSE_VAL")-1</f>
        <v>-7.4048442906573531E-3</v>
      </c>
      <c r="I9" s="187" cm="1">
        <f t="array" ref="I9">_xll.BDP(C9&amp;" Equity","LAST PRICE")</f>
        <v>83.51</v>
      </c>
      <c r="J9" s="188" cm="1">
        <f t="array" ref="J9">I9/_xll.BDP(C9&amp;" Equity", "PREV_CLOSE_VAL")-1</f>
        <v>1.680262997686599E-2</v>
      </c>
      <c r="K9" s="189">
        <f t="shared" si="1"/>
        <v>5.1525565800502937</v>
      </c>
      <c r="L9" s="188" cm="1">
        <f t="array" ref="L9">K9/(_xll.BDP(B9&amp;" Equity", "PREV_CLOSE_VAL")/_xll.BDP(C9&amp;" Equity", "PREV_CLOSE_VAL"))-1</f>
        <v>-2.3807446552409184E-2</v>
      </c>
      <c r="M9" s="188"/>
      <c r="N9" s="190">
        <f t="shared" si="2"/>
        <v>0.91264810388047179</v>
      </c>
      <c r="O9" s="191">
        <f t="shared" si="3"/>
        <v>2.6086118462507878E-2</v>
      </c>
      <c r="P9" s="192" cm="1">
        <f t="array" ref="P9">_xll.BDP($A9&amp;" Index","VOLATILITY_30D")</f>
        <v>41.398670000000003</v>
      </c>
      <c r="Q9" s="192" cm="1">
        <f t="array" aca="1" ref="Q9" ca="1">(_xll.BDP(($B9&amp; " Equity"),"CORR_COEF", "BETA_OVERRIDE_REL_INDEX",($C9&amp; " Equity"),"BETA_OVERRIDE_END_DT",$Q$5,"BETA_OVERRIDE_START_DT",$Q$4))*100</f>
        <v>-10.733237773941834</v>
      </c>
      <c r="R9" s="188"/>
      <c r="S9" s="188" cm="1">
        <f t="array" ref="S9">_xll.BDP($A9&amp;" Index","CHG_PCT_2D")/100</f>
        <v>-0.12192119999999999</v>
      </c>
      <c r="T9" s="188" cm="1">
        <f t="array" ref="T9">_xll.BDP($A9&amp;" Index","CHG_PCT_5D")/100</f>
        <v>-8.5867150000000003E-2</v>
      </c>
      <c r="U9" s="188" cm="1">
        <f t="array" ref="U9">K9/_xll.BDP($A9&amp;" Index","HIGH_52WEEK")-1</f>
        <v>-0.27138257190992632</v>
      </c>
      <c r="V9" s="188" cm="1">
        <f t="array" ref="V9">K9/_xll.BDP($A9&amp;" Index","LOW_52WEEK")-1</f>
        <v>0.16345724893089431</v>
      </c>
      <c r="W9" s="188"/>
      <c r="X9" s="192" cm="1">
        <f t="array" ref="X9">_xll.BDP($A9&amp;" Index","RSI_14D")</f>
        <v>32.818449999999999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-6.993563536998304E-2</v>
      </c>
      <c r="AE9" s="188"/>
      <c r="AF9" s="195">
        <f>IF(ISTEXT(B9),_xll.BDP(B9 &amp; " Equity","EXPECTED_REPORT_DT")*1,"")</f>
        <v>46142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2.2432288516825638</v>
      </c>
      <c r="AI9" s="196" cm="1">
        <f t="array" ref="AI9">(_xll.BDP(C9&amp;" Equity","SHORT_INT")/_xll.BDP(C9&amp;" Equity","VOLUME_AVG_90D"))</f>
        <v>2.3309741974337639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3.2794430700189947E-2</v>
      </c>
      <c r="AN9" s="194">
        <f ca="1">IF(ISTEXT(B9),AP9/_xll.BDH(B9 &amp;  " Equity","BEST_EPS",$AN$3,$AN$3,"BEST_FPERIOD_OVERRIDE=1BF","CDR=US","Fill=p")-1,"")</f>
        <v>6.4646225016309788E-2</v>
      </c>
      <c r="AO9" s="196">
        <f t="shared" ca="1" si="7"/>
        <v>23.970252353629323</v>
      </c>
      <c r="AP9" s="196" cm="1">
        <f t="array" aca="1" ref="AP9" ca="1">IF(ISTEXT(B9),_xll.BDH(B9 &amp;  " Equity","BEST_EPS",$Q$3,$Q$3,"BEST_FPERIOD_OVERRIDE=1BF","CDR=US","Fill=p"),"")</f>
        <v>17.951000000000001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716.5</v>
      </c>
      <c r="H10" s="257" cm="1">
        <f t="array" ref="H10">G10/_xll.BDP(B10&amp;" Equity", "PREV_CLOSE_VAL")-1</f>
        <v>-2.9540436943831128E-2</v>
      </c>
      <c r="I10" s="256" cm="1">
        <f t="array" ref="I10">_xll.BDP(C10&amp;" Equity","LAST PRICE")</f>
        <v>691.97</v>
      </c>
      <c r="J10" s="257" cm="1">
        <f t="array" ref="J10">I10/_xll.BDP(C10&amp;" Equity", "PREV_CLOSE_VAL")-1</f>
        <v>-2.9825370295659681E-3</v>
      </c>
      <c r="K10" s="258">
        <f t="shared" si="1"/>
        <v>1.0354495137072417</v>
      </c>
      <c r="L10" s="257" cm="1">
        <f t="array" ref="L10">K10/(_xll.BDP(B10&amp;" Equity", "PREV_CLOSE_VAL")/_xll.BDP(C10&amp;" Equity", "PREV_CLOSE_VAL"))-1</f>
        <v>-2.6637346787428129E-2</v>
      </c>
      <c r="M10" s="257"/>
      <c r="N10" s="190">
        <f t="shared" si="2"/>
        <v>1.0969505707372147</v>
      </c>
      <c r="O10" s="191">
        <f t="shared" si="3"/>
        <v>2.4283087586641466E-2</v>
      </c>
      <c r="P10" s="259" cm="1">
        <f t="array" ref="P10">_xll.BDP($A10&amp;" Index","VOLATILITY_30D")</f>
        <v>38.537260000000003</v>
      </c>
      <c r="Q10" s="259" cm="1">
        <f t="array" aca="1" ref="Q10" ca="1">(_xll.BDP(($B10&amp; " Equity"),"CORR_COEF", "BETA_OVERRIDE_REL_INDEX",($C10&amp; " Equity"),"BETA_OVERRIDE_END_DT",$Q$5,"BETA_OVERRIDE_START_DT",$Q$4))*100</f>
        <v>39.541558093979262</v>
      </c>
      <c r="R10" s="257"/>
      <c r="S10" s="257" cm="1">
        <f t="array" ref="S10">_xll.BDP($A10&amp;" Index","CHG_PCT_2D")/100</f>
        <v>7.8835379999999997E-2</v>
      </c>
      <c r="T10" s="257" cm="1">
        <f t="array" ref="T10">_xll.BDP($A10&amp;" Index","CHG_PCT_5D")/100</f>
        <v>8.5414890000000007E-2</v>
      </c>
      <c r="U10" s="257" cm="1">
        <f t="array" ref="U10">K10/_xll.BDP($A10&amp;" Index","HIGH_52WEEK")-1</f>
        <v>-0.15820534636214656</v>
      </c>
      <c r="V10" s="257" cm="1">
        <f t="array" ref="V10">K10/_xll.BDP($A10&amp;" Index","LOW_52WEEK")-1</f>
        <v>0.16229024852923724</v>
      </c>
      <c r="W10" s="257"/>
      <c r="X10" s="259" cm="1">
        <f t="array" ref="X10">_xll.BDP($A10&amp;" Index","RSI_14D")</f>
        <v>75.708460000000002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-5.8682260266143982E-2</v>
      </c>
      <c r="AE10" s="257"/>
      <c r="AF10" s="261">
        <f>IF(ISTEXT(B10),_xll.BDP(B10 &amp; " Equity","EXPECTED_REPORT_DT")*1,"")</f>
        <v>46142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1.8530979242077572</v>
      </c>
      <c r="AI10" s="262" cm="1">
        <f t="array" ref="AI10">(_xll.BDP(C10&amp;" Equity","SHORT_INT")/_xll.BDP(C10&amp;" Equity","VOLUME_AVG_90D"))</f>
        <v>1.3539141344739443</v>
      </c>
      <c r="AJ10" s="262" cm="1">
        <f t="array" ref="AJ10">(_xll.BDP(B10&amp;" Equity","SHORT_INT"))/((_xll.BDP(B10&amp;" Equity","EQY_FREE_FLOAT_PCT"))*(_xll.BDP(B10&amp;" Equity","EQY_SH_OUT_TOT_MULT_SH")))/100</f>
        <v>1.2886696817530352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-1.4077335489861342E-2</v>
      </c>
      <c r="AN10" s="260">
        <f ca="1">IF(ISTEXT(B10),AP10/_xll.BDH(B10 &amp;  " Equity","BEST_EPS",$AN$3,$AN$3,"BEST_FPERIOD_OVERRIDE=1BF","CDR=US","Fill=p")-1,"")</f>
        <v>-1.7589082638362896E-3</v>
      </c>
      <c r="AO10" s="262">
        <f t="shared" ca="1" si="7"/>
        <v>21.76686818361333</v>
      </c>
      <c r="AP10" s="262" cm="1">
        <f t="array" aca="1" ref="AP10" ca="1">IF(ISTEXT(B10),_xll.BDH(B10 &amp;  " Equity","BEST_EPS",$Q$3,$Q$3,"BEST_FPERIOD_OVERRIDE=1BF","CDR=US","Fill=p"),"")</f>
        <v>32.917000000000002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-1.0090803851889988E-3</v>
      </c>
      <c r="E11" s="255">
        <f>SUMIF(Tabelad[Ticker],PAIR_Monitor!C11,Tabelad[Exp %])</f>
        <v>1.0090803851889988E-3</v>
      </c>
      <c r="F11" s="254"/>
      <c r="G11" s="256" cm="1">
        <f t="array" ref="G11">_xll.BDP(B11&amp;" Equity","LAST PRICE")</f>
        <v>716.5</v>
      </c>
      <c r="H11" s="257" cm="1">
        <f t="array" ref="H11">G11/_xll.BDP(B11&amp;" Equity", "PREV_CLOSE_VAL")-1</f>
        <v>-2.9540436943831128E-2</v>
      </c>
      <c r="I11" s="256" cm="1">
        <f t="array" ref="I11">_xll.BDP(C11&amp;" Equity","LAST PRICE")</f>
        <v>259.48</v>
      </c>
      <c r="J11" s="257" cm="1">
        <f t="array" ref="J11">I11/_xll.BDP(C11&amp;" Equity", "PREV_CLOSE_VAL")-1</f>
        <v>4.6461204893915031E-3</v>
      </c>
      <c r="K11" s="258">
        <f t="shared" si="1"/>
        <v>2.7612918143980267</v>
      </c>
      <c r="L11" s="257" cm="1">
        <f t="array" ref="L11">K11/(_xll.BDP(B11&amp;" Equity", "PREV_CLOSE_VAL")/_xll.BDP(C11&amp;" Equity", "PREV_CLOSE_VAL"))-1</f>
        <v>-3.4028457121368594E-2</v>
      </c>
      <c r="M11" s="257"/>
      <c r="N11" s="190">
        <f t="shared" si="2"/>
        <v>1.3576851277975022</v>
      </c>
      <c r="O11" s="191">
        <f t="shared" si="3"/>
        <v>2.5063585381222438E-2</v>
      </c>
      <c r="P11" s="259" cm="1">
        <f t="array" ref="P11">_xll.BDP($A11&amp;" Index","VOLATILITY_30D")</f>
        <v>39.775910000000003</v>
      </c>
      <c r="Q11" s="259" cm="1">
        <f t="array" aca="1" ref="Q11" ca="1">(_xll.BDP(($B11&amp; " Equity"),"CORR_COEF", "BETA_OVERRIDE_REL_INDEX",($C11&amp; " Equity"),"BETA_OVERRIDE_END_DT",$Q$5,"BETA_OVERRIDE_START_DT",$Q$4))*100</f>
        <v>13.478822374414232</v>
      </c>
      <c r="R11" s="257"/>
      <c r="S11" s="257" cm="1">
        <f t="array" ref="S11">_xll.BDP($A11&amp;" Index","CHG_PCT_2D")/100</f>
        <v>5.3174289999999999E-2</v>
      </c>
      <c r="T11" s="257" cm="1">
        <f t="array" ref="T11">_xll.BDP($A11&amp;" Index","CHG_PCT_5D")/100</f>
        <v>3.4093640000000001E-2</v>
      </c>
      <c r="U11" s="257" cm="1">
        <f t="array" ref="U11">K11/_xll.BDP($A11&amp;" Index","HIGH_52WEEK")-1</f>
        <v>-0.27675114214672281</v>
      </c>
      <c r="V11" s="257" cm="1">
        <f t="array" ref="V11">K11/_xll.BDP($A11&amp;" Index","LOW_52WEEK")-1</f>
        <v>0.2615262875016684</v>
      </c>
      <c r="W11" s="257"/>
      <c r="X11" s="259" cm="1">
        <f t="array" ref="X11">_xll.BDP($A11&amp;" Index","RSI_14D")</f>
        <v>76.189629999999994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-9.1680324211175446E-2</v>
      </c>
      <c r="AE11" s="257"/>
      <c r="AF11" s="261">
        <f>IF(ISTEXT(B11),_xll.BDP(B11 &amp; " Equity","EXPECTED_REPORT_DT")*1,"")</f>
        <v>46142</v>
      </c>
      <c r="AG11" s="261">
        <f>IF(ISTEXT(C11),_xll.BDP(C11 &amp; " Equity","EXPECTED_REPORT_DT")*1,"")</f>
        <v>46143</v>
      </c>
      <c r="AH11" s="262" cm="1">
        <f t="array" ref="AH11">(_xll.BDP(B11&amp;" Equity","SHORT_INT")/_xll.BDP(B11&amp;" Equity","VOLUME_AVG_90D"))</f>
        <v>1.8530979242077572</v>
      </c>
      <c r="AI11" s="262" cm="1">
        <f t="array" ref="AI11">(_xll.BDP(C11&amp;" Equity","SHORT_INT")/_xll.BDP(C11&amp;" Equity","VOLUME_AVG_90D"))</f>
        <v>2.4142111409597411</v>
      </c>
      <c r="AJ11" s="262" cm="1">
        <f t="array" ref="AJ11">(_xll.BDP(B11&amp;" Equity","SHORT_INT"))/((_xll.BDP(B11&amp;" Equity","EQY_FREE_FLOAT_PCT"))*(_xll.BDP(B11&amp;" Equity","EQY_SH_OUT_TOT_MULT_SH")))/100</f>
        <v>1.2886696817530352</v>
      </c>
      <c r="AK11" s="262" cm="1">
        <f t="array" ref="AK11">(_xll.BDP(C11&amp;" Equity","SHORT_INT"))/((_xll.BDP(C11&amp;" Equity","EQY_FREE_FLOAT_PCT"))*(_xll.BDP(C11&amp;" Equity","EQY_SH_OUT_TOT_MULT_SH")))/100</f>
        <v>0.78724295695842439</v>
      </c>
      <c r="AM11" s="260">
        <f ca="1">IF(ISTEXT(B11),AP11/_xll.BDH(B11 &amp;  " Equity","BEST_EPS",$AM$3,$AM$3,"BEST_FPERIOD_OVERRIDE=1BF","CDR=US","Fill=p")-1,"")</f>
        <v>-1.4077335489861342E-2</v>
      </c>
      <c r="AN11" s="260">
        <f ca="1">IF(ISTEXT(B11),AP11/_xll.BDH(B11 &amp;  " Equity","BEST_EPS",$AN$3,$AN$3,"BEST_FPERIOD_OVERRIDE=1BF","CDR=US","Fill=p")-1,"")</f>
        <v>-1.7589082638362896E-3</v>
      </c>
      <c r="AO11" s="262">
        <f t="shared" ca="1" si="7"/>
        <v>21.76686818361333</v>
      </c>
      <c r="AP11" s="262" cm="1">
        <f t="array" aca="1" ref="AP11" ca="1">IF(ISTEXT(B11),_xll.BDH(B11 &amp;  " Equity","BEST_EPS",$Q$3,$Q$3,"BEST_FPERIOD_OVERRIDE=1BF","CDR=US","Fill=p"),"")</f>
        <v>32.917000000000002</v>
      </c>
      <c r="AR11" s="260">
        <f ca="1">IF(ISTEXT(C11),AU11/_xll.BDH(C11 &amp;  " Equity","BEST_EPS",$AM$3,$AM$3,"BEST_FPERIOD_OVERRIDE=1BF","CDR=US","Fill=p")-1,"")</f>
        <v>1.9464433172112772E-2</v>
      </c>
      <c r="AS11" s="260">
        <f ca="1">IF(ISTEXT(C11),AU11/_xll.BDH(C11 &amp;  " Equity","BEST_EPS",$AN$3,$AN$3,"BEST_FPERIOD_OVERRIDE=1BF","CDR=US","Fill=p")-1,"")</f>
        <v>5.2746985016445258E-2</v>
      </c>
      <c r="AT11" s="262">
        <f t="shared" ca="1" si="8"/>
        <v>30.025457070122659</v>
      </c>
      <c r="AU11" s="262" cm="1">
        <f t="array" aca="1" ref="AU11" ca="1">IF(ISTEXT(C11),_xll.BDH(C11 &amp;  " Equity","BEST_EPS",$Q$3,$Q$3,"BEST_FPERIOD_OVERRIDE=1BF","CDR=US","Fill=p"),"")</f>
        <v>8.6419999999999995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5001.84</v>
      </c>
      <c r="H12" s="188" cm="1">
        <f t="array" ref="H12">G12/_xll.BDP(B12&amp;" Equity", "PREV_CLOSE_VAL")-1</f>
        <v>-2.180188214310852E-2</v>
      </c>
      <c r="I12" s="187" cm="1">
        <f t="array" ref="I12">_xll.BDP(C12&amp;" Equity","LAST PRICE")</f>
        <v>129.37</v>
      </c>
      <c r="J12" s="188" cm="1">
        <f t="array" ref="J12">I12/_xll.BDP(C12&amp;" Equity", "PREV_CLOSE_VAL")-1</f>
        <v>-1.8213553919708581E-2</v>
      </c>
      <c r="K12" s="189">
        <f t="shared" si="1"/>
        <v>38.663059441910796</v>
      </c>
      <c r="L12" s="188" cm="1">
        <f t="array" ref="L12">K12/(_xll.BDP(B12&amp;" Equity", "PREV_CLOSE_VAL")/_xll.BDP(C12&amp;" Equity", "PREV_CLOSE_VAL"))-1</f>
        <v>-3.6548968848838514E-3</v>
      </c>
      <c r="M12" s="188"/>
      <c r="N12" s="190">
        <f t="shared" si="2"/>
        <v>0.29228654973386631</v>
      </c>
      <c r="O12" s="191">
        <f t="shared" si="3"/>
        <v>1.2504499054820414E-2</v>
      </c>
      <c r="P12" s="192" cm="1">
        <f t="array" ref="P12">_xll.BDP($A12&amp;" Index","VOLATILITY_30D")</f>
        <v>19.844639999999998</v>
      </c>
      <c r="Q12" s="192" cm="1">
        <f t="array" aca="1" ref="Q12" ca="1">(_xll.BDP(($B12&amp; " Equity"),"CORR_COEF", "BETA_OVERRIDE_REL_INDEX",($C12&amp; " Equity"),"BETA_OVERRIDE_END_DT",$Q$5,"BETA_OVERRIDE_START_DT",$Q$4))*100</f>
        <v>74.240824977404756</v>
      </c>
      <c r="R12" s="188"/>
      <c r="S12" s="188" cm="1">
        <f t="array" ref="S12">_xll.BDP($A12&amp;" Index","CHG_PCT_2D")/100</f>
        <v>2.8132629999999999E-3</v>
      </c>
      <c r="T12" s="188" cm="1">
        <f t="array" ref="T12">_xll.BDP($A12&amp;" Index","CHG_PCT_5D")/100</f>
        <v>4.7632059999999999E-3</v>
      </c>
      <c r="U12" s="188" cm="1">
        <f t="array" ref="U12">K12/_xll.BDP($A12&amp;" Index","HIGH_52WEEK")-1</f>
        <v>-0.16294700219940039</v>
      </c>
      <c r="V12" s="188" cm="1">
        <f t="array" ref="V12">K12/_xll.BDP($A12&amp;" Index","LOW_52WEEK")-1</f>
        <v>0.23721196352372043</v>
      </c>
      <c r="W12" s="188"/>
      <c r="X12" s="192" cm="1">
        <f t="array" ref="X12">_xll.BDP($A12&amp;" Index","RSI_14D")</f>
        <v>45.508459999999999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-1.2126209787962638E-3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46065</v>
      </c>
      <c r="AH12" s="196" cm="1">
        <f t="array" ref="AH12">(_xll.BDP(B12&amp;" Equity","SHORT_INT")/_xll.BDP(B12&amp;" Equity","VOLUME_AVG_90D"))</f>
        <v>2.9228833608867251</v>
      </c>
      <c r="AI12" s="196" cm="1">
        <f t="array" ref="AI12">(_xll.BDP(C12&amp;" Equity","SHORT_INT")/_xll.BDP(C12&amp;" Equity","VOLUME_AVG_90D"))</f>
        <v>3.6717243603836898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1.494903396104208E-2</v>
      </c>
      <c r="AN12" s="194">
        <f ca="1">IF(ISTEXT(B12),AP12/_xll.BDH(B12 &amp;  " Equity","BEST_EPS",$AN$3,$AN$3,"BEST_FPERIOD_OVERRIDE=1BF","CDR=US","Fill=p")-1,"")</f>
        <v>4.3519500731712846E-2</v>
      </c>
      <c r="AO12" s="196">
        <f t="shared" ca="1" si="7"/>
        <v>18.557017722852724</v>
      </c>
      <c r="AP12" s="196" cm="1">
        <f t="array" aca="1" ref="AP12" ca="1">IF(ISTEXT(B12),_xll.BDH(B12 &amp;  " Equity","BEST_EPS",$Q$3,$Q$3,"BEST_FPERIOD_OVERRIDE=1BF","CDR=US","Fill=p"),"")</f>
        <v>269.53899999999999</v>
      </c>
      <c r="AR12" s="194">
        <f ca="1">IF(ISTEXT(C12),AU12/_xll.BDH(C12 &amp;  " Equity","BEST_EPS",$AM$3,$AM$3,"BEST_FPERIOD_OVERRIDE=1BF","CDR=US","Fill=p")-1,"")</f>
        <v>1.5738248084489648E-2</v>
      </c>
      <c r="AS12" s="194">
        <f ca="1">IF(ISTEXT(C12),AU12/_xll.BDH(C12 &amp;  " Equity","BEST_EPS",$AN$3,$AN$3,"BEST_FPERIOD_OVERRIDE=1BF","CDR=US","Fill=p")-1,"")</f>
        <v>4.4951001278227487E-2</v>
      </c>
      <c r="AT12" s="196">
        <f t="shared" ca="1" si="8"/>
        <v>26.375127420998979</v>
      </c>
      <c r="AU12" s="196" cm="1">
        <f t="array" aca="1" ref="AU12" ca="1">IF(ISTEXT(C12),_xll.BDH(C12 &amp;  " Equity","BEST_EPS",$Q$3,$Q$3,"BEST_FPERIOD_OVERRIDE=1BF","CDR=US","Fill=p"),"")</f>
        <v>4.9050000000000002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5.8905450620070172E-3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330.56</v>
      </c>
      <c r="H13" s="257" cm="1">
        <f t="array" ref="H13">G13/_xll.BDP(B13&amp;" Equity", "PREV_CLOSE_VAL")-1</f>
        <v>-2.6476218524517758E-2</v>
      </c>
      <c r="I13" s="256" cm="1">
        <f t="array" ref="I13">_xll.BDP(C13&amp;" Equity","LAST PRICE")</f>
        <v>346.3</v>
      </c>
      <c r="J13" s="257" cm="1">
        <f t="array" ref="J13">I13/_xll.BDP(C13&amp;" Equity", "PREV_CLOSE_VAL")-1</f>
        <v>-4.106554426383846E-2</v>
      </c>
      <c r="K13" s="258">
        <f t="shared" si="1"/>
        <v>0.95454807969968236</v>
      </c>
      <c r="L13" s="257" cm="1">
        <f t="array" ref="L13">K13/(_xll.BDP(B13&amp;" Equity", "PREV_CLOSE_VAL")/_xll.BDP(C13&amp;" Equity", "PREV_CLOSE_VAL"))-1</f>
        <v>1.5214101080684106E-2</v>
      </c>
      <c r="M13" s="257"/>
      <c r="N13" s="190">
        <f t="shared" si="2"/>
        <v>0.91368928432801977</v>
      </c>
      <c r="O13" s="191">
        <f t="shared" si="3"/>
        <v>1.6651285444234405E-2</v>
      </c>
      <c r="P13" s="259" cm="1">
        <f t="array" ref="P13">_xll.BDP($A13&amp;" Index","VOLATILITY_30D")</f>
        <v>26.42559</v>
      </c>
      <c r="Q13" s="259" cm="1">
        <f t="array" aca="1" ref="Q13" ca="1">(_xll.BDP(($B13&amp; " Equity"),"CORR_COEF", "BETA_OVERRIDE_REL_INDEX",($C13&amp; " Equity"),"BETA_OVERRIDE_END_DT",$Q$5,"BETA_OVERRIDE_START_DT",$Q$4))*100</f>
        <v>73.384222686855821</v>
      </c>
      <c r="R13" s="257"/>
      <c r="S13" s="257" cm="1">
        <f t="array" ref="S13">_xll.BDP($A13&amp;" Index","CHG_PCT_2D")/100</f>
        <v>5.3496139999999999E-3</v>
      </c>
      <c r="T13" s="257" cm="1">
        <f t="array" ref="T13">_xll.BDP($A13&amp;" Index","CHG_PCT_5D")/100</f>
        <v>-1.7246620000000001E-2</v>
      </c>
      <c r="U13" s="257" cm="1">
        <f t="array" ref="U13">K13/_xll.BDP($A13&amp;" Index","HIGH_52WEEK")-1</f>
        <v>-0.10224396695099758</v>
      </c>
      <c r="V13" s="257" cm="1">
        <f t="array" ref="V13">K13/_xll.BDP($A13&amp;" Index","LOW_52WEEK")-1</f>
        <v>0.11577800081786371</v>
      </c>
      <c r="W13" s="257"/>
      <c r="X13" s="259" cm="1">
        <f t="array" ref="X13">_xll.BDP($A13&amp;" Index","RSI_14D")</f>
        <v>40.046370000000003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6.0608977444091439E-2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1.7491948153892027</v>
      </c>
      <c r="AI13" s="262" cm="1">
        <f t="array" ref="AI13">(_xll.BDP(C13&amp;" Equity","SHORT_INT")/_xll.BDP(C13&amp;" Equity","VOLUME_AVG_90D"))</f>
        <v>1.171485200845666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0.1877908790808287</v>
      </c>
      <c r="AN13" s="260">
        <f ca="1">IF(ISTEXT(B13),AP13/_xll.BDH(B13 &amp;  " Equity","BEST_EPS",$AN$3,$AN$3,"BEST_FPERIOD_OVERRIDE=1BF","CDR=US","Fill=p")-1,"")</f>
        <v>0.22628148212313492</v>
      </c>
      <c r="AO13" s="262">
        <f t="shared" ca="1" si="7"/>
        <v>0.7297001377459118</v>
      </c>
      <c r="AP13" s="262" cm="1">
        <f t="array" aca="1" ref="AP13" ca="1">IF(ISTEXT(B13),_xll.BDH(B13 &amp;  " Equity","BEST_EPS",$Q$3,$Q$3,"BEST_FPERIOD_OVERRIDE=1BF","CDR=US","Fill=p"),"")</f>
        <v>453.00799999999998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2.178169592163067E-3</v>
      </c>
      <c r="E14" s="263"/>
      <c r="F14" s="254"/>
      <c r="G14" s="256" cm="1">
        <f t="array" ref="G14">_xll.BDP(B14&amp;" Equity","LAST PRICE")</f>
        <v>191.13</v>
      </c>
      <c r="H14" s="257" cm="1">
        <f t="array" ref="H14">G14/_xll.BDP(B14&amp;" Equity", "PREV_CLOSE_VAL")-1</f>
        <v>-7.1684587813619638E-3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1.4448872331094784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3.9097138250705488E-2</v>
      </c>
      <c r="AN14" s="260">
        <f ca="1">IF(ISTEXT(B14),AP14/_xll.BDH(B14 &amp;  " Equity","BEST_EPS",$AN$3,$AN$3,"BEST_FPERIOD_OVERRIDE=1BF","CDR=US","Fill=p")-1,"")</f>
        <v>0.27476512279545084</v>
      </c>
      <c r="AO14" s="262">
        <f t="shared" ca="1" si="7"/>
        <v>24.712955779674164</v>
      </c>
      <c r="AP14" s="262" cm="1">
        <f t="array" aca="1" ref="AP14" ca="1">IF(ISTEXT(B14),_xll.BDH(B14 &amp;  " Equity","BEST_EPS",$Q$3,$Q$3,"BEST_FPERIOD_OVERRIDE=1BF","CDR=US","Fill=p"),"")</f>
        <v>7.734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321.83</v>
      </c>
      <c r="H15" s="188" cm="1">
        <f t="array" ref="H15">G15/_xll.BDP(B15&amp;" Equity", "PREV_CLOSE_VAL")-1</f>
        <v>-3.0048221820373811E-2</v>
      </c>
      <c r="I15" s="187" cm="1">
        <f t="array" ref="I15">_xll.BDP(C15&amp;" Equity","LAST PRICE")</f>
        <v>198.08</v>
      </c>
      <c r="J15" s="188" cm="1">
        <f t="array" ref="J15">I15/_xll.BDP(C15&amp;" Equity", "PREV_CLOSE_VAL")-1</f>
        <v>-2.2164013701390095E-3</v>
      </c>
      <c r="K15" s="189">
        <f t="shared" si="1"/>
        <v>1.6247475767366719</v>
      </c>
      <c r="L15" s="188" cm="1">
        <f t="array" ref="L15">K15/(_xll.BDP(B15&amp;" Equity", "PREV_CLOSE_VAL")/_xll.BDP(C15&amp;" Equity", "PREV_CLOSE_VAL"))-1</f>
        <v>-2.7893643960927972E-2</v>
      </c>
      <c r="M15" s="188"/>
      <c r="N15" s="190">
        <f t="shared" si="2"/>
        <v>2.1056192687467656</v>
      </c>
      <c r="O15" s="191">
        <f t="shared" si="3"/>
        <v>1.3247240075614368E-2</v>
      </c>
      <c r="P15" s="192" cm="1">
        <f t="array" ref="P15">_xll.BDP($A15&amp;" Index","VOLATILITY_30D")</f>
        <v>21.02337</v>
      </c>
      <c r="Q15" s="192" cm="1">
        <f t="array" aca="1" ref="Q15" ca="1">(_xll.BDP(($B15&amp; " Equity"),"CORR_COEF", "BETA_OVERRIDE_REL_INDEX",($C15&amp; " Equity"),"BETA_OVERRIDE_END_DT",$Q$5,"BETA_OVERRIDE_START_DT",$Q$4))*100</f>
        <v>48.086907126462755</v>
      </c>
      <c r="R15" s="188"/>
      <c r="S15" s="188" cm="1">
        <f t="array" ref="S15">_xll.BDP($A15&amp;" Index","CHG_PCT_2D")/100</f>
        <v>-1.084009E-2</v>
      </c>
      <c r="T15" s="188" cm="1">
        <f t="array" ref="T15">_xll.BDP($A15&amp;" Index","CHG_PCT_5D")/100</f>
        <v>-5.863526E-3</v>
      </c>
      <c r="U15" s="188" cm="1">
        <f t="array" ref="U15">K15/_xll.BDP($A15&amp;" Index","HIGH_52WEEK")-1</f>
        <v>-0.22050903786915377</v>
      </c>
      <c r="V15" s="188" cm="1">
        <f t="array" ref="V15">K15/_xll.BDP($A15&amp;" Index","LOW_52WEEK")-1</f>
        <v>-4.0105825839231724E-3</v>
      </c>
      <c r="W15" s="188"/>
      <c r="X15" s="192" cm="1">
        <f t="array" ref="X15">_xll.BDP($A15&amp;" Index","RSI_14D")</f>
        <v>41.199910000000003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-0.18762621163166404</v>
      </c>
      <c r="AE15" s="188"/>
      <c r="AF15" s="195">
        <f>IF(ISTEXT(B15),_xll.BDP(B15 &amp; " Equity","EXPECTED_REPORT_DT")*1,"")</f>
        <v>46141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3.3261591404606978</v>
      </c>
      <c r="AI15" s="196" cm="1">
        <f t="array" ref="AI15">(_xll.BDP(C15&amp;" Equity","SHORT_INT")/_xll.BDP(C15&amp;" Equity","VOLUME_AVG_90D"))</f>
        <v>2.2504754406967789</v>
      </c>
      <c r="AJ15" s="196" cm="1">
        <f t="array" ref="AJ15">(_xll.BDP(B15&amp;" Equity","SHORT_INT"))/((_xll.BDP(B15&amp;" Equity","EQY_FREE_FLOAT_PCT"))*(_xll.BDP(B15&amp;" Equity","EQY_SH_OUT_TOT_MULT_SH")))/100</f>
        <v>1.2231172169110915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1.2719563900666309E-2</v>
      </c>
      <c r="AN15" s="194">
        <f ca="1">IF(ISTEXT(B15),AP15/_xll.BDH(B15 &amp;  " Equity","BEST_EPS",$AN$3,$AN$3,"BEST_FPERIOD_OVERRIDE=1BF","CDR=US","Fill=p")-1,"")</f>
        <v>3.4013605442176909E-2</v>
      </c>
      <c r="AO15" s="196">
        <f t="shared" ca="1" si="7"/>
        <v>24.060257177033492</v>
      </c>
      <c r="AP15" s="196" cm="1">
        <f t="array" aca="1" ref="AP15" ca="1">IF(ISTEXT(B15),_xll.BDH(B15 &amp;  " Equity","BEST_EPS",$Q$3,$Q$3,"BEST_FPERIOD_OVERRIDE=1BF","CDR=US","Fill=p"),"")</f>
        <v>13.375999999999999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538.79</v>
      </c>
      <c r="H16" s="188" cm="1">
        <f t="array" ref="H16">G16/_xll.BDP(B16&amp;" Equity", "PREV_CLOSE_VAL")-1</f>
        <v>-9.0853916465893914E-3</v>
      </c>
      <c r="I16" s="187" cm="1">
        <f t="array" ref="I16">_xll.BDP(C16&amp;" Equity","LAST PRICE")</f>
        <v>198.08</v>
      </c>
      <c r="J16" s="188" cm="1">
        <f t="array" ref="J16">I16/_xll.BDP(C16&amp;" Equity", "PREV_CLOSE_VAL")-1</f>
        <v>-2.2164013701390095E-3</v>
      </c>
      <c r="K16" s="189">
        <f t="shared" si="1"/>
        <v>2.720062600969305</v>
      </c>
      <c r="L16" s="188" cm="1">
        <f t="array" ref="L16">K16/(_xll.BDP(B16&amp;" Equity", "PREV_CLOSE_VAL")/_xll.BDP(C16&amp;" Equity", "PREV_CLOSE_VAL"))-1</f>
        <v>-6.8842485343342252E-3</v>
      </c>
      <c r="M16" s="188"/>
      <c r="N16" s="190">
        <f t="shared" si="2"/>
        <v>0.49252942241933739</v>
      </c>
      <c r="O16" s="191">
        <f t="shared" si="3"/>
        <v>1.397733459357278E-2</v>
      </c>
      <c r="P16" s="192" cm="1">
        <f t="array" ref="P16">_xll.BDP($A16&amp;" Index","VOLATILITY_30D")</f>
        <v>22.182030000000001</v>
      </c>
      <c r="Q16" s="192" cm="1">
        <f t="array" aca="1" ref="Q16" ca="1">(_xll.BDP(($B16&amp; " Equity"),"CORR_COEF", "BETA_OVERRIDE_REL_INDEX",($C16&amp; " Equity"),"BETA_OVERRIDE_END_DT",$Q$5,"BETA_OVERRIDE_START_DT",$Q$4))*100</f>
        <v>60.964608963254776</v>
      </c>
      <c r="R16" s="188"/>
      <c r="S16" s="188" cm="1">
        <f t="array" ref="S16">_xll.BDP($A16&amp;" Index","CHG_PCT_2D")/100</f>
        <v>3.5684670000000002E-2</v>
      </c>
      <c r="T16" s="188" cm="1">
        <f t="array" ref="T16">_xll.BDP($A16&amp;" Index","CHG_PCT_5D")/100</f>
        <v>3.1680310000000003E-2</v>
      </c>
      <c r="U16" s="188" cm="1">
        <f t="array" ref="U16">K16/_xll.BDP($A16&amp;" Index","HIGH_52WEEK")-1</f>
        <v>-0.18049669164207061</v>
      </c>
      <c r="V16" s="188" cm="1">
        <f t="array" ref="V16">K16/_xll.BDP($A16&amp;" Index","LOW_52WEEK")-1</f>
        <v>3.9759408638712967E-2</v>
      </c>
      <c r="W16" s="188"/>
      <c r="X16" s="192" cm="1">
        <f t="array" ref="X16">_xll.BDP($A16&amp;" Index","RSI_14D")</f>
        <v>44.451610000000002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-0.16562496902782053</v>
      </c>
      <c r="AE16" s="188"/>
      <c r="AF16" s="195">
        <f>IF(ISTEXT(B16),_xll.BDP(B16 &amp; " Equity","EXPECTED_REPORT_DT")*1,"")</f>
        <v>46143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2.3550124422324918</v>
      </c>
      <c r="AI16" s="196" cm="1">
        <f t="array" ref="AI16">(_xll.BDP(C16&amp;" Equity","SHORT_INT")/_xll.BDP(C16&amp;" Equity","VOLUME_AVG_90D"))</f>
        <v>2.2504754406967789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2.5779125705919448E-2</v>
      </c>
      <c r="AN16" s="194">
        <f ca="1">IF(ISTEXT(B16),AP16/_xll.BDH(B16 &amp;  " Equity","BEST_EPS",$AN$3,$AN$3,"BEST_FPERIOD_OVERRIDE=1BF","CDR=US","Fill=p")-1,"")</f>
        <v>5.4110693175712044E-2</v>
      </c>
      <c r="AO16" s="196">
        <f t="shared" ca="1" si="7"/>
        <v>27.465463628485494</v>
      </c>
      <c r="AP16" s="196" cm="1">
        <f t="array" aca="1" ref="AP16" ca="1">IF(ISTEXT(B16),_xll.BDH(B16 &amp;  " Equity","BEST_EPS",$Q$3,$Q$3,"BEST_FPERIOD_OVERRIDE=1BF","CDR=US","Fill=p"),"")</f>
        <v>19.617000000000001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3.9596753729187195E-3</v>
      </c>
      <c r="E17" s="255">
        <f>SUMIF(Tabelad[Ticker],PAIR_Monitor!C17,Tabelad[Exp %])-E16-E15</f>
        <v>-3.9596753729187195E-3</v>
      </c>
      <c r="F17" s="254"/>
      <c r="G17" s="187" cm="1">
        <f t="array" ref="G17">_xll.BDP(B17&amp;" Equity","LAST PRICE")</f>
        <v>53.44</v>
      </c>
      <c r="H17" s="188" cm="1">
        <f t="array" ref="H17">G17/_xll.BDP(B17&amp;" Equity", "PREV_CLOSE_VAL")-1</f>
        <v>-2.0541549953314586E-3</v>
      </c>
      <c r="I17" s="187" cm="1">
        <f t="array" ref="I17">_xll.BDP(C17&amp;" Equity","LAST PRICE")</f>
        <v>198.08</v>
      </c>
      <c r="J17" s="188" cm="1">
        <f t="array" ref="J17">I17/_xll.BDP(C17&amp;" Equity", "PREV_CLOSE_VAL")-1</f>
        <v>-2.2164013701390095E-3</v>
      </c>
      <c r="K17" s="189">
        <f t="shared" si="1"/>
        <v>0.2697899838449111</v>
      </c>
      <c r="L17" s="188" cm="1">
        <f t="array" ref="L17">K17/(_xll.BDP(B17&amp;" Equity", "PREV_CLOSE_VAL")/_xll.BDP(C17&amp;" Equity", "PREV_CLOSE_VAL"))-1</f>
        <v>1.6260677669022172E-4</v>
      </c>
      <c r="M17" s="188"/>
      <c r="N17" s="190">
        <f t="shared" si="2"/>
        <v>2.3589680842402865E-2</v>
      </c>
      <c r="O17" s="191">
        <f t="shared" si="3"/>
        <v>6.8931316950220541E-3</v>
      </c>
      <c r="P17" s="192" cm="1">
        <f t="array" ref="P17">_xll.BDP($A17&amp;" Index","VOLATILITY_30D")</f>
        <v>10.939399999999999</v>
      </c>
      <c r="Q17" s="192" cm="1">
        <f t="array" aca="1" ref="Q17" ca="1">(_xll.BDP(($B17&amp; " Equity"),"CORR_COEF", "BETA_OVERRIDE_REL_INDEX",($C17&amp; " Equity"),"BETA_OVERRIDE_END_DT",$Q$5,"BETA_OVERRIDE_START_DT",$Q$4))*100</f>
        <v>69.710939945022645</v>
      </c>
      <c r="R17" s="188"/>
      <c r="S17" s="188" cm="1">
        <f t="array" ref="S17">_xll.BDP($A17&amp;" Index","CHG_PCT_2D")/100</f>
        <v>1.13168E-2</v>
      </c>
      <c r="T17" s="188" cm="1">
        <f t="array" ref="T17">_xll.BDP($A17&amp;" Index","CHG_PCT_5D")/100</f>
        <v>1.2389879999999999E-2</v>
      </c>
      <c r="U17" s="188" cm="1">
        <f t="array" ref="U17">K17/_xll.BDP($A17&amp;" Index","HIGH_52WEEK")-1</f>
        <v>-7.0491011731572462E-2</v>
      </c>
      <c r="V17" s="188" cm="1">
        <f t="array" ref="V17">K17/_xll.BDP($A17&amp;" Index","LOW_52WEEK")-1</f>
        <v>1.2611131797887198E-2</v>
      </c>
      <c r="W17" s="188"/>
      <c r="X17" s="192" cm="1">
        <f t="array" ref="X17">_xll.BDP($A17&amp;" Index","RSI_14D")</f>
        <v>36.935110000000002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-6.968971087961684E-2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1.4870491783979434</v>
      </c>
      <c r="AI17" s="196" cm="1">
        <f t="array" ref="AI17">(_xll.BDP(C17&amp;" Equity","SHORT_INT")/_xll.BDP(C17&amp;" Equity","VOLUME_AVG_90D"))</f>
        <v>2.2504754406967789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53.44</v>
      </c>
      <c r="H18" s="188" cm="1">
        <f t="array" ref="H18">G18/_xll.BDP(B18&amp;" Equity", "PREV_CLOSE_VAL")-1</f>
        <v>-2.0541549953314586E-3</v>
      </c>
      <c r="I18" s="187" cm="1">
        <f t="array" ref="I18">_xll.BDP(C18&amp;" Equity","LAST PRICE")</f>
        <v>480.53</v>
      </c>
      <c r="J18" s="188" cm="1">
        <f t="array" ref="J18">I18/_xll.BDP(C18&amp;" Equity", "PREV_CLOSE_VAL")-1</f>
        <v>7.8441242475721928E-3</v>
      </c>
      <c r="K18" s="189">
        <f t="shared" si="1"/>
        <v>0.11121053836388987</v>
      </c>
      <c r="L18" s="188" cm="1">
        <f t="array" ref="L18">K18/(_xll.BDP(B18&amp;" Equity", "PREV_CLOSE_VAL")/_xll.BDP(C18&amp;" Equity", "PREV_CLOSE_VAL"))-1</f>
        <v>-9.8212402143965649E-3</v>
      </c>
      <c r="M18" s="188"/>
      <c r="N18" s="190">
        <f t="shared" si="2"/>
        <v>1.1370576148559663</v>
      </c>
      <c r="O18" s="191">
        <f t="shared" si="3"/>
        <v>8.6374165091367364E-3</v>
      </c>
      <c r="P18" s="192" cm="1">
        <f t="array" ref="P18">_xll.BDP($A18&amp;" Index","VOLATILITY_30D")</f>
        <v>13.70758</v>
      </c>
      <c r="Q18" s="192" cm="1">
        <f t="array" aca="1" ref="Q18" ca="1">(_xll.BDP(($B18&amp; " Equity"),"CORR_COEF", "BETA_OVERRIDE_REL_INDEX",($C18&amp; " Equity"),"BETA_OVERRIDE_END_DT",$Q$5,"BETA_OVERRIDE_START_DT",$Q$4))*100</f>
        <v>51.24920822429079</v>
      </c>
      <c r="R18" s="188"/>
      <c r="S18" s="188" cm="1">
        <f t="array" ref="S18">_xll.BDP($A18&amp;" Index","CHG_PCT_2D")/100</f>
        <v>-6.5559440000000002E-3</v>
      </c>
      <c r="T18" s="188" cm="1">
        <f t="array" ref="T18">_xll.BDP($A18&amp;" Index","CHG_PCT_5D")/100</f>
        <v>3.4268860000000001E-3</v>
      </c>
      <c r="U18" s="188" cm="1">
        <f t="array" ref="U18">K18/_xll.BDP($A18&amp;" Index","HIGH_52WEEK")-1</f>
        <v>-1.6445225401168551E-2</v>
      </c>
      <c r="V18" s="188" cm="1">
        <f t="array" ref="V18">K18/_xll.BDP($A18&amp;" Index","LOW_52WEEK")-1</f>
        <v>0.24941622698449462</v>
      </c>
      <c r="W18" s="188"/>
      <c r="X18" s="192" cm="1">
        <f t="array" ref="X18">_xll.BDP($A18&amp;" Index","RSI_14D")</f>
        <v>60.929200000000002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0.11210538363889877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1.4870491783979434</v>
      </c>
      <c r="AI18" s="196" cm="1">
        <f t="array" ref="AI18">(_xll.BDP(C18&amp;" Equity","SHORT_INT")/_xll.BDP(C18&amp;" Equity","VOLUME_AVG_90D"))</f>
        <v>2.2942701377666443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3.5410764872521039E-3</v>
      </c>
      <c r="AS18" s="194">
        <f ca="1">IF(ISTEXT(C18),AU18/_xll.BDH(C18 &amp;  " Equity","BEST_EPS",$AN$3,$AN$3,"BEST_FPERIOD_OVERRIDE=1BF","CDR=US","Fill=p")-1,"")</f>
        <v>-8.1661222585160953E-3</v>
      </c>
      <c r="AT18" s="196">
        <f t="shared" ca="1" si="8"/>
        <v>22.607856974829453</v>
      </c>
      <c r="AU18" s="196" cm="1">
        <f t="array" aca="1" ref="AU18" ca="1">IF(ISTEXT(C18),_xll.BDH(C18 &amp;  " Equity","BEST_EPS",$Q$3,$Q$3,"BEST_FPERIOD_OVERRIDE=1BF","CDR=US","Fill=p"),"")</f>
        <v>21.254999999999999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-2.9393445892808142E-3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7.8625666551070518E-4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37.880000000000003</v>
      </c>
      <c r="H29" s="188" cm="1">
        <f t="array" ref="H29">G29/_xll.BDP(B29&amp;" Equity", "PREV_CLOSE_VAL")-1</f>
        <v>-4.2060988433226809E-3</v>
      </c>
      <c r="I29" s="187" cm="1">
        <f t="array" ref="I29">_xll.BDP(C29&amp;" Equity","LAST PRICE")</f>
        <v>72.400000000000006</v>
      </c>
      <c r="J29" s="188" cm="1">
        <f t="array" ref="J29">I29/_xll.BDP(C29&amp;" Equity", "PREV_CLOSE_VAL")-1</f>
        <v>-3.1667355087428017E-3</v>
      </c>
      <c r="K29" s="189">
        <f t="shared" ref="K29:K41" si="9">G29/I29</f>
        <v>0.52320441988950273</v>
      </c>
      <c r="L29" s="188" cm="1">
        <f t="array" ref="L29">K29/(_xll.BDP(B29&amp;" Equity", "PREV_CLOSE_VAL")/_xll.BDP(C29&amp;" Equity", "PREV_CLOSE_VAL"))-1</f>
        <v>-1.0426651794274155E-3</v>
      </c>
      <c r="M29" s="188"/>
      <c r="N29" s="190">
        <f t="shared" ref="N29:N41" si="10">ABS(L29/O29)</f>
        <v>0.10360486995471943</v>
      </c>
      <c r="O29" s="191">
        <f>P29/15.87/100</f>
        <v>1.0063862633900442E-2</v>
      </c>
      <c r="P29" s="192" cm="1">
        <f t="array" ref="P29">_xll.BDP($A29&amp;" Index","VOLATILITY_30D")</f>
        <v>15.971349999999999</v>
      </c>
      <c r="Q29" s="192" cm="1">
        <f t="array" aca="1" ref="Q29" ca="1">(_xll.BDP(($B29&amp; " Equity"),"CORR_COEF", "BETA_OVERRIDE_REL_INDEX",($C29&amp; " Equity"),"BETA_OVERRIDE_END_DT",$Q$5,"BETA_OVERRIDE_START_DT",$Q$4))*100</f>
        <v>56.772249856866516</v>
      </c>
      <c r="R29" s="188"/>
      <c r="S29" s="188" cm="1">
        <f t="array" ref="S29">_xll.BDP($A29&amp;" Index","CHG_PCT_2D")/100</f>
        <v>-6.1755720000000007E-3</v>
      </c>
      <c r="T29" s="188" cm="1">
        <f t="array" ref="T29">_xll.BDP($A29&amp;" Index","CHG_PCT_5D")/100</f>
        <v>-7.4721409999999999E-3</v>
      </c>
      <c r="U29" s="188" cm="1">
        <f t="array" ref="U29">K29/_xll.BDP($A29&amp;" Index","HIGH_52WEEK")-1</f>
        <v>-0.11771400163656143</v>
      </c>
      <c r="V29" s="188" cm="1">
        <f t="array" ref="V29">K29/_xll.BDP($A29&amp;" Index","LOW_52WEEK")-1</f>
        <v>0.10902435485406592</v>
      </c>
      <c r="W29" s="188"/>
      <c r="X29" s="192" cm="1">
        <f t="array" ref="X29">_xll.BDP($A29&amp;" Index","RSI_14D")</f>
        <v>42.238500000000002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46063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1.6582512235542834</v>
      </c>
      <c r="AI29" s="196" cm="1">
        <f t="array" ref="AI29">(_xll.BDP(C29&amp;" Equity","SHORT_INT")/_xll.BDP(C29&amp;" Equity","VOLUME_AVG_90D"))</f>
        <v>10.882863677931118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-6.2783397279385644E-3</v>
      </c>
      <c r="AN29" s="194">
        <f ca="1">IF(ISTEXT(B29),AP29/_xll.BDH(B29 &amp;  " Equity","BEST_EPS",$AN$3,$AN$3,"BEST_FPERIOD_OVERRIDE=1BF","CDR=US","Fill=p")-1,"")</f>
        <v>-5.2374301675977009E-3</v>
      </c>
      <c r="AO29" s="196">
        <f t="shared" ref="AO29:AO41" ca="1" si="14">G29/AP29</f>
        <v>13.295893295893295</v>
      </c>
      <c r="AP29" s="196" cm="1">
        <f t="array" aca="1" ref="AP29" ca="1">IF(ISTEXT(B29),_xll.BDH(B29 &amp;  " Equity","BEST_EPS",$Q$3,$Q$3,"BEST_FPERIOD_OVERRIDE=1BF","CDR=US","Fill=p"),"")</f>
        <v>2.8490000000000002</v>
      </c>
      <c r="AR29" s="194">
        <f ca="1">IF(ISTEXT(C29),AU29/_xll.BDH(C29 &amp;  " Equity","BEST_EPS",$AM$3,$AM$3,"BEST_FPERIOD_OVERRIDE=1BF","CDR=US","Fill=p")-1,"")</f>
        <v>-9.7719869706840434E-3</v>
      </c>
      <c r="AS29" s="194">
        <f ca="1">IF(ISTEXT(C29),AU29/_xll.BDH(C29 &amp;  " Equity","BEST_EPS",$AN$3,$AN$3,"BEST_FPERIOD_OVERRIDE=1BF","CDR=US","Fill=p")-1,"")</f>
        <v>-3.8251366120218622E-2</v>
      </c>
      <c r="AT29" s="196">
        <f t="shared" ref="AT29:AT41" ca="1" si="15">I29/AU29</f>
        <v>10.825358851674643</v>
      </c>
      <c r="AU29" s="196" cm="1">
        <f t="array" aca="1" ref="AU29" ca="1">IF(ISTEXT(C29),_xll.BDH(C29 &amp;  " Equity","BEST_EPS",$Q$3,$Q$3,"BEST_FPERIOD_OVERRIDE=1BF","CDR=US","Fill=p"),"")</f>
        <v>6.6879999999999997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37.880000000000003</v>
      </c>
      <c r="H30" s="188" cm="1">
        <f t="array" ref="H30">G30/_xll.BDP(B30&amp;" Equity", "PREV_CLOSE_VAL")-1</f>
        <v>-4.2060988433226809E-3</v>
      </c>
      <c r="I30" s="187" cm="1">
        <f t="array" ref="I30">_xll.BDP(C30&amp;" Equity","LAST PRICE")</f>
        <v>77.03</v>
      </c>
      <c r="J30" s="188" cm="1">
        <f t="array" ref="J30">I30/_xll.BDP(C30&amp;" Equity", "PREV_CLOSE_VAL")-1</f>
        <v>-5.6796179166128669E-3</v>
      </c>
      <c r="K30" s="189">
        <f t="shared" si="9"/>
        <v>0.49175645852265354</v>
      </c>
      <c r="L30" s="188" cm="1">
        <f t="array" ref="L30">K30/(_xll.BDP(B30&amp;" Equity", "PREV_CLOSE_VAL")/_xll.BDP(C30&amp;" Equity", "PREV_CLOSE_VAL"))-1</f>
        <v>1.4819359029960566E-3</v>
      </c>
      <c r="M30" s="188"/>
      <c r="N30" s="190">
        <f>ABS(L30/O30)</f>
        <v>0.12688526143382703</v>
      </c>
      <c r="O30" s="191">
        <f>P30/15.87/100</f>
        <v>1.1679338374291115E-2</v>
      </c>
      <c r="P30" s="192" cm="1">
        <f t="array" ref="P30">_xll.BDP($A30&amp;" Index","VOLATILITY_30D")</f>
        <v>18.53511</v>
      </c>
      <c r="Q30" s="192" cm="1">
        <f t="array" aca="1" ref="Q30" ca="1">(_xll.BDP(($B30&amp; " Equity"),"CORR_COEF", "BETA_OVERRIDE_REL_INDEX",($C30&amp; " Equity"),"BETA_OVERRIDE_END_DT",$Q$5,"BETA_OVERRIDE_START_DT",$Q$4))*100</f>
        <v>76.274960230589656</v>
      </c>
      <c r="R30" s="188"/>
      <c r="S30" s="188" cm="1">
        <f t="array" ref="S30">_xll.BDP($A30&amp;" Index","CHG_PCT_2D")/100</f>
        <v>-8.9804110000000006E-3</v>
      </c>
      <c r="T30" s="188" cm="1">
        <f t="array" ref="T30">_xll.BDP($A30&amp;" Index","CHG_PCT_5D")/100</f>
        <v>-4.7686150000000004E-3</v>
      </c>
      <c r="U30" s="188" cm="1">
        <f t="array" ref="U30">K30/_xll.BDP($A30&amp;" Index","HIGH_52WEEK")-1</f>
        <v>-5.6817563921413239E-2</v>
      </c>
      <c r="V30" s="188" cm="1">
        <f t="array" ref="V30">K30/_xll.BDP($A30&amp;" Index","LOW_52WEEK")-1</f>
        <v>0.16538251184362274</v>
      </c>
      <c r="W30" s="188"/>
      <c r="X30" s="192" cm="1">
        <f t="array" ref="X30">_xll.BDP($A30&amp;" Index","RSI_14D")</f>
        <v>55.52384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46063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1.6582512235542834</v>
      </c>
      <c r="AI30" s="196" cm="1">
        <f t="array" ref="AI30">(_xll.BDP(C30&amp;" Equity","SHORT_INT")/_xll.BDP(C30&amp;" Equity","VOLUME_AVG_90D"))</f>
        <v>2.8484105670162974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-6.2783397279385644E-3</v>
      </c>
      <c r="AN30" s="194">
        <f ca="1">IF(ISTEXT(B30),AP30/_xll.BDH(B30 &amp;  " Equity","BEST_EPS",$AN$3,$AN$3,"BEST_FPERIOD_OVERRIDE=1BF","CDR=US","Fill=p")-1,"")</f>
        <v>-5.2374301675977009E-3</v>
      </c>
      <c r="AO30" s="196">
        <f t="shared" ca="1" si="14"/>
        <v>13.295893295893295</v>
      </c>
      <c r="AP30" s="196" cm="1">
        <f t="array" aca="1" ref="AP30" ca="1">IF(ISTEXT(B30),_xll.BDH(B30 &amp;  " Equity","BEST_EPS",$Q$3,$Q$3,"BEST_FPERIOD_OVERRIDE=1BF","CDR=US","Fill=p"),"")</f>
        <v>2.8490000000000002</v>
      </c>
      <c r="AR30" s="194">
        <f ca="1">IF(ISTEXT(C30),AU30/_xll.BDH(C30 &amp;  " Equity","BEST_EPS",$AM$3,$AM$3,"BEST_FPERIOD_OVERRIDE=1BF","CDR=US","Fill=p")-1,"")</f>
        <v>2.1617293835068052E-2</v>
      </c>
      <c r="AS30" s="194">
        <f ca="1">IF(ISTEXT(C30),AU30/_xll.BDH(C30 &amp;  " Equity","BEST_EPS",$AN$3,$AN$3,"BEST_FPERIOD_OVERRIDE=1BF","CDR=US","Fill=p")-1,"")</f>
        <v>-2.26715686274509E-2</v>
      </c>
      <c r="AT30" s="196">
        <f t="shared" ca="1" si="15"/>
        <v>12.073667711598747</v>
      </c>
      <c r="AU30" s="196" cm="1">
        <f t="array" aca="1" ref="AU30" ca="1">IF(ISTEXT(C30),_xll.BDH(C30 &amp;  " Equity","BEST_EPS",$Q$3,$Q$3,"BEST_FPERIOD_OVERRIDE=1BF","CDR=US","Fill=p"),"")</f>
        <v>6.38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212.29</v>
      </c>
      <c r="H31" s="188" cm="1">
        <f t="array" ref="H31">G31/_xll.BDP(B31&amp;" Equity", "PREV_CLOSE_VAL")-1</f>
        <v>-8.3613602391630071E-3</v>
      </c>
      <c r="I31" s="187" cm="1">
        <f t="array" ref="I31">_xll.BDP(C31&amp;" Equity","LAST PRICE")</f>
        <v>621.87</v>
      </c>
      <c r="J31" s="188" cm="1">
        <f t="array" ref="J31">I31/_xll.BDP(C31&amp;" Equity", "PREV_CLOSE_VAL")-1</f>
        <v>-1.2010866974881962E-2</v>
      </c>
      <c r="K31" s="189">
        <f t="shared" si="9"/>
        <v>0.34137359898371039</v>
      </c>
      <c r="L31" s="188" cm="1">
        <f t="array" ref="L31">K31/(_xll.BDP(B31&amp;" Equity", "PREV_CLOSE_VAL")/_xll.BDP(C31&amp;" Equity", "PREV_CLOSE_VAL"))-1</f>
        <v>3.6938733572347004E-3</v>
      </c>
      <c r="M31" s="188"/>
      <c r="N31" s="190">
        <f t="shared" si="10"/>
        <v>0.17471410184944786</v>
      </c>
      <c r="O31" s="191">
        <f>P31/15.87/100</f>
        <v>2.1142388153749216E-2</v>
      </c>
      <c r="P31" s="192" cm="1">
        <f t="array" ref="P31">_xll.BDP($A31&amp;" Index","VOLATILITY_30D")</f>
        <v>33.552970000000002</v>
      </c>
      <c r="Q31" s="192" cm="1">
        <f t="array" aca="1" ref="Q31" ca="1">(_xll.BDP(($B31&amp; " Equity"),"CORR_COEF", "BETA_OVERRIDE_REL_INDEX",($C31&amp; " Equity"),"BETA_OVERRIDE_END_DT",$Q$5,"BETA_OVERRIDE_START_DT",$Q$4))*100</f>
        <v>45.262412609456355</v>
      </c>
      <c r="R31" s="188"/>
      <c r="S31" s="188" cm="1">
        <f t="array" ref="S31">_xll.BDP($A31&amp;" Index","CHG_PCT_2D")/100</f>
        <v>-5.4170080000000002E-2</v>
      </c>
      <c r="T31" s="188" cm="1">
        <f t="array" ref="T31">_xll.BDP($A31&amp;" Index","CHG_PCT_5D")/100</f>
        <v>-7.0220850000000001E-2</v>
      </c>
      <c r="U31" s="188" cm="1">
        <f t="array" ref="U31">K31/_xll.BDP($A31&amp;" Index","HIGH_52WEEK")-1</f>
        <v>-0.48308055877693756</v>
      </c>
      <c r="V31" s="188" cm="1">
        <f t="array" ref="V31">K31/_xll.BDP($A31&amp;" Index","LOW_52WEEK")-1</f>
        <v>3.6857549797435496E-3</v>
      </c>
      <c r="W31" s="188"/>
      <c r="X31" s="192" cm="1">
        <f t="array" ref="X31">_xll.BDP($A31&amp;" Index","RSI_14D")</f>
        <v>22.903960000000001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2.152788915529785</v>
      </c>
      <c r="AI31" s="196" cm="1">
        <f t="array" ref="AI31">(_xll.BDP(C31&amp;" Equity","SHORT_INT")/_xll.BDP(C31&amp;" Equity","VOLUME_AVG_90D"))</f>
        <v>0.80743710308086603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1.1707988980716344E-2</v>
      </c>
      <c r="AN31" s="194">
        <f ca="1">IF(ISTEXT(B31),AP31/_xll.BDH(B31 &amp;  " Equity","BEST_EPS",$AN$3,$AN$3,"BEST_FPERIOD_OVERRIDE=1BF","CDR=US","Fill=p")-1,"")</f>
        <v>6.7156348373557329E-2</v>
      </c>
      <c r="AO31" s="196">
        <f t="shared" ca="1" si="14"/>
        <v>16.057030481809242</v>
      </c>
      <c r="AP31" s="196" cm="1">
        <f t="array" aca="1" ref="AP31" ca="1">IF(ISTEXT(B31),_xll.BDH(B31 &amp;  " Equity","BEST_EPS",$Q$3,$Q$3,"BEST_FPERIOD_OVERRIDE=1BF","CDR=US","Fill=p"),"")</f>
        <v>13.221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212.29</v>
      </c>
      <c r="H32" s="188" cm="1">
        <f t="array" ref="H32">G32/_xll.BDP(B32&amp;" Equity", "PREV_CLOSE_VAL")-1</f>
        <v>-8.3613602391630071E-3</v>
      </c>
      <c r="I32" s="187" cm="1">
        <f t="array" ref="I32">_xll.BDP(C32&amp;" Equity","LAST PRICE")</f>
        <v>90.31</v>
      </c>
      <c r="J32" s="188" cm="1">
        <f t="array" ref="J32">I32/_xll.BDP(C32&amp;" Equity", "PREV_CLOSE_VAL")-1</f>
        <v>-2.1242007152920683E-2</v>
      </c>
      <c r="K32" s="189">
        <f t="shared" si="9"/>
        <v>2.3506809877090022</v>
      </c>
      <c r="L32" s="188" cm="1">
        <f t="array" ref="L32">K32/(_xll.BDP(B32&amp;" Equity", "PREV_CLOSE_VAL")/_xll.BDP(C32&amp;" Equity", "PREV_CLOSE_VAL"))-1</f>
        <v>1.3160195888964887E-2</v>
      </c>
      <c r="M32" s="188"/>
      <c r="N32" s="190">
        <f t="shared" si="10"/>
        <v>0.93950656211368755</v>
      </c>
      <c r="O32" s="191">
        <f t="shared" ref="O32:O55" si="17">P32/15.87/100</f>
        <v>1.4007561436672969E-2</v>
      </c>
      <c r="P32" s="192" cm="1">
        <f t="array" ref="P32">_xll.BDP($A32&amp;" Index","VOLATILITY_30D")</f>
        <v>22.23</v>
      </c>
      <c r="Q32" s="192" cm="1">
        <f t="array" aca="1" ref="Q32" ca="1">(_xll.BDP(($B32&amp; " Equity"),"CORR_COEF", "BETA_OVERRIDE_REL_INDEX",($C32&amp; " Equity"),"BETA_OVERRIDE_END_DT",$Q$5,"BETA_OVERRIDE_START_DT",$Q$4))*100</f>
        <v>78.5086655946088</v>
      </c>
      <c r="R32" s="188"/>
      <c r="S32" s="188" cm="1">
        <f t="array" ref="S32">_xll.BDP($A32&amp;" Index","CHG_PCT_2D")/100</f>
        <v>1.9245100000000002E-3</v>
      </c>
      <c r="T32" s="188" cm="1">
        <f t="array" ref="T32">_xll.BDP($A32&amp;" Index","CHG_PCT_5D")/100</f>
        <v>8.2362619999999994E-3</v>
      </c>
      <c r="U32" s="188" cm="1">
        <f t="array" ref="U32">K32/_xll.BDP($A32&amp;" Index","HIGH_52WEEK")-1</f>
        <v>-0.29692321404160937</v>
      </c>
      <c r="V32" s="188" cm="1">
        <f t="array" ref="V32">K32/_xll.BDP($A32&amp;" Index","LOW_52WEEK")-1</f>
        <v>0.14766456291969265</v>
      </c>
      <c r="W32" s="188"/>
      <c r="X32" s="192" cm="1">
        <f t="array" ref="X32">_xll.BDP($A32&amp;" Index","RSI_14D")</f>
        <v>42.220660000000002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2.152788915529785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1.1707988980716344E-2</v>
      </c>
      <c r="AN32" s="194">
        <f ca="1">IF(ISTEXT(B32),AP32/_xll.BDH(B32 &amp;  " Equity","BEST_EPS",$AN$3,$AN$3,"BEST_FPERIOD_OVERRIDE=1BF","CDR=US","Fill=p")-1,"")</f>
        <v>6.7156348373557329E-2</v>
      </c>
      <c r="AO32" s="196">
        <f t="shared" ca="1" si="14"/>
        <v>16.057030481809242</v>
      </c>
      <c r="AP32" s="196" cm="1">
        <f t="array" aca="1" ref="AP32" ca="1">IF(ISTEXT(B32),_xll.BDH(B32 &amp;  " Equity","BEST_EPS",$Q$3,$Q$3,"BEST_FPERIOD_OVERRIDE=1BF","CDR=US","Fill=p"),"")</f>
        <v>13.221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716.5</v>
      </c>
      <c r="H33" s="188" cm="1">
        <f t="array" ref="H33">G33/_xll.BDP(B33&amp;" Equity", "PREV_CLOSE_VAL")-1</f>
        <v>-2.9540436943831128E-2</v>
      </c>
      <c r="I33" s="187" cm="1">
        <f t="array" ref="I33">_xll.BDP(C33&amp;" Equity","LAST PRICE")</f>
        <v>621.87</v>
      </c>
      <c r="J33" s="188" cm="1">
        <f t="array" ref="J33">I33/_xll.BDP(C33&amp;" Equity", "PREV_CLOSE_VAL")-1</f>
        <v>-1.2010866974881962E-2</v>
      </c>
      <c r="K33" s="189">
        <f t="shared" si="9"/>
        <v>1.1521700676990367</v>
      </c>
      <c r="L33" s="188" cm="1">
        <f t="array" ref="L33">K33/(_xll.BDP(B33&amp;" Equity", "PREV_CLOSE_VAL")/_xll.BDP(C33&amp;" Equity", "PREV_CLOSE_VAL"))-1</f>
        <v>-1.7742674876671471E-2</v>
      </c>
      <c r="M33" s="188"/>
      <c r="N33" s="190">
        <f t="shared" si="10"/>
        <v>0.72535267399184278</v>
      </c>
      <c r="O33" s="191">
        <f t="shared" si="17"/>
        <v>2.44607561436673E-2</v>
      </c>
      <c r="P33" s="192" cm="1">
        <f t="array" ref="P33">_xll.BDP($A33&amp;" Index","VOLATILITY_30D")</f>
        <v>38.819220000000001</v>
      </c>
      <c r="Q33" s="192" cm="1">
        <f t="array" aca="1" ref="Q33" ca="1">(_xll.BDP(($B33&amp; " Equity"),"CORR_COEF", "BETA_OVERRIDE_REL_INDEX",($C33&amp; " Equity"),"BETA_OVERRIDE_END_DT",$Q$5,"BETA_OVERRIDE_START_DT",$Q$4))*100</f>
        <v>41.837849890690379</v>
      </c>
      <c r="R33" s="188"/>
      <c r="S33" s="188" cm="1">
        <f t="array" ref="S33">_xll.BDP($A33&amp;" Index","CHG_PCT_2D")/100</f>
        <v>9.2078430000000003E-2</v>
      </c>
      <c r="T33" s="188" cm="1">
        <f t="array" ref="T33">_xll.BDP($A33&amp;" Index","CHG_PCT_5D")/100</f>
        <v>9.022332999999999E-2</v>
      </c>
      <c r="U33" s="188" cm="1">
        <f t="array" ref="U33">K33/_xll.BDP($A33&amp;" Index","HIGH_52WEEK")-1</f>
        <v>-0.16284962021431615</v>
      </c>
      <c r="V33" s="188" cm="1">
        <f t="array" ref="V33">K33/_xll.BDP($A33&amp;" Index","LOW_52WEEK")-1</f>
        <v>0.17500032399424481</v>
      </c>
      <c r="W33" s="188"/>
      <c r="X33" s="192" cm="1">
        <f t="array" ref="X33">_xll.BDP($A33&amp;" Index","RSI_14D")</f>
        <v>74.37903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46142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1.8530979242077572</v>
      </c>
      <c r="AI33" s="196" cm="1">
        <f t="array" ref="AI33">(_xll.BDP(C33&amp;" Equity","SHORT_INT")/_xll.BDP(C33&amp;" Equity","VOLUME_AVG_90D"))</f>
        <v>0.80743710308086603</v>
      </c>
      <c r="AJ33" s="196" cm="1">
        <f t="array" ref="AJ33">(_xll.BDP(B33&amp;" Equity","SHORT_INT"))/((_xll.BDP(B33&amp;" Equity","EQY_FREE_FLOAT_PCT"))*(_xll.BDP(B33&amp;" Equity","EQY_SH_OUT_TOT_MULT_SH")))/100</f>
        <v>1.2886696817530352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-1.4077335489861342E-2</v>
      </c>
      <c r="AN33" s="194">
        <f ca="1">IF(ISTEXT(B33),AP33/_xll.BDH(B33 &amp;  " Equity","BEST_EPS",$AN$3,$AN$3,"BEST_FPERIOD_OVERRIDE=1BF","CDR=US","Fill=p")-1,"")</f>
        <v>-1.7589082638362896E-3</v>
      </c>
      <c r="AO33" s="196">
        <f t="shared" ca="1" si="14"/>
        <v>21.76686818361333</v>
      </c>
      <c r="AP33" s="196" cm="1">
        <f t="array" aca="1" ref="AP33" ca="1">IF(ISTEXT(B33),_xll.BDH(B33 &amp;  " Equity","BEST_EPS",$Q$3,$Q$3,"BEST_FPERIOD_OVERRIDE=1BF","CDR=US","Fill=p"),"")</f>
        <v>32.917000000000002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330.56</v>
      </c>
      <c r="H34" s="188" cm="1">
        <f t="array" ref="H34">G34/_xll.BDP(B34&amp;" Equity", "PREV_CLOSE_VAL")-1</f>
        <v>-2.6476218524517758E-2</v>
      </c>
      <c r="I34" s="187" cm="1">
        <f t="array" ref="I34">_xll.BDP(C34&amp;" Equity","LAST PRICE")</f>
        <v>403.46</v>
      </c>
      <c r="J34" s="188" cm="1">
        <f t="array" ref="J34">I34/_xll.BDP(C34&amp;" Equity", "PREV_CLOSE_VAL")-1</f>
        <v>-3.3675033531327836E-2</v>
      </c>
      <c r="K34" s="189">
        <f t="shared" si="9"/>
        <v>0.81931294304268087</v>
      </c>
      <c r="L34" s="188" cm="1">
        <f t="array" ref="L34">K34/(_xll.BDP(B34&amp;" Equity", "PREV_CLOSE_VAL")/_xll.BDP(C34&amp;" Equity", "PREV_CLOSE_VAL"))-1</f>
        <v>7.4496833431898501E-3</v>
      </c>
      <c r="M34" s="188"/>
      <c r="N34" s="190">
        <f t="shared" si="10"/>
        <v>0.52255534512056268</v>
      </c>
      <c r="O34" s="191">
        <f t="shared" si="17"/>
        <v>1.4256257088846883E-2</v>
      </c>
      <c r="P34" s="192" cm="1">
        <f t="array" ref="P34">_xll.BDP($A34&amp;" Index","VOLATILITY_30D")</f>
        <v>22.624680000000001</v>
      </c>
      <c r="Q34" s="192" cm="1">
        <f t="array" aca="1" ref="Q34" ca="1">(_xll.BDP(($B34&amp; " Equity"),"CORR_COEF", "BETA_OVERRIDE_REL_INDEX",($C34&amp; " Equity"),"BETA_OVERRIDE_END_DT",$Q$5,"BETA_OVERRIDE_START_DT",$Q$4))*100</f>
        <v>79.682739601878978</v>
      </c>
      <c r="R34" s="188"/>
      <c r="S34" s="188" cm="1">
        <f t="array" ref="S34">_xll.BDP($A34&amp;" Index","CHG_PCT_2D")/100</f>
        <v>-2.4857830000000001E-3</v>
      </c>
      <c r="T34" s="188" cm="1">
        <f t="array" ref="T34">_xll.BDP($A34&amp;" Index","CHG_PCT_5D")/100</f>
        <v>-2.0832709999999997E-2</v>
      </c>
      <c r="U34" s="188" cm="1">
        <f t="array" ref="U34">K34/_xll.BDP($A34&amp;" Index","HIGH_52WEEK")-1</f>
        <v>-8.1013815372635078E-2</v>
      </c>
      <c r="V34" s="188" cm="1">
        <f t="array" ref="V34">K34/_xll.BDP($A34&amp;" Index","LOW_52WEEK")-1</f>
        <v>8.8093897636963625E-2</v>
      </c>
      <c r="W34" s="188"/>
      <c r="X34" s="192" cm="1">
        <f t="array" ref="X34">_xll.BDP($A34&amp;" Index","RSI_14D")</f>
        <v>42.557119999999998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1.7491948153892027</v>
      </c>
      <c r="AI34" s="196" cm="1">
        <f t="array" ref="AI34">(_xll.BDP(C34&amp;" Equity","SHORT_INT")/_xll.BDP(C34&amp;" Equity","VOLUME_AVG_90D"))</f>
        <v>1.1525518564616914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0.1877908790808287</v>
      </c>
      <c r="AN34" s="194">
        <f ca="1">IF(ISTEXT(B34),AP34/_xll.BDH(B34 &amp;  " Equity","BEST_EPS",$AN$3,$AN$3,"BEST_FPERIOD_OVERRIDE=1BF","CDR=US","Fill=p")-1,"")</f>
        <v>0.22628148212313492</v>
      </c>
      <c r="AO34" s="196">
        <f t="shared" ca="1" si="14"/>
        <v>0.7297001377459118</v>
      </c>
      <c r="AP34" s="196" cm="1">
        <f t="array" aca="1" ref="AP34" ca="1">IF(ISTEXT(B34),_xll.BDH(B34 &amp;  " Equity","BEST_EPS",$Q$3,$Q$3,"BEST_FPERIOD_OVERRIDE=1BF","CDR=US","Fill=p"),"")</f>
        <v>453.00799999999998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191.13</v>
      </c>
      <c r="H35" s="188" cm="1">
        <f t="array" ref="H35">G35/_xll.BDP(B35&amp;" Equity", "PREV_CLOSE_VAL")-1</f>
        <v>-7.1684587813619638E-3</v>
      </c>
      <c r="I35" s="187" cm="1">
        <f t="array" ref="I35">_xll.BDP(C35&amp;" Equity","LAST PRICE")</f>
        <v>403.46</v>
      </c>
      <c r="J35" s="188" cm="1">
        <f t="array" ref="J35">I35/_xll.BDP(C35&amp;" Equity", "PREV_CLOSE_VAL")-1</f>
        <v>-3.3675033531327836E-2</v>
      </c>
      <c r="K35" s="189">
        <f t="shared" si="9"/>
        <v>0.47372725920785208</v>
      </c>
      <c r="L35" s="188" cm="1">
        <f t="array" ref="L35">K35/(_xll.BDP(B35&amp;" Equity", "PREV_CLOSE_VAL")/_xll.BDP(C35&amp;" Equity", "PREV_CLOSE_VAL"))-1</f>
        <v>2.7430290709378191E-2</v>
      </c>
      <c r="M35" s="188"/>
      <c r="N35" s="190">
        <f t="shared" si="10"/>
        <v>1.927694476251727</v>
      </c>
      <c r="O35" s="191">
        <f t="shared" si="17"/>
        <v>1.4229584120982987E-2</v>
      </c>
      <c r="P35" s="192" cm="1">
        <f t="array" ref="P35">_xll.BDP($A35&amp;" Index","VOLATILITY_30D")</f>
        <v>22.582350000000002</v>
      </c>
      <c r="Q35" s="192" cm="1">
        <f t="array" aca="1" ref="Q35" ca="1">(_xll.BDP(($B35&amp; " Equity"),"CORR_COEF", "BETA_OVERRIDE_REL_INDEX",($C35&amp; " Equity"),"BETA_OVERRIDE_END_DT",$Q$5,"BETA_OVERRIDE_START_DT",$Q$4))*100</f>
        <v>56.844738575858756</v>
      </c>
      <c r="R35" s="188"/>
      <c r="S35" s="188" cm="1">
        <f t="array" ref="S35">_xll.BDP($A35&amp;" Index","CHG_PCT_2D")/100</f>
        <v>3.0284640000000002E-2</v>
      </c>
      <c r="T35" s="188" cm="1">
        <f t="array" ref="T35">_xll.BDP($A35&amp;" Index","CHG_PCT_5D")/100</f>
        <v>9.6798019999999995E-3</v>
      </c>
      <c r="U35" s="188" cm="1">
        <f t="array" ref="U35">K35/_xll.BDP($A35&amp;" Index","HIGH_52WEEK")-1</f>
        <v>-0.24323510086766231</v>
      </c>
      <c r="V35" s="188" cm="1">
        <f t="array" ref="V35">K35/_xll.BDP($A35&amp;" Index","LOW_52WEEK")-1</f>
        <v>3.8647794799061774E-2</v>
      </c>
      <c r="W35" s="188"/>
      <c r="X35" s="192" cm="1">
        <f t="array" ref="X35">_xll.BDP($A35&amp;" Index","RSI_14D")</f>
        <v>34.66592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1.4448872331094784</v>
      </c>
      <c r="AI35" s="196" cm="1">
        <f t="array" ref="AI35">(_xll.BDP(C35&amp;" Equity","SHORT_INT")/_xll.BDP(C35&amp;" Equity","VOLUME_AVG_90D"))</f>
        <v>1.1525518564616914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3.9097138250705488E-2</v>
      </c>
      <c r="AN35" s="194">
        <f ca="1">IF(ISTEXT(B35),AP35/_xll.BDH(B35 &amp;  " Equity","BEST_EPS",$AN$3,$AN$3,"BEST_FPERIOD_OVERRIDE=1BF","CDR=US","Fill=p")-1,"")</f>
        <v>0.27476512279545084</v>
      </c>
      <c r="AO35" s="196">
        <f t="shared" ca="1" si="14"/>
        <v>24.712955779674164</v>
      </c>
      <c r="AP35" s="196" cm="1">
        <f t="array" aca="1" ref="AP35" ca="1">IF(ISTEXT(B35),_xll.BDH(B35 &amp;  " Equity","BEST_EPS",$Q$3,$Q$3,"BEST_FPERIOD_OVERRIDE=1BF","CDR=US","Fill=p"),"")</f>
        <v>7.734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331.3</v>
      </c>
      <c r="H36" s="188" cm="1">
        <f t="array" ref="H36">G36/_xll.BDP(B36&amp;" Equity", "PREV_CLOSE_VAL")-1</f>
        <v>1.7234602243521024E-3</v>
      </c>
      <c r="I36" s="187" cm="1">
        <f t="array" ref="I36">_xll.BDP(C36&amp;" Equity","LAST PRICE")</f>
        <v>403.46</v>
      </c>
      <c r="J36" s="188" cm="1">
        <f t="array" ref="J36">I36/_xll.BDP(C36&amp;" Equity", "PREV_CLOSE_VAL")-1</f>
        <v>-3.3675033531327836E-2</v>
      </c>
      <c r="K36" s="189">
        <f t="shared" si="9"/>
        <v>0.82114707777722706</v>
      </c>
      <c r="L36" s="188" cm="1">
        <f t="array" ref="L36">K36/(_xll.BDP(B36&amp;" Equity", "PREV_CLOSE_VAL")/_xll.BDP(C36&amp;" Equity", "PREV_CLOSE_VAL"))-1</f>
        <v>3.6632080287690272E-2</v>
      </c>
      <c r="M36" s="188"/>
      <c r="N36" s="190">
        <f t="shared" si="10"/>
        <v>1.9985840081464259</v>
      </c>
      <c r="O36" s="191">
        <f t="shared" si="17"/>
        <v>1.8329017013232515E-2</v>
      </c>
      <c r="P36" s="192" cm="1">
        <f t="array" ref="P36">_xll.BDP($A36&amp;" Index","VOLATILITY_30D")</f>
        <v>29.088149999999999</v>
      </c>
      <c r="Q36" s="192" cm="1">
        <f t="array" aca="1" ref="Q36" ca="1">(_xll.BDP(($B36&amp; " Equity"),"CORR_COEF", "BETA_OVERRIDE_REL_INDEX",($C36&amp; " Equity"),"BETA_OVERRIDE_END_DT",$Q$5,"BETA_OVERRIDE_START_DT",$Q$4))*100</f>
        <v>58.786515430234275</v>
      </c>
      <c r="R36" s="188"/>
      <c r="S36" s="188" cm="1">
        <f t="array" ref="S36">_xll.BDP($A36&amp;" Index","CHG_PCT_2D")/100</f>
        <v>2.7497280000000002E-2</v>
      </c>
      <c r="T36" s="188" cm="1">
        <f t="array" ref="T36">_xll.BDP($A36&amp;" Index","CHG_PCT_5D")/100</f>
        <v>2.737063E-2</v>
      </c>
      <c r="U36" s="188" cm="1">
        <f t="array" ref="U36">K36/_xll.BDP($A36&amp;" Index","HIGH_52WEEK")-1</f>
        <v>-0.33158561027494737</v>
      </c>
      <c r="V36" s="188" cm="1">
        <f t="array" ref="V36">K36/_xll.BDP($A36&amp;" Index","LOW_52WEEK")-1</f>
        <v>4.2739689109991374E-2</v>
      </c>
      <c r="W36" s="188"/>
      <c r="X36" s="192" cm="1">
        <f t="array" ref="X36">_xll.BDP($A36&amp;" Index","RSI_14D")</f>
        <v>25.82978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2.1489784582231573</v>
      </c>
      <c r="AI36" s="196" cm="1">
        <f t="array" ref="AI36">(_xll.BDP(C36&amp;" Equity","SHORT_INT")/_xll.BDP(C36&amp;" Equity","VOLUME_AVG_90D"))</f>
        <v>1.1525518564616914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4.8789748457522375E-2</v>
      </c>
      <c r="AN36" s="194">
        <f ca="1">IF(ISTEXT(B36),AP36/_xll.BDH(B36 &amp;  " Equity","BEST_EPS",$AN$3,$AN$3,"BEST_FPERIOD_OVERRIDE=1BF","CDR=US","Fill=p")-1,"")</f>
        <v>0.18424437299035357</v>
      </c>
      <c r="AO36" s="196">
        <f t="shared" ca="1" si="14"/>
        <v>29.984613992216492</v>
      </c>
      <c r="AP36" s="196" cm="1">
        <f t="array" aca="1" ref="AP36" ca="1">IF(ISTEXT(B36),_xll.BDH(B36 &amp;  " Equity","BEST_EPS",$Q$3,$Q$3,"BEST_FPERIOD_OVERRIDE=1BF","CDR=US","Fill=p"),"")</f>
        <v>11.048999999999999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78.92</v>
      </c>
      <c r="H37" s="188" cm="1">
        <f t="array" ref="H37">G37/_xll.BDP(B37&amp;" Equity", "PREV_CLOSE_VAL")-1</f>
        <v>-2.975165970002458E-2</v>
      </c>
      <c r="I37" s="187" cm="1">
        <f t="array" ref="I37">_xll.BDP(C37&amp;" Equity","LAST PRICE")</f>
        <v>403.46</v>
      </c>
      <c r="J37" s="188" cm="1">
        <f t="array" ref="J37">I37/_xll.BDP(C37&amp;" Equity", "PREV_CLOSE_VAL")-1</f>
        <v>-3.3675033531327836E-2</v>
      </c>
      <c r="K37" s="189">
        <f t="shared" si="9"/>
        <v>0.19560799087889755</v>
      </c>
      <c r="L37" s="188" cm="1">
        <f t="array" ref="L37">K37/(_xll.BDP(B37&amp;" Equity", "PREV_CLOSE_VAL")/_xll.BDP(C37&amp;" Equity", "PREV_CLOSE_VAL"))-1</f>
        <v>4.0600977594946741E-3</v>
      </c>
      <c r="M37" s="188"/>
      <c r="N37" s="190">
        <f t="shared" si="10"/>
        <v>0.21674789258562349</v>
      </c>
      <c r="O37" s="191">
        <f t="shared" si="17"/>
        <v>1.8731890359168241E-2</v>
      </c>
      <c r="P37" s="192" cm="1">
        <f t="array" ref="P37">_xll.BDP($A37&amp;" Index","VOLATILITY_30D")</f>
        <v>29.727509999999999</v>
      </c>
      <c r="Q37" s="192" cm="1">
        <f t="array" aca="1" ref="Q37" ca="1">(_xll.BDP(($B37&amp; " Equity"),"CORR_COEF", "BETA_OVERRIDE_REL_INDEX",($C37&amp; " Equity"),"BETA_OVERRIDE_END_DT",$Q$5,"BETA_OVERRIDE_START_DT",$Q$4))*100</f>
        <v>68.016774646940476</v>
      </c>
      <c r="R37" s="188"/>
      <c r="S37" s="188" cm="1">
        <f t="array" ref="S37">_xll.BDP($A37&amp;" Index","CHG_PCT_2D")/100</f>
        <v>-2.3894190000000003E-2</v>
      </c>
      <c r="T37" s="188" cm="1">
        <f t="array" ref="T37">_xll.BDP($A37&amp;" Index","CHG_PCT_5D")/100</f>
        <v>-2.303846E-2</v>
      </c>
      <c r="U37" s="188" cm="1">
        <f t="array" ref="U37">K37/_xll.BDP($A37&amp;" Index","HIGH_52WEEK")-1</f>
        <v>-0.5925936915441703</v>
      </c>
      <c r="V37" s="188" cm="1">
        <f t="array" ref="V37">K37/_xll.BDP($A37&amp;" Index","LOW_52WEEK")-1</f>
        <v>4.0447124468614426E-3</v>
      </c>
      <c r="W37" s="188"/>
      <c r="X37" s="192" cm="1">
        <f t="array" ref="X37">_xll.BDP($A37&amp;" Index","RSI_14D")</f>
        <v>27.190539999999999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2.1095837853956825</v>
      </c>
      <c r="AI37" s="196" cm="1">
        <f t="array" ref="AI37">(_xll.BDP(C37&amp;" Equity","SHORT_INT")/_xll.BDP(C37&amp;" Equity","VOLUME_AVG_90D"))</f>
        <v>1.1525518564616914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1.9050326983224286E-2</v>
      </c>
      <c r="AN37" s="194">
        <f ca="1">IF(ISTEXT(B37),AP37/_xll.BDH(B37 &amp;  " Equity","BEST_EPS",$AN$3,$AN$3,"BEST_FPERIOD_OVERRIDE=1BF","CDR=US","Fill=p")-1,"")</f>
        <v>0.10651435628280348</v>
      </c>
      <c r="AO37" s="196">
        <f t="shared" ca="1" si="14"/>
        <v>22.020089285714285</v>
      </c>
      <c r="AP37" s="196" cm="1">
        <f t="array" aca="1" ref="AP37" ca="1">IF(ISTEXT(B37),_xll.BDH(B37 &amp;  " Equity","BEST_EPS",$Q$3,$Q$3,"BEST_FPERIOD_OVERRIDE=1BF","CDR=US","Fill=p"),"")</f>
        <v>3.5840000000000001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538.79</v>
      </c>
      <c r="H38" s="188" cm="1">
        <f t="array" ref="H38">G38/_xll.BDP(B38&amp;" Equity", "PREV_CLOSE_VAL")-1</f>
        <v>-9.0853916465893914E-3</v>
      </c>
      <c r="I38" s="187" cm="1">
        <f t="array" ref="I38">_xll.BDP(C38&amp;" Equity","LAST PRICE")</f>
        <v>198.08</v>
      </c>
      <c r="J38" s="188" cm="1">
        <f t="array" ref="J38">I38/_xll.BDP(C38&amp;" Equity", "PREV_CLOSE_VAL")-1</f>
        <v>-2.2164013701390095E-3</v>
      </c>
      <c r="K38" s="189">
        <f t="shared" si="9"/>
        <v>2.720062600969305</v>
      </c>
      <c r="L38" s="188" cm="1">
        <f t="array" ref="L38">K38/(_xll.BDP(B38&amp;" Equity", "PREV_CLOSE_VAL")/_xll.BDP(C38&amp;" Equity", "PREV_CLOSE_VAL"))-1</f>
        <v>-6.8842485343342252E-3</v>
      </c>
      <c r="M38" s="188"/>
      <c r="N38" s="190">
        <f t="shared" si="10"/>
        <v>0.49252942241933739</v>
      </c>
      <c r="O38" s="191">
        <f t="shared" si="17"/>
        <v>1.397733459357278E-2</v>
      </c>
      <c r="P38" s="192" cm="1">
        <f t="array" ref="P38">_xll.BDP($A38&amp;" Index","VOLATILITY_30D")</f>
        <v>22.182030000000001</v>
      </c>
      <c r="Q38" s="192" cm="1">
        <f t="array" aca="1" ref="Q38" ca="1">(_xll.BDP(($B38&amp; " Equity"),"CORR_COEF", "BETA_OVERRIDE_REL_INDEX",($C38&amp; " Equity"),"BETA_OVERRIDE_END_DT",$Q$5,"BETA_OVERRIDE_START_DT",$Q$4))*100</f>
        <v>60.964608963254776</v>
      </c>
      <c r="R38" s="188"/>
      <c r="S38" s="188" cm="1">
        <f t="array" ref="S38">_xll.BDP($A38&amp;" Index","CHG_PCT_2D")/100</f>
        <v>3.5684670000000002E-2</v>
      </c>
      <c r="T38" s="188" cm="1">
        <f t="array" ref="T38">_xll.BDP($A38&amp;" Index","CHG_PCT_5D")/100</f>
        <v>3.1680310000000003E-2</v>
      </c>
      <c r="U38" s="188" cm="1">
        <f t="array" ref="U38">K38/_xll.BDP($A38&amp;" Index","HIGH_52WEEK")-1</f>
        <v>-0.18049669164207061</v>
      </c>
      <c r="V38" s="188" cm="1">
        <f t="array" ref="V38">K38/_xll.BDP($A38&amp;" Index","LOW_52WEEK")-1</f>
        <v>3.9759408638712967E-2</v>
      </c>
      <c r="W38" s="188"/>
      <c r="X38" s="192" cm="1">
        <f t="array" ref="X38">_xll.BDP($A38&amp;" Index","RSI_14D")</f>
        <v>44.451610000000002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46143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2.3550124422324918</v>
      </c>
      <c r="AI38" s="196" cm="1">
        <f t="array" ref="AI38">(_xll.BDP(C38&amp;" Equity","SHORT_INT")/_xll.BDP(C38&amp;" Equity","VOLUME_AVG_90D"))</f>
        <v>2.2504754406967789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2.5779125705919448E-2</v>
      </c>
      <c r="AN38" s="194">
        <f ca="1">IF(ISTEXT(B38),AP38/_xll.BDH(B38 &amp;  " Equity","BEST_EPS",$AN$3,$AN$3,"BEST_FPERIOD_OVERRIDE=1BF","CDR=US","Fill=p")-1,"")</f>
        <v>5.4110693175712044E-2</v>
      </c>
      <c r="AO38" s="196">
        <f t="shared" ca="1" si="14"/>
        <v>27.465463628485494</v>
      </c>
      <c r="AP38" s="196" cm="1">
        <f t="array" aca="1" ref="AP38" ca="1">IF(ISTEXT(B38),_xll.BDH(B38 &amp;  " Equity","BEST_EPS",$Q$3,$Q$3,"BEST_FPERIOD_OVERRIDE=1BF","CDR=US","Fill=p"),"")</f>
        <v>19.617000000000001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321.83</v>
      </c>
      <c r="H39" s="188" cm="1">
        <f t="array" ref="H39">G39/_xll.BDP(B39&amp;" Equity", "PREV_CLOSE_VAL")-1</f>
        <v>-3.0048221820373811E-2</v>
      </c>
      <c r="I39" s="187" cm="1">
        <f t="array" ref="I39">_xll.BDP(C39&amp;" Equity","LAST PRICE")</f>
        <v>198.08</v>
      </c>
      <c r="J39" s="188" cm="1">
        <f t="array" ref="J39">I39/_xll.BDP(C39&amp;" Equity", "PREV_CLOSE_VAL")-1</f>
        <v>-2.2164013701390095E-3</v>
      </c>
      <c r="K39" s="189">
        <f t="shared" si="9"/>
        <v>1.6247475767366719</v>
      </c>
      <c r="L39" s="188" cm="1">
        <f t="array" ref="L39">K39/(_xll.BDP(B39&amp;" Equity", "PREV_CLOSE_VAL")/_xll.BDP(C39&amp;" Equity", "PREV_CLOSE_VAL"))-1</f>
        <v>-2.7893643960927972E-2</v>
      </c>
      <c r="M39" s="188"/>
      <c r="N39" s="190">
        <f t="shared" si="10"/>
        <v>2.1056192687467656</v>
      </c>
      <c r="O39" s="191">
        <f>P39/15.87/100</f>
        <v>1.3247240075614368E-2</v>
      </c>
      <c r="P39" s="192" cm="1">
        <f t="array" ref="P39">_xll.BDP($A39&amp;" Index","VOLATILITY_30D")</f>
        <v>21.02337</v>
      </c>
      <c r="Q39" s="192" cm="1">
        <f t="array" aca="1" ref="Q39" ca="1">(_xll.BDP(($B39&amp; " Equity"),"CORR_COEF", "BETA_OVERRIDE_REL_INDEX",($C39&amp; " Equity"),"BETA_OVERRIDE_END_DT",$Q$5,"BETA_OVERRIDE_START_DT",$Q$4))*100</f>
        <v>48.086907126462755</v>
      </c>
      <c r="R39" s="188"/>
      <c r="S39" s="188" cm="1">
        <f t="array" ref="S39">_xll.BDP($A39&amp;" Index","CHG_PCT_2D")/100</f>
        <v>-1.084009E-2</v>
      </c>
      <c r="T39" s="188" cm="1">
        <f t="array" ref="T39">_xll.BDP($A39&amp;" Index","CHG_PCT_5D")/100</f>
        <v>-5.863526E-3</v>
      </c>
      <c r="U39" s="188" cm="1">
        <f t="array" ref="U39">K39/_xll.BDP($A39&amp;" Index","HIGH_52WEEK")-1</f>
        <v>-0.22050903786915377</v>
      </c>
      <c r="V39" s="188" cm="1">
        <f t="array" ref="V39">K39/_xll.BDP($A39&amp;" Index","LOW_52WEEK")-1</f>
        <v>-4.0105825839231724E-3</v>
      </c>
      <c r="W39" s="188"/>
      <c r="X39" s="192" cm="1">
        <f t="array" ref="X39">_xll.BDP($A39&amp;" Index","RSI_14D")</f>
        <v>41.199910000000003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46141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3.3261591404606978</v>
      </c>
      <c r="AI39" s="196" cm="1">
        <f t="array" ref="AI39">(_xll.BDP(C39&amp;" Equity","SHORT_INT")/_xll.BDP(C39&amp;" Equity","VOLUME_AVG_90D"))</f>
        <v>2.2504754406967789</v>
      </c>
      <c r="AJ39" s="196" cm="1">
        <f t="array" ref="AJ39">(_xll.BDP(B39&amp;" Equity","SHORT_INT"))/((_xll.BDP(B39&amp;" Equity","EQY_FREE_FLOAT_PCT"))*(_xll.BDP(B39&amp;" Equity","EQY_SH_OUT_TOT_MULT_SH")))/100</f>
        <v>1.2231172169110915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1.2719563900666309E-2</v>
      </c>
      <c r="AN39" s="194">
        <f ca="1">IF(ISTEXT(B39),AP39/_xll.BDH(B39 &amp;  " Equity","BEST_EPS",$AN$3,$AN$3,"BEST_FPERIOD_OVERRIDE=1BF","CDR=US","Fill=p")-1,"")</f>
        <v>3.4013605442176909E-2</v>
      </c>
      <c r="AO39" s="196">
        <f t="shared" ca="1" si="14"/>
        <v>24.060257177033492</v>
      </c>
      <c r="AP39" s="196" cm="1">
        <f t="array" aca="1" ref="AP39" ca="1">IF(ISTEXT(B39),_xll.BDH(B39 &amp;  " Equity","BEST_EPS",$Q$3,$Q$3,"BEST_FPERIOD_OVERRIDE=1BF","CDR=US","Fill=p"),"")</f>
        <v>13.375999999999999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538.79</v>
      </c>
      <c r="H40" s="188" cm="1">
        <f t="array" ref="H40">G40/_xll.BDP(B40&amp;" Equity", "PREV_CLOSE_VAL")-1</f>
        <v>-9.0853916465893914E-3</v>
      </c>
      <c r="I40" s="187" cm="1">
        <f t="array" ref="I40">_xll.BDP(C40&amp;" Equity","LAST PRICE")</f>
        <v>321.83</v>
      </c>
      <c r="J40" s="188" cm="1">
        <f t="array" ref="J40">I40/_xll.BDP(C40&amp;" Equity", "PREV_CLOSE_VAL")-1</f>
        <v>-3.0048221820373811E-2</v>
      </c>
      <c r="K40" s="189">
        <f t="shared" si="9"/>
        <v>1.6741447347978746</v>
      </c>
      <c r="L40" s="188" cm="1">
        <f t="array" ref="L40">K40/(_xll.BDP(B40&amp;" Equity", "PREV_CLOSE_VAL")/_xll.BDP(C40&amp;" Equity", "PREV_CLOSE_VAL"))-1</f>
        <v>2.1612239541564326E-2</v>
      </c>
      <c r="M40" s="188"/>
      <c r="N40" s="190">
        <f t="shared" si="10"/>
        <v>2.5238932617045711</v>
      </c>
      <c r="O40" s="191">
        <f>P40/15.87/100</f>
        <v>8.5630560806553239E-3</v>
      </c>
      <c r="P40" s="192" cm="1">
        <f t="array" ref="P40">_xll.BDP($A40&amp;" Index","VOLATILITY_30D")</f>
        <v>13.58957</v>
      </c>
      <c r="Q40" s="192" cm="1">
        <f t="array" aca="1" ref="Q40" ca="1">(_xll.BDP(($B40&amp; " Equity"),"CORR_COEF", "BETA_OVERRIDE_REL_INDEX",($C40&amp; " Equity"),"BETA_OVERRIDE_END_DT",$Q$5,"BETA_OVERRIDE_START_DT",$Q$4))*100</f>
        <v>85.53720106821126</v>
      </c>
      <c r="R40" s="188"/>
      <c r="S40" s="188" cm="1">
        <f t="array" ref="S40">_xll.BDP($A40&amp;" Index","CHG_PCT_2D")/100</f>
        <v>4.7029759999999997E-2</v>
      </c>
      <c r="T40" s="188" cm="1">
        <f t="array" ref="T40">_xll.BDP($A40&amp;" Index","CHG_PCT_5D")/100</f>
        <v>3.7759889999999997E-2</v>
      </c>
      <c r="U40" s="188" cm="1">
        <f t="array" ref="U40">K40/_xll.BDP($A40&amp;" Index","HIGH_52WEEK")-1</f>
        <v>-3.3933619090063427E-2</v>
      </c>
      <c r="V40" s="188" cm="1">
        <f t="array" ref="V40">K40/_xll.BDP($A40&amp;" Index","LOW_52WEEK")-1</f>
        <v>9.4992337546274452E-2</v>
      </c>
      <c r="W40" s="188"/>
      <c r="X40" s="192" cm="1">
        <f t="array" ref="X40">_xll.BDP($A40&amp;" Index","RSI_14D")</f>
        <v>53.013599999999997</v>
      </c>
      <c r="Y40" s="193">
        <v>1.67</v>
      </c>
      <c r="Z40" s="188">
        <f t="shared" si="11"/>
        <v>-2.4757326602201646E-3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46143</v>
      </c>
      <c r="AG40" s="195">
        <f>IF(ISTEXT(C40),_xll.BDP(C40 &amp; " Equity","EXPECTED_REPORT_DT")*1,"")</f>
        <v>46141</v>
      </c>
      <c r="AH40" s="196" cm="1">
        <f t="array" ref="AH40">(_xll.BDP(B40&amp;" Equity","SHORT_INT")/_xll.BDP(B40&amp;" Equity","VOLUME_AVG_90D"))</f>
        <v>2.3550124422324918</v>
      </c>
      <c r="AI40" s="196" cm="1">
        <f t="array" ref="AI40">(_xll.BDP(C40&amp;" Equity","SHORT_INT")/_xll.BDP(C40&amp;" Equity","VOLUME_AVG_90D"))</f>
        <v>3.3261591404606978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1.2231172169110915</v>
      </c>
      <c r="AM40" s="194">
        <f ca="1">IF(ISTEXT(B40),AP40/_xll.BDH(B40 &amp;  " Equity","BEST_EPS",$AM$3,$AM$3,"BEST_FPERIOD_OVERRIDE=1BF","CDR=US","Fill=p")-1,"")</f>
        <v>2.5779125705919448E-2</v>
      </c>
      <c r="AN40" s="194">
        <f ca="1">IF(ISTEXT(B40),AP40/_xll.BDH(B40 &amp;  " Equity","BEST_EPS",$AN$3,$AN$3,"BEST_FPERIOD_OVERRIDE=1BF","CDR=US","Fill=p")-1,"")</f>
        <v>5.4110693175712044E-2</v>
      </c>
      <c r="AO40" s="196">
        <f t="shared" ca="1" si="14"/>
        <v>27.465463628485494</v>
      </c>
      <c r="AP40" s="196" cm="1">
        <f t="array" aca="1" ref="AP40" ca="1">IF(ISTEXT(B40),_xll.BDH(B40 &amp;  " Equity","BEST_EPS",$Q$3,$Q$3,"BEST_FPERIOD_OVERRIDE=1BF","CDR=US","Fill=p"),"")</f>
        <v>19.617000000000001</v>
      </c>
      <c r="AR40" s="194">
        <f ca="1">IF(ISTEXT(C40),AU40/_xll.BDH(C40 &amp;  " Equity","BEST_EPS",$AM$3,$AM$3,"BEST_FPERIOD_OVERRIDE=1BF","CDR=US","Fill=p")-1,"")</f>
        <v>1.2719563900666309E-2</v>
      </c>
      <c r="AS40" s="194">
        <f ca="1">IF(ISTEXT(C40),AU40/_xll.BDH(C40 &amp;  " Equity","BEST_EPS",$AN$3,$AN$3,"BEST_FPERIOD_OVERRIDE=1BF","CDR=US","Fill=p")-1,"")</f>
        <v>3.4013605442176909E-2</v>
      </c>
      <c r="AT40" s="196">
        <f t="shared" ca="1" si="15"/>
        <v>24.060257177033492</v>
      </c>
      <c r="AU40" s="196" cm="1">
        <f t="array" aca="1" ref="AU40" ca="1">IF(ISTEXT(C40),_xll.BDH(C40 &amp;  " Equity","BEST_EPS",$Q$3,$Q$3,"BEST_FPERIOD_OVERRIDE=1BF","CDR=US","Fill=p"),"")</f>
        <v>13.375999999999999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219.91</v>
      </c>
      <c r="H41" s="188" cm="1">
        <f t="array" ref="H41">G41/_xll.BDP(B41&amp;" Equity", "PREV_CLOSE_VAL")-1</f>
        <v>-1.5004926990952239E-2</v>
      </c>
      <c r="I41" s="187" cm="1">
        <f t="array" ref="I41">_xll.BDP(C41&amp;" Equity","LAST PRICE")</f>
        <v>621.87</v>
      </c>
      <c r="J41" s="188" cm="1">
        <f t="array" ref="J41">I41/_xll.BDP(C41&amp;" Equity", "PREV_CLOSE_VAL")-1</f>
        <v>-1.2010866974881962E-2</v>
      </c>
      <c r="K41" s="189">
        <f t="shared" si="9"/>
        <v>0.35362696383488512</v>
      </c>
      <c r="L41" s="188" cm="1">
        <f t="array" ref="L41">K41/(_xll.BDP(B41&amp;" Equity", "PREV_CLOSE_VAL")/_xll.BDP(C41&amp;" Equity", "PREV_CLOSE_VAL"))-1</f>
        <v>-3.030458449378548E-3</v>
      </c>
      <c r="M41" s="188"/>
      <c r="N41" s="190">
        <f t="shared" si="10"/>
        <v>0.25549482826171355</v>
      </c>
      <c r="O41" s="191">
        <f t="shared" si="17"/>
        <v>1.1861134215500944E-2</v>
      </c>
      <c r="P41" s="192" cm="1">
        <f t="array" ref="P41">_xll.BDP($A41&amp;" Index","VOLATILITY_30D")</f>
        <v>18.823619999999998</v>
      </c>
      <c r="Q41" s="192" cm="1">
        <f t="array" aca="1" ref="Q41" ca="1">(_xll.BDP(($B41&amp; " Equity"),"CORR_COEF", "BETA_OVERRIDE_REL_INDEX",($C41&amp; " Equity"),"BETA_OVERRIDE_END_DT",$Q$5,"BETA_OVERRIDE_START_DT",$Q$4))*100</f>
        <v>54.92698</v>
      </c>
      <c r="R41" s="188"/>
      <c r="S41" s="188" cm="1">
        <f t="array" ref="S41">_xll.BDP($A41&amp;" Index","CHG_PCT_2D")/100</f>
        <v>-4.2231580000000003E-3</v>
      </c>
      <c r="T41" s="188" cm="1">
        <f t="array" ref="T41">_xll.BDP($A41&amp;" Index","CHG_PCT_5D")/100</f>
        <v>1.4069400000000001E-2</v>
      </c>
      <c r="U41" s="188" cm="1">
        <f t="array" ref="U41">K41/_xll.BDP($A41&amp;" Index","HIGH_52WEEK")-1</f>
        <v>-5.4928206117683676E-2</v>
      </c>
      <c r="V41" s="188" cm="1">
        <f t="array" ref="V41">K41/_xll.BDP($A41&amp;" Index","LOW_52WEEK")-1</f>
        <v>0.30968098898146423</v>
      </c>
      <c r="W41" s="188"/>
      <c r="X41" s="192" cm="1">
        <f t="array" ref="X41">_xll.BDP($A41&amp;" Index","RSI_14D")</f>
        <v>61.513530000000003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0.80743710308086603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2.1470986211600263E-3</v>
      </c>
      <c r="AN41" s="194">
        <f ca="1">IF(ISTEXT(B41),AP41/_xll.BDH(B41 &amp;  " Equity","BEST_EPS",$AN$3,$AN$3,"BEST_FPERIOD_OVERRIDE=1BF","CDR=US","Fill=p")-1,"")</f>
        <v>5.0684706654785971E-2</v>
      </c>
      <c r="AO41" s="196">
        <f t="shared" ca="1" si="14"/>
        <v>24.539418624114269</v>
      </c>
      <c r="AP41" s="196" cm="1">
        <f t="array" aca="1" ref="AP41" ca="1">IF(ISTEXT(B41),_xll.BDH(B41 &amp;  " Equity","BEST_EPS",$Q$3,$Q$3,"BEST_FPERIOD_OVERRIDE=1BF","CDR=US","Fill=p"),"")</f>
        <v>8.9614999999999991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219.91</v>
      </c>
      <c r="H42" s="188" cm="1">
        <f t="array" ref="H42">G42/_xll.BDP(B42&amp;" Equity", "PREV_CLOSE_VAL")-1</f>
        <v>-1.5004926990952239E-2</v>
      </c>
      <c r="I42" s="187" cm="1">
        <f t="array" ref="I42">_xll.BDP(C42&amp;" Equity","LAST PRICE")</f>
        <v>43.25</v>
      </c>
      <c r="J42" s="188" cm="1">
        <f t="array" ref="J42">I42/_xll.BDP(C42&amp;" Equity", "PREV_CLOSE_VAL")-1</f>
        <v>-1.8462958689129394E-3</v>
      </c>
      <c r="K42" s="189">
        <f t="shared" ref="K42:K55" si="18">G42/I42</f>
        <v>5.0846242774566477</v>
      </c>
      <c r="L42" s="188" cm="1">
        <f t="array" ref="L42">K42/(_xll.BDP(B42&amp;" Equity", "PREV_CLOSE_VAL")/_xll.BDP(C42&amp;" Equity", "PREV_CLOSE_VAL"))-1</f>
        <v>-1.3182970786542403E-2</v>
      </c>
      <c r="M42" s="188"/>
      <c r="N42" s="190">
        <f t="shared" ref="N42:N55" si="19">ABS(L42/O42)</f>
        <v>1.2489142644600855</v>
      </c>
      <c r="O42" s="191">
        <f t="shared" si="17"/>
        <v>1.0555545053560178E-2</v>
      </c>
      <c r="P42" s="192" cm="1">
        <f t="array" ref="P42">_xll.BDP($A42&amp;" Index","VOLATILITY_30D")</f>
        <v>16.751650000000001</v>
      </c>
      <c r="Q42" s="192" cm="1">
        <f t="array" aca="1" ref="Q42" ca="1">(_xll.BDP(($B42&amp; " Equity"),"CORR_COEF", "BETA_OVERRIDE_REL_INDEX",($C42&amp; " Equity"),"BETA_OVERRIDE_END_DT",$Q$5,"BETA_OVERRIDE_START_DT",$Q$4))*100</f>
        <v>62.602579999999996</v>
      </c>
      <c r="R42" s="188"/>
      <c r="S42" s="188" cm="1">
        <f t="array" ref="S42">_xll.BDP($A42&amp;" Index","CHG_PCT_2D")/100</f>
        <v>-1.9259510000000001E-2</v>
      </c>
      <c r="T42" s="188" cm="1">
        <f t="array" ref="T42">_xll.BDP($A42&amp;" Index","CHG_PCT_5D")/100</f>
        <v>-2.4502460000000001E-3</v>
      </c>
      <c r="U42" s="188" cm="1">
        <f t="array" ref="U42">K42/_xll.BDP($A42&amp;" Index","HIGH_52WEEK")-1</f>
        <v>-1.9245375075872317E-2</v>
      </c>
      <c r="V42" s="188" cm="1">
        <f t="array" ref="V42">K42/_xll.BDP($A42&amp;" Index","LOW_52WEEK")-1</f>
        <v>0.55361016550353148</v>
      </c>
      <c r="W42" s="188"/>
      <c r="X42" s="192" cm="1">
        <f t="array" ref="X42">_xll.BDP($A42&amp;" Index","RSI_14D")</f>
        <v>63.552729999999997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1.087759689289812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2.1470986211600263E-3</v>
      </c>
      <c r="AN42" s="194">
        <f ca="1">IF(ISTEXT(B42),AP42/_xll.BDH(B42 &amp;  " Equity","BEST_EPS",$AN$3,$AN$3,"BEST_FPERIOD_OVERRIDE=1BF","CDR=US","Fill=p")-1,"")</f>
        <v>5.0684706654785971E-2</v>
      </c>
      <c r="AO42" s="196">
        <f t="shared" ref="AO42:AO55" ca="1" si="23">G42/AP42</f>
        <v>24.539418624114269</v>
      </c>
      <c r="AP42" s="196" cm="1">
        <f t="array" aca="1" ref="AP42" ca="1">IF(ISTEXT(B42),_xll.BDH(B42 &amp;  " Equity","BEST_EPS",$Q$3,$Q$3,"BEST_FPERIOD_OVERRIDE=1BF","CDR=US","Fill=p"),"")</f>
        <v>8.9614999999999991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691.97</v>
      </c>
      <c r="H44" s="188" cm="1">
        <f t="array" ref="H44">G44/_xll.BDP(B44&amp;" Equity", "PREV_CLOSE_VAL")-1</f>
        <v>-2.9825370295659681E-3</v>
      </c>
      <c r="I44" s="187" cm="1">
        <f t="array" ref="I44">_xll.BDP(C44&amp;" Equity","LAST PRICE")</f>
        <v>198.08</v>
      </c>
      <c r="J44" s="188" cm="1">
        <f t="array" ref="J44">I44/_xll.BDP(C44&amp;" Equity", "PREV_CLOSE_VAL")-1</f>
        <v>-2.2164013701390095E-3</v>
      </c>
      <c r="K44" s="189">
        <f t="shared" si="18"/>
        <v>3.4933865105008075</v>
      </c>
      <c r="L44" s="188" cm="1">
        <f t="array" ref="L44">K44/(_xll.BDP(B44&amp;" Equity", "PREV_CLOSE_VAL")/_xll.BDP(C44&amp;" Equity", "PREV_CLOSE_VAL"))-1</f>
        <v>-7.6783749550402014E-4</v>
      </c>
      <c r="M44" s="188"/>
      <c r="N44" s="190">
        <f t="shared" si="19"/>
        <v>0.16876313604497623</v>
      </c>
      <c r="O44" s="191">
        <f t="shared" si="17"/>
        <v>4.549793950850662E-3</v>
      </c>
      <c r="P44" s="192" cm="1">
        <f t="array" ref="P44">_xll.BDP($A44&amp;" Index","VOLATILITY_30D")</f>
        <v>7.220523</v>
      </c>
      <c r="Q44" s="192" cm="1">
        <f t="array" aca="1" ref="Q44" ca="1">(_xll.BDP(($B44&amp; " Equity"),"CORR_COEF", "BETA_OVERRIDE_REL_INDEX",($C44&amp; " Equity"),"BETA_OVERRIDE_END_DT",$Q$5,"BETA_OVERRIDE_START_DT",$Q$4))*100</f>
        <v>74.823694740068078</v>
      </c>
      <c r="R44" s="188"/>
      <c r="S44" s="188" cm="1">
        <f t="array" ref="S44">_xll.BDP($A44&amp;" Index","CHG_PCT_2D")/100</f>
        <v>-2.00307E-3</v>
      </c>
      <c r="T44" s="188" cm="1">
        <f t="array" ref="T44">_xll.BDP($A44&amp;" Index","CHG_PCT_5D")/100</f>
        <v>9.550177E-3</v>
      </c>
      <c r="U44" s="188" cm="1">
        <f t="array" ref="U44">K44/_xll.BDP($A44&amp;" Index","HIGH_52WEEK")-1</f>
        <v>-4.2886827519285964E-2</v>
      </c>
      <c r="V44" s="188" cm="1">
        <f t="array" ref="V44">K44/_xll.BDP($A44&amp;" Index","LOW_52WEEK")-1</f>
        <v>8.670481808365671E-2</v>
      </c>
      <c r="W44" s="188"/>
      <c r="X44" s="192" cm="1">
        <f t="array" ref="X44">_xll.BDP($A44&amp;" Index","RSI_14D")</f>
        <v>47.741669999999999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1.3539141344739443</v>
      </c>
      <c r="AI44" s="196" cm="1">
        <f t="array" ref="AI44">(_xll.BDP(C44&amp;" Equity","SHORT_INT")/_xll.BDP(C44&amp;" Equity","VOLUME_AVG_90D"))</f>
        <v>2.2504754406967789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621.87</v>
      </c>
      <c r="H45" s="188" cm="1">
        <f t="array" ref="H45">G45/_xll.BDP(B45&amp;" Equity", "PREV_CLOSE_VAL")-1</f>
        <v>-1.2010866974881962E-2</v>
      </c>
      <c r="I45" s="187" cm="1">
        <f t="array" ref="I45">_xll.BDP(C45&amp;" Equity","LAST PRICE")</f>
        <v>103.87</v>
      </c>
      <c r="J45" s="188" cm="1">
        <f t="array" ref="J45">I45/_xll.BDP(C45&amp;" Equity", "PREV_CLOSE_VAL")-1</f>
        <v>-1.4516129032258074E-2</v>
      </c>
      <c r="K45" s="189">
        <f t="shared" si="18"/>
        <v>5.9870029844998554</v>
      </c>
      <c r="L45" s="188" cm="1">
        <f t="array" ref="L45">K45/(_xll.BDP(B45&amp;" Equity", "PREV_CLOSE_VAL")/_xll.BDP(C45&amp;" Equity", "PREV_CLOSE_VAL"))-1</f>
        <v>2.5421644444734159E-3</v>
      </c>
      <c r="M45" s="188"/>
      <c r="N45" s="190">
        <f t="shared" si="19"/>
        <v>0.6266577342765024</v>
      </c>
      <c r="O45" s="191">
        <f t="shared" si="17"/>
        <v>4.0567032136105859E-3</v>
      </c>
      <c r="P45" s="192" cm="1">
        <f t="array" ref="P45">_xll.BDP($A45&amp;" Index","VOLATILITY_30D")</f>
        <v>6.4379879999999998</v>
      </c>
      <c r="Q45" s="192" cm="1">
        <f t="array" aca="1" ref="Q45" ca="1">(_xll.BDP(($B45&amp; " Equity"),"CORR_COEF", "BETA_OVERRIDE_REL_INDEX",($C45&amp; " Equity"),"BETA_OVERRIDE_END_DT",$Q$5,"BETA_OVERRIDE_START_DT",$Q$4))*100</f>
        <v>89.573674364007132</v>
      </c>
      <c r="R45" s="188"/>
      <c r="S45" s="188" cm="1">
        <f t="array" ref="S45">_xll.BDP($A45&amp;" Index","CHG_PCT_2D")/100</f>
        <v>5.3301249999999998E-3</v>
      </c>
      <c r="T45" s="188" cm="1">
        <f t="array" ref="T45">_xll.BDP($A45&amp;" Index","CHG_PCT_5D")/100</f>
        <v>9.8650610000000014E-3</v>
      </c>
      <c r="U45" s="188" cm="1">
        <f t="array" ref="U45">K45/_xll.BDP($A45&amp;" Index","HIGH_52WEEK")-1</f>
        <v>-2.0638558309378774E-2</v>
      </c>
      <c r="V45" s="188" cm="1">
        <f t="array" ref="V45">K45/_xll.BDP($A45&amp;" Index","LOW_52WEEK")-1</f>
        <v>0.11844717399342697</v>
      </c>
      <c r="W45" s="188"/>
      <c r="X45" s="192" cm="1">
        <f t="array" ref="X45">_xll.BDP($A45&amp;" Index","RSI_14D")</f>
        <v>52.788339999999998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0.80743710308086603</v>
      </c>
      <c r="AI45" s="196" cm="1">
        <f t="array" ref="AI45">(_xll.BDP(C45&amp;" Equity","SHORT_INT")/_xll.BDP(C45&amp;" Equity","VOLUME_AVG_90D"))</f>
        <v>4.2281504290486707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621.87</v>
      </c>
      <c r="H46" s="188" cm="1">
        <f t="array" ref="H46">G46/_xll.BDP(B46&amp;" Equity", "PREV_CLOSE_VAL")-1</f>
        <v>-1.2010866974881962E-2</v>
      </c>
      <c r="I46" s="187" cm="1">
        <f t="array" ref="I46">_xll.BDP(C46&amp;" Equity","LAST PRICE")</f>
        <v>90.31</v>
      </c>
      <c r="J46" s="188" cm="1">
        <f t="array" ref="J46">I46/_xll.BDP(C46&amp;" Equity", "PREV_CLOSE_VAL")-1</f>
        <v>-2.1242007152920683E-2</v>
      </c>
      <c r="K46" s="189">
        <f>G46/I46</f>
        <v>6.8859483999557076</v>
      </c>
      <c r="L46" s="188" cm="1">
        <f t="array" ref="L46">K46/(_xll.BDP(B46&amp;" Equity", "PREV_CLOSE_VAL")/_xll.BDP(C46&amp;" Equity", "PREV_CLOSE_VAL"))-1</f>
        <v>9.431483824910103E-3</v>
      </c>
      <c r="M46" s="188"/>
      <c r="N46" s="190">
        <f>ABS(L46/O46)</f>
        <v>0.75834147334425994</v>
      </c>
      <c r="O46" s="191">
        <f>P46/15.87/100</f>
        <v>1.243698802772527E-2</v>
      </c>
      <c r="P46" s="192" cm="1">
        <f t="array" ref="P46">_xll.BDP($A46&amp;" Index","VOLATILITY_30D")</f>
        <v>19.737500000000001</v>
      </c>
      <c r="Q46" s="192" cm="1">
        <f t="array" aca="1" ref="Q46" ca="1">(_xll.BDP(($B46&amp; " Equity"),"CORR_COEF", "BETA_OVERRIDE_REL_INDEX",($C46&amp; " Equity"),"BETA_OVERRIDE_END_DT",$Q$5,"BETA_OVERRIDE_START_DT",$Q$4))*100</f>
        <v>74.261565905060962</v>
      </c>
      <c r="R46" s="188"/>
      <c r="S46" s="188" cm="1">
        <f t="array" ref="S46">_xll.BDP($A46&amp;" Index","CHG_PCT_2D")/100</f>
        <v>5.9240290000000001E-2</v>
      </c>
      <c r="T46" s="188" cm="1">
        <f t="array" ref="T46">_xll.BDP($A46&amp;" Index","CHG_PCT_5D")/100</f>
        <v>8.4313949999999999E-2</v>
      </c>
      <c r="U46" s="188" cm="1">
        <f t="array" ref="U46">K46/_xll.BDP($A46&amp;" Index","HIGH_52WEEK")-1</f>
        <v>9.4315564735756308E-3</v>
      </c>
      <c r="V46" s="188" cm="1">
        <f t="array" ref="V46">K46/_xll.BDP($A46&amp;" Index","LOW_52WEEK")-1</f>
        <v>0.41599939130811436</v>
      </c>
      <c r="W46" s="188"/>
      <c r="X46" s="192" cm="1">
        <f t="array" ref="X46">_xll.BDP($A46&amp;" Index","RSI_14D")</f>
        <v>83.455219999999997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0.80743710308086603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691.97</v>
      </c>
      <c r="H47" s="188" cm="1">
        <f t="array" ref="H47">G47/_xll.BDP(B47&amp;" Equity", "PREV_CLOSE_VAL")-1</f>
        <v>-2.9825370295659681E-3</v>
      </c>
      <c r="I47" s="187" cm="1">
        <f t="array" ref="I47">_xll.BDP(C47&amp;" Equity","LAST PRICE")</f>
        <v>621.87</v>
      </c>
      <c r="J47" s="188" cm="1">
        <f t="array" ref="J47">I47/_xll.BDP(C47&amp;" Equity", "PREV_CLOSE_VAL")-1</f>
        <v>-1.2010866974881962E-2</v>
      </c>
      <c r="K47" s="189">
        <f t="shared" si="18"/>
        <v>1.1127245244182868</v>
      </c>
      <c r="L47" s="188" cm="1">
        <f t="array" ref="L47">K47/(_xll.BDP(B47&amp;" Equity", "PREV_CLOSE_VAL")/_xll.BDP(C47&amp;" Equity", "PREV_CLOSE_VAL"))-1</f>
        <v>9.1380862840790833E-3</v>
      </c>
      <c r="M47" s="188"/>
      <c r="N47" s="190">
        <f t="shared" si="19"/>
        <v>0.28255300023698804</v>
      </c>
      <c r="O47" s="191">
        <f t="shared" si="17"/>
        <v>3.2341140516698175E-2</v>
      </c>
      <c r="P47" s="192" cm="1">
        <f t="array" ref="P47">_xll.BDP($A47&amp;" Index","VOLATILITY_30D")</f>
        <v>51.325389999999999</v>
      </c>
      <c r="Q47" s="192" cm="1">
        <f t="array" aca="1" ref="Q47" ca="1">(_xll.BDP(($B47&amp; " Equity"),"CORR_COEF", "BETA_OVERRIDE_REL_INDEX",($C47&amp; " Equity"),"BETA_OVERRIDE_END_DT",$Q$5,"BETA_OVERRIDE_START_DT",$Q$4))*100</f>
        <v>93.639047136844567</v>
      </c>
      <c r="R47" s="188"/>
      <c r="S47" s="188" cm="1">
        <f t="array" ref="S47">_xll.BDP($A47&amp;" Index","CHG_PCT_2D")/100</f>
        <v>0.12048</v>
      </c>
      <c r="T47" s="188" cm="1">
        <f t="array" ref="T47">_xll.BDP($A47&amp;" Index","CHG_PCT_5D")/100</f>
        <v>5.4033709999999999E-2</v>
      </c>
      <c r="U47" s="188" cm="1">
        <f t="array" ref="U47">K47/_xll.BDP($A47&amp;" Index","HIGH_52WEEK")-1</f>
        <v>-0.98767473942824224</v>
      </c>
      <c r="V47" s="188" cm="1">
        <f t="array" ref="V47">K47/_xll.BDP($A47&amp;" Index","LOW_52WEEK")-1</f>
        <v>-0.97823734550326058</v>
      </c>
      <c r="W47" s="188"/>
      <c r="X47" s="192" cm="1">
        <f t="array" ref="X47">_xll.BDP($A47&amp;" Index","RSI_14D")</f>
        <v>45.337569999999999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1.3539141344739443</v>
      </c>
      <c r="AI47" s="196" cm="1">
        <f t="array" ref="AI47">(_xll.BDP(C47&amp;" Equity","SHORT_INT")/_xll.BDP(C47&amp;" Equity","VOLUME_AVG_90D"))</f>
        <v>0.80743710308086603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691.97</v>
      </c>
      <c r="H48" s="188" cm="1">
        <f t="array" ref="H48">G48/_xll.BDP(B48&amp;" Equity", "PREV_CLOSE_VAL")-1</f>
        <v>-2.9825370295659681E-3</v>
      </c>
      <c r="I48" s="187" cm="1">
        <f t="array" ref="I48">_xll.BDP(C48&amp;" Equity","LAST PRICE")</f>
        <v>259.64999999999998</v>
      </c>
      <c r="J48" s="188" cm="1">
        <f t="array" ref="J48">I48/_xll.BDP(C48&amp;" Equity", "PREV_CLOSE_VAL")-1</f>
        <v>-1.4124615559858889E-2</v>
      </c>
      <c r="K48" s="189">
        <f t="shared" si="18"/>
        <v>2.6650105911804354</v>
      </c>
      <c r="L48" s="188" cm="1">
        <f t="array" ref="L48">K48/(_xll.BDP(B48&amp;" Equity", "PREV_CLOSE_VAL")/_xll.BDP(C48&amp;" Equity", "PREV_CLOSE_VAL"))-1</f>
        <v>1.1301710851235214E-2</v>
      </c>
      <c r="M48" s="188"/>
      <c r="N48" s="190">
        <f t="shared" si="19"/>
        <v>1.5318745347071279</v>
      </c>
      <c r="O48" s="191">
        <f t="shared" si="17"/>
        <v>7.3777000630119724E-3</v>
      </c>
      <c r="P48" s="192" cm="1">
        <f t="array" ref="P48">_xll.BDP($A48&amp;" Index","VOLATILITY_30D")</f>
        <v>11.708410000000001</v>
      </c>
      <c r="Q48" s="192" cm="1">
        <f t="array" aca="1" ref="Q48" ca="1">(_xll.BDP(($B48&amp; " Equity"),"CORR_COEF", "BETA_OVERRIDE_REL_INDEX",($C48&amp; " Equity"),"BETA_OVERRIDE_END_DT",$Q$5,"BETA_OVERRIDE_START_DT",$Q$4))*100</f>
        <v>72.986633435575683</v>
      </c>
      <c r="R48" s="188"/>
      <c r="S48" s="188" cm="1">
        <f t="array" ref="S48">_xll.BDP($A48&amp;" Index","CHG_PCT_2D")/100</f>
        <v>9.5601569999999997E-3</v>
      </c>
      <c r="T48" s="188" cm="1">
        <f t="array" ref="T48">_xll.BDP($A48&amp;" Index","CHG_PCT_5D")/100</f>
        <v>2.446889E-2</v>
      </c>
      <c r="U48" s="188" cm="1">
        <f t="array" ref="U48">K48/_xll.BDP($A48&amp;" Index","HIGH_52WEEK")-1</f>
        <v>-7.981872978183846E-2</v>
      </c>
      <c r="V48" s="188" cm="1">
        <f t="array" ref="V48">K48/_xll.BDP($A48&amp;" Index","LOW_52WEEK")-1</f>
        <v>4.3563448084563694E-2</v>
      </c>
      <c r="W48" s="188"/>
      <c r="X48" s="192" cm="1">
        <f t="array" ref="X48">_xll.BDP($A48&amp;" Index","RSI_14D")</f>
        <v>44.787759999999999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1.3539141344739443</v>
      </c>
      <c r="AI48" s="196" cm="1">
        <f t="array" ref="AI48">(_xll.BDP(C48&amp;" Equity","SHORT_INT")/_xll.BDP(C48&amp;" Equity","VOLUME_AVG_90D"))</f>
        <v>2.04345233562363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621.87</v>
      </c>
      <c r="H49" s="188" cm="1">
        <f t="array" ref="H49">G49/_xll.BDP(B49&amp;" Equity", "PREV_CLOSE_VAL")-1</f>
        <v>-1.2010866974881962E-2</v>
      </c>
      <c r="I49" s="187" cm="1">
        <f t="array" ref="I49">_xll.BDP(C49&amp;" Equity","LAST PRICE")</f>
        <v>259.64999999999998</v>
      </c>
      <c r="J49" s="188" cm="1">
        <f t="array" ref="J49">I49/_xll.BDP(C49&amp;" Equity", "PREV_CLOSE_VAL")-1</f>
        <v>-1.4124615559858889E-2</v>
      </c>
      <c r="K49" s="189">
        <f t="shared" si="18"/>
        <v>2.395031773541306</v>
      </c>
      <c r="L49" s="188" cm="1">
        <f t="array" ref="L49">K49/(_xll.BDP(B49&amp;" Equity", "PREV_CLOSE_VAL")/_xll.BDP(C49&amp;" Equity", "PREV_CLOSE_VAL"))-1</f>
        <v>2.1440322157726399E-3</v>
      </c>
      <c r="M49" s="188"/>
      <c r="N49" s="190">
        <f t="shared" si="19"/>
        <v>0.24803483898566345</v>
      </c>
      <c r="O49" s="191">
        <f t="shared" si="17"/>
        <v>8.6440768746061762E-3</v>
      </c>
      <c r="P49" s="192" cm="1">
        <f t="array" ref="P49">_xll.BDP($A49&amp;" Index","VOLATILITY_30D")</f>
        <v>13.71815</v>
      </c>
      <c r="Q49" s="192" cm="1">
        <f t="array" aca="1" ref="Q49" ca="1">(_xll.BDP(($B49&amp; " Equity"),"CORR_COEF", "BETA_OVERRIDE_REL_INDEX",($C49&amp; " Equity"),"BETA_OVERRIDE_END_DT",$Q$5,"BETA_OVERRIDE_START_DT",$Q$4))*100</f>
        <v>61.481917874867129</v>
      </c>
      <c r="R49" s="188"/>
      <c r="S49" s="188" cm="1">
        <f t="array" ref="S49">_xll.BDP($A49&amp;" Index","CHG_PCT_2D")/100</f>
        <v>-2.8803250000000004E-3</v>
      </c>
      <c r="T49" s="188" cm="1">
        <f t="array" ref="T49">_xll.BDP($A49&amp;" Index","CHG_PCT_5D")/100</f>
        <v>1.9747210000000001E-2</v>
      </c>
      <c r="U49" s="188" cm="1">
        <f t="array" ref="U49">K49/_xll.BDP($A49&amp;" Index","HIGH_52WEEK")-1</f>
        <v>-8.1589165756075666E-2</v>
      </c>
      <c r="V49" s="188" cm="1">
        <f t="array" ref="V49">K49/_xll.BDP($A49&amp;" Index","LOW_52WEEK")-1</f>
        <v>4.6432030244021316E-2</v>
      </c>
      <c r="W49" s="188"/>
      <c r="X49" s="192" cm="1">
        <f t="array" ref="X49">_xll.BDP($A49&amp;" Index","RSI_14D")</f>
        <v>48.053759999999997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0.80743710308086603</v>
      </c>
      <c r="AI49" s="196" cm="1">
        <f t="array" ref="AI49">(_xll.BDP(C49&amp;" Equity","SHORT_INT")/_xll.BDP(C49&amp;" Equity","VOLUME_AVG_90D"))</f>
        <v>2.04345233562363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403.46</v>
      </c>
      <c r="H50" s="188" cm="1">
        <f t="array" ref="H50">G50/_xll.BDP(B50&amp;" Equity", "PREV_CLOSE_VAL")-1</f>
        <v>-3.3675033531327836E-2</v>
      </c>
      <c r="I50" s="187" cm="1">
        <f t="array" ref="I50">_xll.BDP(C50&amp;" Equity","LAST PRICE")</f>
        <v>90.31</v>
      </c>
      <c r="J50" s="188" cm="1">
        <f t="array" ref="J50">I50/_xll.BDP(C50&amp;" Equity", "PREV_CLOSE_VAL")-1</f>
        <v>-2.1242007152920683E-2</v>
      </c>
      <c r="K50" s="189">
        <f>G50/I50</f>
        <v>4.4675008304728152</v>
      </c>
      <c r="L50" s="188" cm="1">
        <f t="array" ref="L50">K50/(_xll.BDP(B50&amp;" Equity", "PREV_CLOSE_VAL")/_xll.BDP(C50&amp;" Equity", "PREV_CLOSE_VAL"))-1</f>
        <v>-1.270286063487569E-2</v>
      </c>
      <c r="M50" s="188"/>
      <c r="N50" s="190">
        <f>ABS(L50/O50)</f>
        <v>0.62571220435123298</v>
      </c>
      <c r="O50" s="191">
        <f>P50/15.87/100</f>
        <v>2.0301442974165092E-2</v>
      </c>
      <c r="P50" s="192" cm="1">
        <f t="array" ref="P50">_xll.BDP($A50&amp;" Index","VOLATILITY_30D")</f>
        <v>32.218389999999999</v>
      </c>
      <c r="Q50" s="192" cm="1">
        <f t="array" aca="1" ref="Q50" ca="1">(_xll.BDP(($B50&amp; " Equity"),"CORR_COEF", "BETA_OVERRIDE_REL_INDEX",($C50&amp; " Equity"),"BETA_OVERRIDE_END_DT",$Q$5,"BETA_OVERRIDE_START_DT",$Q$4))*100</f>
        <v>56.234296472259238</v>
      </c>
      <c r="R50" s="188"/>
      <c r="S50" s="188" cm="1">
        <f t="array" ref="S50">_xll.BDP($A50&amp;" Index","CHG_PCT_2D")/100</f>
        <v>4.5039269999999999E-2</v>
      </c>
      <c r="T50" s="188" cm="1">
        <f t="array" ref="T50">_xll.BDP($A50&amp;" Index","CHG_PCT_5D")/100</f>
        <v>9.5529600000000006E-2</v>
      </c>
      <c r="U50" s="188" cm="1">
        <f t="array" ref="U50">K50/_xll.BDP($A50&amp;" Index","HIGH_52WEEK")-1</f>
        <v>-1.2702635045278687E-2</v>
      </c>
      <c r="V50" s="188" cm="1">
        <f t="array" ref="V50">K50/_xll.BDP($A50&amp;" Index","LOW_52WEEK")-1</f>
        <v>1.041595451354886</v>
      </c>
      <c r="W50" s="188"/>
      <c r="X50" s="192" cm="1">
        <f t="array" ref="X50">_xll.BDP($A50&amp;" Index","RSI_14D")</f>
        <v>82.208200000000005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1.1525518564616914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403.46</v>
      </c>
      <c r="H51" s="188" cm="1">
        <f t="array" ref="H51">G51/_xll.BDP(B51&amp;" Equity", "PREV_CLOSE_VAL")-1</f>
        <v>-3.3675033531327836E-2</v>
      </c>
      <c r="I51" s="187" cm="1">
        <f t="array" ref="I51">_xll.BDP(C51&amp;" Equity","LAST PRICE")</f>
        <v>621.87</v>
      </c>
      <c r="J51" s="188" cm="1">
        <f t="array" ref="J51">I51/_xll.BDP(C51&amp;" Equity", "PREV_CLOSE_VAL")-1</f>
        <v>-1.2010866974881962E-2</v>
      </c>
      <c r="K51" s="189">
        <f>G51/I51</f>
        <v>0.64878511586022802</v>
      </c>
      <c r="L51" s="188" cm="1">
        <f t="array" ref="L51">K51/(_xll.BDP(B51&amp;" Equity", "PREV_CLOSE_VAL")/_xll.BDP(C51&amp;" Equity", "PREV_CLOSE_VAL"))-1</f>
        <v>-2.1927535265608089E-2</v>
      </c>
      <c r="M51" s="188"/>
      <c r="N51" s="190">
        <f>ABS(L51/O51)</f>
        <v>1.8584304391106212</v>
      </c>
      <c r="O51" s="191">
        <f>P51/15.87/100</f>
        <v>1.1798954001260241E-2</v>
      </c>
      <c r="P51" s="192" cm="1">
        <f t="array" ref="P51">_xll.BDP($A51&amp;" Index","VOLATILITY_30D")</f>
        <v>18.72494</v>
      </c>
      <c r="Q51" s="192" cm="1">
        <f t="array" aca="1" ref="Q51" ca="1">(_xll.BDP(($B51&amp; " Equity"),"CORR_COEF", "BETA_OVERRIDE_REL_INDEX",($C51&amp; " Equity"),"BETA_OVERRIDE_END_DT",$Q$5,"BETA_OVERRIDE_START_DT",$Q$4))*100</f>
        <v>88.461968478490348</v>
      </c>
      <c r="R51" s="188"/>
      <c r="S51" s="188" cm="1">
        <f t="array" ref="S51">_xll.BDP($A51&amp;" Index","CHG_PCT_2D")/100</f>
        <v>-1.332098E-2</v>
      </c>
      <c r="T51" s="188" cm="1">
        <f t="array" ref="T51">_xll.BDP($A51&amp;" Index","CHG_PCT_5D")/100</f>
        <v>1.0431639999999999E-2</v>
      </c>
      <c r="U51" s="188" cm="1">
        <f t="array" ref="U51">K51/_xll.BDP($A51&amp;" Index","HIGH_52WEEK")-1</f>
        <v>-2.1927071201018999E-2</v>
      </c>
      <c r="V51" s="188" cm="1">
        <f t="array" ref="V51">K51/_xll.BDP($A51&amp;" Index","LOW_52WEEK")-1</f>
        <v>0.51670356241871152</v>
      </c>
      <c r="W51" s="188"/>
      <c r="X51" s="192" cm="1">
        <f t="array" ref="X51">_xll.BDP($A51&amp;" Index","RSI_14D")</f>
        <v>74.582449999999994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1.1525518564616914</v>
      </c>
      <c r="AI51" s="196" cm="1">
        <f t="array" ref="AI51">(_xll.BDP(C51&amp;" Equity","SHORT_INT")/_xll.BDP(C51&amp;" Equity","VOLUME_AVG_90D"))</f>
        <v>0.80743710308086603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86.2</v>
      </c>
      <c r="H52" s="188" cm="1">
        <f t="array" ref="H52">G52/_xll.BDP(B52&amp;" Equity", "PREV_CLOSE_VAL")-1</f>
        <v>-2.3196474135922518E-4</v>
      </c>
      <c r="I52" s="187" cm="1">
        <f t="array" ref="I52">_xll.BDP(C52&amp;" Equity","LAST PRICE")</f>
        <v>198.08</v>
      </c>
      <c r="J52" s="188" cm="1">
        <f t="array" ref="J52">I52/_xll.BDP(C52&amp;" Equity", "PREV_CLOSE_VAL")-1</f>
        <v>-2.2164013701390095E-3</v>
      </c>
      <c r="K52" s="189">
        <f>G52/I52</f>
        <v>0.43517770597738287</v>
      </c>
      <c r="L52" s="188" cm="1">
        <f t="array" ref="L52">K52/(_xll.BDP(B52&amp;" Equity", "PREV_CLOSE_VAL")/_xll.BDP(C52&amp;" Equity", "PREV_CLOSE_VAL"))-1</f>
        <v>1.9888447069131843E-3</v>
      </c>
      <c r="M52" s="188"/>
      <c r="N52" s="190">
        <f>ABS(L52/O52)</f>
        <v>0.24901178196879306</v>
      </c>
      <c r="O52" s="191">
        <f>P52/15.87/100</f>
        <v>7.9869502205419038E-3</v>
      </c>
      <c r="P52" s="192" cm="1">
        <f t="array" ref="P52">_xll.BDP($A52&amp;" Index","VOLATILITY_30D")</f>
        <v>12.67529</v>
      </c>
      <c r="Q52" s="192" cm="1">
        <f t="array" aca="1" ref="Q52" ca="1">(_xll.BDP(($B52&amp; " Equity"),"CORR_COEF", "BETA_OVERRIDE_REL_INDEX",($C52&amp; " Equity"),"BETA_OVERRIDE_END_DT",$Q$5,"BETA_OVERRIDE_START_DT",$Q$4))*100</f>
        <v>63.222482604561016</v>
      </c>
      <c r="R52" s="188"/>
      <c r="S52" s="188" cm="1">
        <f t="array" ref="S52">_xll.BDP($A52&amp;" Index","CHG_PCT_2D")/100</f>
        <v>1.569514E-2</v>
      </c>
      <c r="T52" s="188" cm="1">
        <f t="array" ref="T52">_xll.BDP($A52&amp;" Index","CHG_PCT_5D")/100</f>
        <v>2.6511219999999999E-2</v>
      </c>
      <c r="U52" s="188" cm="1">
        <f t="array" ref="U52">K52/_xll.BDP($A52&amp;" Index","HIGH_52WEEK")-1</f>
        <v>-3.5766848406047047E-2</v>
      </c>
      <c r="V52" s="188" cm="1">
        <f t="array" ref="V52">K52/_xll.BDP($A52&amp;" Index","LOW_52WEEK")-1</f>
        <v>0.27854307364745079</v>
      </c>
      <c r="W52" s="188"/>
      <c r="X52" s="192" cm="1">
        <f t="array" ref="X52">_xll.BDP($A52&amp;" Index","RSI_14D")</f>
        <v>50.754800000000003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1.9326407092270335</v>
      </c>
      <c r="AI52" s="196" cm="1">
        <f t="array" ref="AI52">(_xll.BDP(C52&amp;" Equity","SHORT_INT")/_xll.BDP(C52&amp;" Equity","VOLUME_AVG_90D"))</f>
        <v>2.2504754406967789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86.2</v>
      </c>
      <c r="H53" s="188" cm="1">
        <f t="array" ref="H53">G53/_xll.BDP(B53&amp;" Equity", "PREV_CLOSE_VAL")-1</f>
        <v>-2.3196474135922518E-4</v>
      </c>
      <c r="I53" s="187" cm="1">
        <f t="array" ref="I53">_xll.BDP(C53&amp;" Equity","LAST PRICE")</f>
        <v>691.97</v>
      </c>
      <c r="J53" s="188" cm="1">
        <f t="array" ref="J53">I53/_xll.BDP(C53&amp;" Equity", "PREV_CLOSE_VAL")-1</f>
        <v>-2.9825370295659681E-3</v>
      </c>
      <c r="K53" s="189">
        <f>G53/I53</f>
        <v>0.1245718745032299</v>
      </c>
      <c r="L53" s="188" cm="1">
        <f t="array" ref="L53">K53/(_xll.BDP(B53&amp;" Equity", "PREV_CLOSE_VAL")/_xll.BDP(C53&amp;" Equity", "PREV_CLOSE_VAL"))-1</f>
        <v>2.7588005128935666E-3</v>
      </c>
      <c r="M53" s="188"/>
      <c r="N53" s="190">
        <f>ABS(L53/O53)</f>
        <v>0.29481846894304187</v>
      </c>
      <c r="O53" s="191">
        <f>P53/15.87/100</f>
        <v>9.3576244486452426E-3</v>
      </c>
      <c r="P53" s="192" cm="1">
        <f t="array" ref="P53">_xll.BDP($A53&amp;" Index","VOLATILITY_30D")</f>
        <v>14.85055</v>
      </c>
      <c r="Q53" s="192" cm="1">
        <f t="array" aca="1" ref="Q53" ca="1">(_xll.BDP(($B53&amp; " Equity"),"CORR_COEF", "BETA_OVERRIDE_REL_INDEX",($C53&amp; " Equity"),"BETA_OVERRIDE_END_DT",$Q$5,"BETA_OVERRIDE_START_DT",$Q$4))*100</f>
        <v>59.170667626490449</v>
      </c>
      <c r="R53" s="188"/>
      <c r="S53" s="188" cm="1">
        <f t="array" ref="S53">_xll.BDP($A53&amp;" Index","CHG_PCT_2D")/100</f>
        <v>1.799887E-2</v>
      </c>
      <c r="T53" s="188" cm="1">
        <f t="array" ref="T53">_xll.BDP($A53&amp;" Index","CHG_PCT_5D")/100</f>
        <v>1.7065399999999998E-2</v>
      </c>
      <c r="U53" s="188" cm="1">
        <f t="array" ref="U53">K53/_xll.BDP($A53&amp;" Index","HIGH_52WEEK")-1</f>
        <v>-2.7617871335337552E-2</v>
      </c>
      <c r="V53" s="188" cm="1">
        <f t="array" ref="V53">K53/_xll.BDP($A53&amp;" Index","LOW_52WEEK")-1</f>
        <v>0.19413223258464241</v>
      </c>
      <c r="W53" s="188"/>
      <c r="X53" s="192" cm="1">
        <f t="array" ref="X53">_xll.BDP($A53&amp;" Index","RSI_14D")</f>
        <v>51.740009999999998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1.9326407092270335</v>
      </c>
      <c r="AI53" s="196" cm="1">
        <f t="array" ref="AI53">(_xll.BDP(C53&amp;" Equity","SHORT_INT")/_xll.BDP(C53&amp;" Equity","VOLUME_AVG_90D"))</f>
        <v>1.3539141344739443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86.2</v>
      </c>
      <c r="H54" s="188" cm="1">
        <f t="array" ref="H54">G54/_xll.BDP(B54&amp;" Equity", "PREV_CLOSE_VAL")-1</f>
        <v>-2.3196474135922518E-4</v>
      </c>
      <c r="I54" s="187" cm="1">
        <f t="array" ref="I54">_xll.BDP(C54&amp;" Equity","LAST PRICE")</f>
        <v>68.81</v>
      </c>
      <c r="J54" s="188" cm="1">
        <f t="array" ref="J54">I54/_xll.BDP(C54&amp;" Equity", "PREV_CLOSE_VAL")-1</f>
        <v>-3.1870201361726691E-3</v>
      </c>
      <c r="K54" s="189">
        <f>G54/I54</f>
        <v>1.2527248946374074</v>
      </c>
      <c r="L54" s="188" cm="1">
        <f t="array" ref="L54">K54/(_xll.BDP(B54&amp;" Equity", "PREV_CLOSE_VAL")/_xll.BDP(C54&amp;" Equity", "PREV_CLOSE_VAL"))-1</f>
        <v>2.9645033266092469E-3</v>
      </c>
      <c r="M54" s="188"/>
      <c r="N54" s="190">
        <f>ABS(L54/O54)</f>
        <v>0.33567119582531552</v>
      </c>
      <c r="O54" s="191">
        <f>P54/15.87/100</f>
        <v>8.8315689981096415E-3</v>
      </c>
      <c r="P54" s="192" cm="1">
        <f t="array" ref="P54">_xll.BDP($A54&amp;" Index","VOLATILITY_30D")</f>
        <v>14.015700000000001</v>
      </c>
      <c r="Q54" s="192" cm="1">
        <f t="array" aca="1" ref="Q54" ca="1">(_xll.BDP(($B54&amp; " Equity"),"CORR_COEF", "BETA_OVERRIDE_REL_INDEX",($C54&amp; " Equity"),"BETA_OVERRIDE_END_DT",$Q$5,"BETA_OVERRIDE_START_DT",$Q$4))*100</f>
        <v>76.869556401227356</v>
      </c>
      <c r="R54" s="188"/>
      <c r="S54" s="188" cm="1">
        <f t="array" ref="S54">_xll.BDP($A54&amp;" Index","CHG_PCT_2D")/100</f>
        <v>-3.2221189999999999E-3</v>
      </c>
      <c r="T54" s="188" cm="1">
        <f t="array" ref="T54">_xll.BDP($A54&amp;" Index","CHG_PCT_5D")/100</f>
        <v>2.2875740000000001E-3</v>
      </c>
      <c r="U54" s="188" cm="1">
        <f t="array" ref="U54">K54/_xll.BDP($A54&amp;" Index","HIGH_52WEEK")-1</f>
        <v>-5.0865323111991101E-2</v>
      </c>
      <c r="V54" s="188" cm="1">
        <f t="array" ref="V54">K54/_xll.BDP($A54&amp;" Index","LOW_52WEEK")-1</f>
        <v>0.1534476549738113</v>
      </c>
      <c r="W54" s="188"/>
      <c r="X54" s="192" cm="1">
        <f t="array" ref="X54">_xll.BDP($A54&amp;" Index","RSI_14D")</f>
        <v>40.73274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1.9326407092270335</v>
      </c>
      <c r="AI54" s="196" cm="1">
        <f t="array" ref="AI54">(_xll.BDP(C54&amp;" Equity","SHORT_INT")/_xll.BDP(C54&amp;" Equity","VOLUME_AVG_90D"))</f>
        <v>2.5843640849760328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0.93196110232548179</v>
      </c>
      <c r="G5" s="153" cm="1">
        <f t="array" ref="G5">_xll.BDP($C5&amp;" Equity","volatility_30d")/100</f>
        <v>0.58184807012065509</v>
      </c>
      <c r="J5" t="s">
        <v>1740</v>
      </c>
      <c r="K5" s="276">
        <v>70</v>
      </c>
      <c r="L5" cm="1">
        <f t="array" ref="L5">_xll.BDP(J5&amp;" Equity","LAST PRICE")</f>
        <v>99.48</v>
      </c>
      <c r="M5" s="279">
        <f>L5/K5-1</f>
        <v>0.42114285714285726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0.93196110232548179</v>
      </c>
      <c r="G6" s="153" cm="1">
        <f t="array" ref="G6">_xll.BDP($C6&amp;" Equity","volatility_30d")/100</f>
        <v>0.58184807012065509</v>
      </c>
      <c r="J6" t="s">
        <v>1740</v>
      </c>
      <c r="K6" s="276">
        <v>70</v>
      </c>
      <c r="L6" cm="1">
        <f t="array" ref="L6">_xll.BDP(J6&amp;" Equity","LAST PRICE")</f>
        <v>99.48</v>
      </c>
      <c r="M6" s="279">
        <f>L6/K6-1</f>
        <v>0.42114285714285726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0.68553590059063518</v>
      </c>
      <c r="G7" s="153" cm="1">
        <f t="array" ref="G7">_xll.BDP($C7&amp;" Equity","volatility_30d")/100</f>
        <v>0.41772914842387954</v>
      </c>
      <c r="J7" t="s">
        <v>1743</v>
      </c>
      <c r="K7" s="276">
        <v>28.5</v>
      </c>
      <c r="L7" cm="1">
        <f t="array" ref="L7">_xll.BDP(J7&amp;" Equity","LAST PRICE")</f>
        <v>20.16</v>
      </c>
      <c r="M7" s="279">
        <f t="shared" ref="M7:M13" si="6">L7/K7-1</f>
        <v>-0.29263157894736846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0.82744268366884455</v>
      </c>
      <c r="G8" s="153" cm="1">
        <f t="array" ref="G8">_xll.BDP($C8&amp;" Equity","volatility_30d")/100</f>
        <v>0.54654303248889358</v>
      </c>
      <c r="J8" t="s">
        <v>400</v>
      </c>
      <c r="K8" s="276">
        <v>318.75</v>
      </c>
      <c r="L8" cm="1">
        <f t="array" ref="L8">_xll.BDP(J8&amp;" Equity","LAST PRICE")</f>
        <v>263.64</v>
      </c>
      <c r="M8" s="279">
        <f t="shared" si="6"/>
        <v>-0.17289411764705886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0.33754942183010361</v>
      </c>
      <c r="G9" s="153" cm="1">
        <f t="array" ref="G9">_xll.BDP($C9&amp;" Equity","volatility_30d")/100</f>
        <v>0.25920111551697195</v>
      </c>
      <c r="J9" t="s">
        <v>134</v>
      </c>
      <c r="K9" s="276">
        <v>265.95999999999998</v>
      </c>
      <c r="L9" cm="1">
        <f t="array" ref="L9">_xll.BDP(J9&amp;" Equity","LAST PRICE")</f>
        <v>212.29</v>
      </c>
      <c r="M9" s="279">
        <f t="shared" si="6"/>
        <v>-0.20179726274627763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0.41447780000000001</v>
      </c>
      <c r="G10" s="153" cm="1">
        <f t="array" ref="G10">_xll.BDP($C10&amp;" Equity","volatility_30d")/100</f>
        <v>0.28814380000000001</v>
      </c>
      <c r="J10" t="s">
        <v>1753</v>
      </c>
      <c r="K10" s="276">
        <v>251.52</v>
      </c>
      <c r="L10" cm="1">
        <f t="array" ref="L10">_xll.BDP(J10&amp;" Equity","LAST PRICE")</f>
        <v>175.63</v>
      </c>
      <c r="M10" s="279">
        <f t="shared" si="6"/>
        <v>-0.30172550890585248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0.16649272677511259</v>
      </c>
      <c r="G11" s="153" cm="1">
        <f t="array" ref="G11">_xll.BDP($C11&amp;" Equity","volatility_30d")/100</f>
        <v>0.16385231696528138</v>
      </c>
      <c r="J11" t="s">
        <v>353</v>
      </c>
      <c r="K11" s="276">
        <v>117.4</v>
      </c>
      <c r="L11" cm="1">
        <f t="array" ref="L11">_xll.BDP(J11&amp;" Equity","LAST PRICE")</f>
        <v>180.27</v>
      </c>
      <c r="M11" s="279">
        <f t="shared" si="6"/>
        <v>0.53551959114139702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0.24325013516581653</v>
      </c>
      <c r="G12" s="153" cm="1">
        <f t="array" ref="G12">_xll.BDP($C12&amp;" Equity","volatility_30d")/100</f>
        <v>0.26582559424024566</v>
      </c>
      <c r="J12" t="s">
        <v>1742</v>
      </c>
      <c r="K12" s="276">
        <v>5420</v>
      </c>
      <c r="L12" cm="1">
        <f t="array" ref="L12">_xll.BDP(J12&amp;" Index","LAST PRICE")</f>
        <v>5685</v>
      </c>
      <c r="M12" s="279">
        <f t="shared" si="6"/>
        <v>4.8892988929889247E-2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0.22601452452592879</v>
      </c>
      <c r="G13" s="153" cm="1">
        <f t="array" ref="G13">_xll.BDP($C13&amp;" Equity","volatility_30d")/100</f>
        <v>0.29483977154983293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0.17728360563232415</v>
      </c>
      <c r="G14" s="153" cm="1">
        <f t="array" ref="G14">_xll.BDP($C14&amp;" Equity","volatility_30d")/100</f>
        <v>0.14972539229840248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0.21151662432021351</v>
      </c>
      <c r="G15" s="153" cm="1">
        <f t="array" ref="G15">_xll.BDP($C15&amp;" Equity","volatility_30d")/100</f>
        <v>0.18408102124141451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0.35112255804066977</v>
      </c>
      <c r="G16" s="153" cm="1">
        <f t="array" ref="G16">_xll.BDP($C16&amp;" Equity","volatility_30d")/100</f>
        <v>0.23343711290576974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0.36591132796657205</v>
      </c>
      <c r="G17" s="153" cm="1">
        <f t="array" ref="G17">_xll.BDP($C17&amp;" Equity","volatility_30d")/100</f>
        <v>0.29054744977427888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0.33800622351173337</v>
      </c>
      <c r="G18" s="153" cm="1">
        <f t="array" ref="G18">_xll.BDP($C18&amp;" Equity","volatility_30d")/100</f>
        <v>0.26735031069349424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0.1174876020169125</v>
      </c>
      <c r="G19" s="153" cm="1">
        <f t="array" ref="G19">_xll.BDP($C19&amp;" Equity","volatility_30d")/100</f>
        <v>0.13515240963485126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0.17594497771501133</v>
      </c>
      <c r="G20" s="153" cm="1">
        <f t="array" ref="G20">_xll.BDP($C20&amp;" Equity","volatility_30d")/100</f>
        <v>0.15064322778890871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0.1343670327414139</v>
      </c>
      <c r="G21" s="153" cm="1">
        <f t="array" ref="G21">_xll.BDP($C21&amp;" Equity","volatility_30d")/100</f>
        <v>0.10588449632472016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0.14315369812144116</v>
      </c>
      <c r="G22" s="153" cm="1">
        <f t="array" ref="G22">_xll.BDP($C22&amp;" Equity","volatility_30d")/100</f>
        <v>9.670168552319687E-2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0.17634642743666595</v>
      </c>
      <c r="G23" s="153" cm="1">
        <f t="array" ref="G23">_xll.BDP($C23&amp;" Equity","volatility_30d")/100</f>
        <v>0.13043836967272163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0.18999286704250259</v>
      </c>
      <c r="G24" s="153" cm="1">
        <f t="array" ref="G24">_xll.BDP($C24&amp;" Equity","volatility_30d")/100</f>
        <v>0.14908795795525595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0.27235204222487752</v>
      </c>
      <c r="G25" s="153" cm="1">
        <f t="array" ref="G25">_xll.BDP($C25&amp;" Equity","volatility_30d")/100</f>
        <v>0.17375279043800426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1.1783472299575806</v>
      </c>
      <c r="F26" s="153" cm="1">
        <f t="array" ref="F26">_xll.BDP($C26&amp;" Equity","volatility_10d")/100</f>
        <v>0.6448422367919423</v>
      </c>
      <c r="G26" s="153" cm="1">
        <f t="array" ref="G26">_xll.BDP($C26&amp;" Equity","volatility_30d")/100</f>
        <v>0.40801693679225187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1.0710140466690063</v>
      </c>
      <c r="F27" s="153" cm="1">
        <f t="array" ref="F27">_xll.BDP($C27&amp;" Equity","volatility_10d")/100</f>
        <v>0.28216827161586922</v>
      </c>
      <c r="G27" s="153" cm="1">
        <f t="array" ref="G27">_xll.BDP($C27&amp;" Equity","volatility_30d")/100</f>
        <v>0.18031744869321739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1.1976327896118164</v>
      </c>
      <c r="F28" s="153" cm="1">
        <f t="array" ref="F28">_xll.BDP($C28&amp;" Equity","volatility_10d")/100</f>
        <v>0.23526129737295548</v>
      </c>
      <c r="G28" s="153" cm="1">
        <f t="array" ref="G28">_xll.BDP($C28&amp;" Equity","volatility_30d")/100</f>
        <v>0.27718638050318861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0.84135323762893677</v>
      </c>
      <c r="F29" s="153" cm="1">
        <f t="array" ref="F29">_xll.BDP($C29&amp;" Equity","volatility_10d")/100</f>
        <v>0.5307032964424746</v>
      </c>
      <c r="G29" s="153" cm="1">
        <f t="array" ref="G29">_xll.BDP($C29&amp;" Equity","volatility_30d")/100</f>
        <v>0.3393572807180058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1.019689679145813</v>
      </c>
      <c r="F30" s="153" cm="1">
        <f t="array" ref="F30">_xll.BDP($C30&amp;" Equity","volatility_10d")/100</f>
        <v>0.65466274739884545</v>
      </c>
      <c r="G30" s="153" cm="1">
        <f t="array" ref="G30">_xll.BDP($C30&amp;" Equity","volatility_30d")/100</f>
        <v>0.37927679619842919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1.2194719314575195</v>
      </c>
      <c r="F31" s="153" cm="1">
        <f t="array" ref="F31">_xll.BDP($C31&amp;" Equity","volatility_10d")/100</f>
        <v>0.51470748980149084</v>
      </c>
      <c r="G31" s="153" cm="1">
        <f t="array" ref="G31">_xll.BDP($C31&amp;" Equity","volatility_30d")/100</f>
        <v>0.39510482719153833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0.84630101919174194</v>
      </c>
      <c r="F32" s="153" cm="1">
        <f t="array" ref="F32">_xll.BDP($C32&amp;" Equity","volatility_10d")/100</f>
        <v>0.29304236626148361</v>
      </c>
      <c r="G32" s="153" cm="1">
        <f t="array" ref="G32">_xll.BDP($C32&amp;" Equity","volatility_30d")/100</f>
        <v>0.22559191228694617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0.83062779903411865</v>
      </c>
      <c r="F33" s="153" cm="1">
        <f t="array" ref="F33">_xll.BDP($C33&amp;" Equity","volatility_10d")/100</f>
        <v>0.19444839236855149</v>
      </c>
      <c r="G33" s="153" cm="1">
        <f t="array" ref="G33">_xll.BDP($C33&amp;" Equity","volatility_30d")/100</f>
        <v>0.20881124390328293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0.6282966136932373</v>
      </c>
      <c r="F34" s="153" cm="1">
        <f t="array" ref="F34">_xll.BDP($C34&amp;" Equity","volatility_10d")/100</f>
        <v>0.17124788210943065</v>
      </c>
      <c r="G34" s="153" cm="1">
        <f t="array" ref="G34">_xll.BDP($C34&amp;" Equity","volatility_30d")/100</f>
        <v>0.12719846743851954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1.4806028604507446</v>
      </c>
      <c r="F35" s="153" cm="1">
        <f t="array" ref="F35">_xll.BDP($C35&amp;" Equity","volatility_10d")/100</f>
        <v>0.34177551525701477</v>
      </c>
      <c r="G35" s="153" cm="1">
        <f t="array" ref="G35">_xll.BDP($C35&amp;" Equity","volatility_30d")/100</f>
        <v>0.31978135063791707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1.8499137163162231</v>
      </c>
      <c r="F36" s="153" cm="1">
        <f t="array" ref="F36">_xll.BDP($C36&amp;" Equity","volatility_10d")/100</f>
        <v>0.33847710208426418</v>
      </c>
      <c r="G36" s="153" cm="1">
        <f t="array" ref="G36">_xll.BDP($C36&amp;" Equity","volatility_30d")/100</f>
        <v>0.27023768190026803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1.6584094762802124</v>
      </c>
      <c r="F37" s="153" cm="1">
        <f t="array" ref="F37">_xll.BDP($C37&amp;" Equity","volatility_10d")/100</f>
        <v>1.1326991411952874</v>
      </c>
      <c r="G37" s="153" cm="1">
        <f t="array" ref="G37">_xll.BDP($C37&amp;" Equity","volatility_30d")/100</f>
        <v>0.88770027218951342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1.1763453483581543</v>
      </c>
      <c r="F38" s="153" cm="1">
        <f t="array" ref="F38">_xll.BDP($C38&amp;" Equity","volatility_10d")/100</f>
        <v>0.19260693064207493</v>
      </c>
      <c r="G38" s="153" cm="1">
        <f t="array" ref="G38">_xll.BDP($C38&amp;" Equity","volatility_30d")/100</f>
        <v>0.23593337045144439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1.083756685256958</v>
      </c>
      <c r="F39" s="153" cm="1">
        <f t="array" ref="F39">_xll.BDP($C39&amp;" Equity","volatility_10d")/100</f>
        <v>0.23897998567642592</v>
      </c>
      <c r="G39" s="153" cm="1">
        <f t="array" ref="G39">_xll.BDP($C39&amp;" Equity","volatility_30d")/100</f>
        <v>0.18922296741473971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0.60368311405181885</v>
      </c>
      <c r="F40" s="153" cm="1">
        <f t="array" ref="F40">_xll.BDP($C40&amp;" Equity","volatility_10d")/100</f>
        <v>0.23822992220009759</v>
      </c>
      <c r="G40" s="153" cm="1">
        <f t="array" ref="G40">_xll.BDP($C40&amp;" Equity","volatility_30d")/100</f>
        <v>0.29441043891099006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0.53678721189498901</v>
      </c>
      <c r="F41" s="153" cm="1">
        <f t="array" ref="F41">_xll.BDP($C41&amp;" Equity","volatility_10d")/100</f>
        <v>0.2751395397636528</v>
      </c>
      <c r="G41" s="153" cm="1">
        <f t="array" ref="G41">_xll.BDP($C41&amp;" Equity","volatility_30d")/100</f>
        <v>0.23652396572905515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0.54387730360031128</v>
      </c>
      <c r="F42" s="153" cm="1">
        <f t="array" ref="F42">_xll.BDP($C42&amp;" Equity","volatility_10d")/100</f>
        <v>0.21096353069988905</v>
      </c>
      <c r="G42" s="153" cm="1">
        <f t="array" ref="G42">_xll.BDP($C42&amp;" Equity","volatility_30d")/100</f>
        <v>0.22716790501382303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0.74694424867630005</v>
      </c>
      <c r="F43" s="153" cm="1">
        <f t="array" ref="F43">_xll.BDP($C43&amp;" Equity","volatility_10d")/100</f>
        <v>0.19032621424385038</v>
      </c>
      <c r="G43" s="153" cm="1">
        <f t="array" ref="G43">_xll.BDP($C43&amp;" Equity","volatility_30d")/100</f>
        <v>0.21677701504674854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0.65844494104385376</v>
      </c>
      <c r="F44" s="153" cm="1">
        <f t="array" ref="F44">_xll.BDP($C44&amp;" Equity","volatility_10d")/100</f>
        <v>0.88343440593313494</v>
      </c>
      <c r="G44" s="153" cm="1">
        <f t="array" ref="G44">_xll.BDP($C44&amp;" Equity","volatility_30d")/100</f>
        <v>0.7280364367454113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0.56344544887542725</v>
      </c>
      <c r="F45" s="153" cm="1">
        <f t="array" ref="F45">_xll.BDP($C45&amp;" Equity","volatility_10d")/100</f>
        <v>0.7973402176944776</v>
      </c>
      <c r="G45" s="153" cm="1">
        <f t="array" ref="G45">_xll.BDP($C45&amp;" Equity","volatility_30d")/100</f>
        <v>0.66020881769090611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80" zoomScaleNormal="80" zoomScaleSheetLayoutView="85" workbookViewId="0">
      <selection activeCell="N12" sqref="N12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-3.4457613674361443</v>
      </c>
      <c r="F4" s="284">
        <f>'Master P&amp;L'!U5</f>
        <v>2.5002676995753838E-2</v>
      </c>
    </row>
    <row r="5" spans="1:28">
      <c r="A5" s="297" t="s">
        <v>65</v>
      </c>
      <c r="C5" s="298">
        <f>'Master P&amp;L'!V6</f>
        <v>-0.18796884523567922</v>
      </c>
      <c r="F5" s="284">
        <f>'Master P&amp;L'!U6</f>
        <v>-1.4833900449158943E-2</v>
      </c>
    </row>
    <row r="6" spans="1:28" s="304" customFormat="1">
      <c r="A6" s="299" t="s">
        <v>66</v>
      </c>
      <c r="B6" s="300"/>
      <c r="C6" s="301">
        <f>'Master P&amp;L'!V7</f>
        <v>-3.6337302126718236</v>
      </c>
      <c r="D6" s="302"/>
      <c r="E6" s="302"/>
      <c r="F6" s="302">
        <f>'Master P&amp;L'!U7</f>
        <v>1.0168776546594895E-2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3.9836577444912785E-2</v>
      </c>
    </row>
    <row r="8" spans="1:28">
      <c r="A8" s="306" t="s">
        <v>68</v>
      </c>
      <c r="B8" s="307"/>
      <c r="C8" s="308">
        <f>'Master P&amp;L'!V7*'Master P&amp;L'!AD5/10000</f>
        <v>-816148.54853120132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-4295716.2703391248</v>
      </c>
      <c r="D9" s="312"/>
      <c r="E9" s="312"/>
      <c r="F9" s="312"/>
      <c r="G9" s="313"/>
      <c r="H9" s="312"/>
    </row>
    <row r="10" spans="1:28">
      <c r="A10" s="429" t="s">
        <v>2122</v>
      </c>
      <c r="B10" s="432">
        <f>Options!AI1</f>
        <v>-18.487448376926853</v>
      </c>
      <c r="H10" s="291"/>
    </row>
    <row r="11" spans="1:28">
      <c r="A11" s="314">
        <f ca="1">TODAY()</f>
        <v>46052</v>
      </c>
      <c r="H11" s="291"/>
      <c r="L11" s="284"/>
    </row>
    <row r="12" spans="1:28" s="365" customFormat="1" ht="47.25">
      <c r="A12" s="517" t="s">
        <v>72</v>
      </c>
      <c r="B12" s="510" t="s">
        <v>73</v>
      </c>
      <c r="C12" s="516" t="s">
        <v>74</v>
      </c>
      <c r="D12" s="516" t="s">
        <v>75</v>
      </c>
      <c r="E12" s="516" t="s">
        <v>76</v>
      </c>
      <c r="F12" s="516" t="s">
        <v>77</v>
      </c>
      <c r="G12" s="364"/>
      <c r="H12" s="366"/>
      <c r="I12" s="366"/>
      <c r="L12" s="315"/>
      <c r="AA12" s="367"/>
      <c r="AB12" s="367"/>
    </row>
    <row r="13" spans="1:28">
      <c r="A13" s="511" t="s">
        <v>1907</v>
      </c>
      <c r="B13" s="512">
        <v>-2.3239267167134942E-2</v>
      </c>
      <c r="C13" s="515">
        <v>-0.21442654847675879</v>
      </c>
      <c r="D13" s="513">
        <v>7.5649054063578393E-4</v>
      </c>
      <c r="E13" s="513">
        <v>2.7700021906308523E-4</v>
      </c>
      <c r="F13" s="513">
        <v>1.0334907596988691E-3</v>
      </c>
      <c r="G13" s="316"/>
      <c r="H13" s="291"/>
      <c r="L13" s="316"/>
    </row>
    <row r="14" spans="1:28">
      <c r="A14" s="514" t="s">
        <v>38</v>
      </c>
      <c r="B14" s="512">
        <v>-1.531213191990588E-2</v>
      </c>
      <c r="C14" s="515">
        <v>-8.4881498026028374E-2</v>
      </c>
      <c r="D14" s="513">
        <v>2.9306840806169723E-4</v>
      </c>
      <c r="E14" s="513">
        <v>2.7700021906308523E-4</v>
      </c>
      <c r="F14" s="513">
        <v>5.7006862712478251E-4</v>
      </c>
      <c r="G14" s="316"/>
      <c r="H14" s="291"/>
      <c r="I14" s="285"/>
      <c r="L14" s="316"/>
    </row>
    <row r="15" spans="1:28">
      <c r="A15" s="514" t="s">
        <v>2138</v>
      </c>
      <c r="B15" s="512">
        <v>-2.7490318075042763E-2</v>
      </c>
      <c r="C15" s="515">
        <v>-6.3427625687002692E-2</v>
      </c>
      <c r="D15" s="513">
        <v>2.2438438112552215E-4</v>
      </c>
      <c r="E15" s="513">
        <v>0</v>
      </c>
      <c r="F15" s="513">
        <v>2.2438438112552215E-4</v>
      </c>
      <c r="G15" s="316"/>
      <c r="H15" s="291"/>
      <c r="I15" s="285"/>
      <c r="L15" s="316"/>
    </row>
    <row r="16" spans="1:28">
      <c r="A16" s="514" t="s">
        <v>461</v>
      </c>
      <c r="B16" s="512">
        <v>-2.6915351506456187E-2</v>
      </c>
      <c r="C16" s="515">
        <v>-6.6117424763727728E-2</v>
      </c>
      <c r="D16" s="513">
        <v>2.3903775144856461E-4</v>
      </c>
      <c r="E16" s="513">
        <v>0</v>
      </c>
      <c r="F16" s="513">
        <v>2.3903775144856461E-4</v>
      </c>
      <c r="G16" s="316"/>
      <c r="H16" s="291"/>
      <c r="I16" s="285"/>
      <c r="L16" s="316"/>
    </row>
    <row r="17" spans="1:12">
      <c r="A17" s="511" t="s">
        <v>78</v>
      </c>
      <c r="B17" s="512">
        <v>-2.3672089927732343E-3</v>
      </c>
      <c r="C17" s="515">
        <v>-0.24914403754949122</v>
      </c>
      <c r="D17" s="513">
        <v>-1.3587720022378133E-2</v>
      </c>
      <c r="E17" s="513">
        <v>0</v>
      </c>
      <c r="F17" s="513">
        <v>-1.3587720022378133E-2</v>
      </c>
      <c r="G17" s="316"/>
      <c r="H17" s="291"/>
      <c r="I17" s="285"/>
      <c r="L17" s="316"/>
    </row>
    <row r="18" spans="1:12">
      <c r="A18" s="514" t="s">
        <v>3</v>
      </c>
      <c r="B18" s="512">
        <v>1.2758918380106343E-3</v>
      </c>
      <c r="C18" s="515">
        <v>-5.6022874086073586E-2</v>
      </c>
      <c r="D18" s="513">
        <v>-3.9596753729187195E-3</v>
      </c>
      <c r="E18" s="513">
        <v>0</v>
      </c>
      <c r="F18" s="513">
        <v>-3.9596753729187195E-3</v>
      </c>
      <c r="G18" s="316"/>
      <c r="H18" s="291"/>
      <c r="I18" s="285"/>
      <c r="L18" s="316"/>
    </row>
    <row r="19" spans="1:12">
      <c r="A19" s="514" t="s">
        <v>135</v>
      </c>
      <c r="B19" s="512">
        <v>-1.2010866974881962E-2</v>
      </c>
      <c r="C19" s="515">
        <v>-0.19406016425821546</v>
      </c>
      <c r="D19" s="513">
        <v>0</v>
      </c>
      <c r="E19" s="513"/>
      <c r="F19" s="513"/>
      <c r="G19" s="316"/>
      <c r="H19" s="291"/>
      <c r="I19" s="285"/>
      <c r="L19" s="316"/>
    </row>
    <row r="20" spans="1:12">
      <c r="A20" s="514" t="s">
        <v>1908</v>
      </c>
      <c r="B20" s="512">
        <v>-9.752672232243853E-6</v>
      </c>
      <c r="C20" s="515">
        <v>9.3900079479781681E-4</v>
      </c>
      <c r="D20" s="513">
        <v>-9.6280446494594139E-3</v>
      </c>
      <c r="E20" s="513">
        <v>0</v>
      </c>
      <c r="F20" s="513">
        <v>-9.6280446494594139E-3</v>
      </c>
      <c r="G20" s="316"/>
      <c r="H20" s="291"/>
      <c r="L20" s="316"/>
    </row>
    <row r="21" spans="1:12">
      <c r="A21" s="511" t="s">
        <v>2135</v>
      </c>
      <c r="B21" s="512">
        <v>-5.3570868544548678E-2</v>
      </c>
      <c r="C21" s="515">
        <v>-1.7595276506491502</v>
      </c>
      <c r="D21" s="513">
        <v>7.8625666551070518E-4</v>
      </c>
      <c r="E21" s="513">
        <v>0</v>
      </c>
      <c r="F21" s="513">
        <v>7.8625666551070518E-4</v>
      </c>
      <c r="G21" s="316"/>
      <c r="H21" s="291"/>
      <c r="I21" s="285"/>
      <c r="L21" s="316"/>
    </row>
    <row r="22" spans="1:12">
      <c r="A22" s="514" t="s">
        <v>131</v>
      </c>
      <c r="B22" s="512">
        <v>-5.3570868544548678E-2</v>
      </c>
      <c r="C22" s="515">
        <v>-1.7595276506491502</v>
      </c>
      <c r="D22" s="513">
        <v>7.8625666551070518E-4</v>
      </c>
      <c r="E22" s="513">
        <v>0</v>
      </c>
      <c r="F22" s="513">
        <v>7.8625666551070518E-4</v>
      </c>
      <c r="G22" s="316"/>
      <c r="H22" s="291"/>
      <c r="I22" s="285"/>
      <c r="L22" s="316"/>
    </row>
    <row r="23" spans="1:12">
      <c r="A23" s="511" t="s">
        <v>1880</v>
      </c>
      <c r="B23" s="512">
        <v>-2.133580840193312E-2</v>
      </c>
      <c r="C23" s="515">
        <v>-1.7350584584710431</v>
      </c>
      <c r="D23" s="513">
        <v>2.6176098808484531E-3</v>
      </c>
      <c r="E23" s="513">
        <v>6.5716318927760047E-3</v>
      </c>
      <c r="F23" s="513">
        <v>9.1892417736244587E-3</v>
      </c>
      <c r="G23" s="316" t="s">
        <v>151</v>
      </c>
      <c r="H23" s="291"/>
      <c r="I23" s="285"/>
      <c r="L23" s="316"/>
    </row>
    <row r="24" spans="1:12">
      <c r="A24" s="514" t="s">
        <v>94</v>
      </c>
      <c r="B24" s="512">
        <v>-7.1684587813619638E-3</v>
      </c>
      <c r="C24" s="515">
        <v>-0.16061520954942424</v>
      </c>
      <c r="D24" s="513">
        <v>1.5959378702086276E-3</v>
      </c>
      <c r="E24" s="513">
        <v>5.8223172195443948E-4</v>
      </c>
      <c r="F24" s="513">
        <v>2.178169592163067E-3</v>
      </c>
      <c r="G24" s="316" t="s">
        <v>151</v>
      </c>
      <c r="H24" s="291"/>
      <c r="I24" s="285"/>
      <c r="L24" s="316"/>
    </row>
    <row r="25" spans="1:12">
      <c r="A25" s="514" t="s">
        <v>96</v>
      </c>
      <c r="B25" s="512">
        <v>-2.6476218524517758E-2</v>
      </c>
      <c r="C25" s="515">
        <v>-1.5134231378057401</v>
      </c>
      <c r="D25" s="513">
        <v>7.1708397421424365E-4</v>
      </c>
      <c r="E25" s="513">
        <v>5.1734610877927729E-3</v>
      </c>
      <c r="F25" s="513">
        <v>5.8905450620070172E-3</v>
      </c>
      <c r="G25" s="316" t="s">
        <v>151</v>
      </c>
      <c r="H25" s="291"/>
      <c r="I25" s="285"/>
      <c r="L25" s="316"/>
    </row>
    <row r="26" spans="1:12">
      <c r="A26" s="514" t="s">
        <v>137</v>
      </c>
      <c r="B26" s="512">
        <v>1.7234602243521024E-3</v>
      </c>
      <c r="C26" s="515">
        <v>8.3258070472072097E-3</v>
      </c>
      <c r="D26" s="513">
        <v>2.0739397554434447E-4</v>
      </c>
      <c r="E26" s="513">
        <v>8.4459777225889116E-4</v>
      </c>
      <c r="F26" s="513">
        <v>1.0519917478032357E-3</v>
      </c>
      <c r="G26" s="316" t="s">
        <v>151</v>
      </c>
      <c r="H26" s="291"/>
      <c r="I26" s="285"/>
      <c r="L26" s="316"/>
    </row>
    <row r="27" spans="1:12">
      <c r="A27" s="514" t="s">
        <v>138</v>
      </c>
      <c r="B27" s="512">
        <v>-2.975165970002458E-2</v>
      </c>
      <c r="C27" s="515">
        <v>4.6464179861978046E-2</v>
      </c>
      <c r="D27" s="513">
        <v>9.7194060881237488E-5</v>
      </c>
      <c r="E27" s="513">
        <v>-2.5740546179934057E-4</v>
      </c>
      <c r="F27" s="513">
        <v>-1.6021140091810305E-4</v>
      </c>
      <c r="G27" s="316" t="s">
        <v>151</v>
      </c>
      <c r="H27" s="291"/>
      <c r="I27" s="285"/>
      <c r="L27" s="316"/>
    </row>
    <row r="28" spans="1:12">
      <c r="A28" s="514" t="s">
        <v>708</v>
      </c>
      <c r="B28" s="512">
        <v>-4.5006165228113404E-2</v>
      </c>
      <c r="C28" s="515">
        <v>-0.11581009802506403</v>
      </c>
      <c r="D28" s="513">
        <v>0</v>
      </c>
      <c r="E28" s="513">
        <v>2.2874677256924165E-4</v>
      </c>
      <c r="F28" s="513">
        <v>2.2874677256924165E-4</v>
      </c>
      <c r="G28" s="316"/>
      <c r="H28" s="291"/>
      <c r="I28" s="285"/>
      <c r="L28" s="316"/>
    </row>
    <row r="29" spans="1:12">
      <c r="A29" s="511" t="s">
        <v>2134</v>
      </c>
      <c r="B29" s="512">
        <v>8.3037730809013555E-3</v>
      </c>
      <c r="C29" s="515">
        <v>-0.14423159104365804</v>
      </c>
      <c r="D29" s="513">
        <v>2.9226711413374426E-3</v>
      </c>
      <c r="E29" s="513">
        <v>0</v>
      </c>
      <c r="F29" s="513">
        <v>2.9226711413374426E-3</v>
      </c>
      <c r="G29" s="316" t="s">
        <v>151</v>
      </c>
      <c r="H29" s="291"/>
      <c r="I29" s="285"/>
      <c r="L29" s="316"/>
    </row>
    <row r="30" spans="1:12">
      <c r="A30" s="514" t="s">
        <v>1754</v>
      </c>
      <c r="B30" s="512">
        <v>-1.6787148594377577E-2</v>
      </c>
      <c r="C30" s="515">
        <v>-0.41183089151908092</v>
      </c>
      <c r="D30" s="513">
        <v>2.4120679153517041E-3</v>
      </c>
      <c r="E30" s="513">
        <v>0</v>
      </c>
      <c r="F30" s="513">
        <v>2.4120679153517041E-3</v>
      </c>
      <c r="G30" s="316" t="s">
        <v>151</v>
      </c>
      <c r="H30" s="291"/>
      <c r="I30" s="285"/>
      <c r="L30" s="316"/>
    </row>
    <row r="31" spans="1:12">
      <c r="A31" s="514" t="s">
        <v>2269</v>
      </c>
      <c r="B31" s="512">
        <v>3.1825227191087824E-2</v>
      </c>
      <c r="C31" s="515">
        <v>0.28751029196521988</v>
      </c>
      <c r="D31" s="513">
        <v>3.6670716164599214E-4</v>
      </c>
      <c r="E31" s="513">
        <v>0</v>
      </c>
      <c r="F31" s="513">
        <v>3.6670716164599214E-4</v>
      </c>
      <c r="G31" s="316" t="s">
        <v>151</v>
      </c>
      <c r="H31" s="291"/>
      <c r="I31" s="285"/>
      <c r="L31" s="316"/>
    </row>
    <row r="32" spans="1:12">
      <c r="A32" s="514" t="s">
        <v>2455</v>
      </c>
      <c r="B32" s="512">
        <v>-1.3648213464192649E-2</v>
      </c>
      <c r="C32" s="515">
        <v>-1.9910991489796994E-2</v>
      </c>
      <c r="D32" s="513">
        <v>1.4389606433974636E-4</v>
      </c>
      <c r="E32" s="513">
        <v>0</v>
      </c>
      <c r="F32" s="513">
        <v>1.4389606433974636E-4</v>
      </c>
      <c r="G32" s="316"/>
      <c r="H32" s="291"/>
      <c r="L32" s="316"/>
    </row>
    <row r="33" spans="1:28">
      <c r="A33" s="511" t="s">
        <v>2064</v>
      </c>
      <c r="B33" s="512">
        <v>1.5155357686723669E-2</v>
      </c>
      <c r="C33" s="515">
        <v>0.17321434320035931</v>
      </c>
      <c r="D33" s="513">
        <v>1.5025423566763251E-3</v>
      </c>
      <c r="E33" s="513">
        <v>5.0729239600543548E-4</v>
      </c>
      <c r="F33" s="513">
        <v>2.0098347526817605E-3</v>
      </c>
      <c r="G33" s="316"/>
      <c r="H33" s="291"/>
      <c r="I33" s="285"/>
      <c r="L33" s="316"/>
    </row>
    <row r="34" spans="1:28">
      <c r="A34" s="514" t="s">
        <v>2063</v>
      </c>
      <c r="B34" s="512">
        <v>2.7265100671140852E-2</v>
      </c>
      <c r="C34" s="515">
        <v>0.20182257082854399</v>
      </c>
      <c r="D34" s="513">
        <v>1.471752285734306E-4</v>
      </c>
      <c r="E34" s="513">
        <v>5.0729239600543548E-4</v>
      </c>
      <c r="F34" s="513">
        <v>6.54467624578866E-4</v>
      </c>
      <c r="G34" s="316"/>
      <c r="H34" s="291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14" t="s">
        <v>2347</v>
      </c>
      <c r="B35" s="512">
        <v>-1.4025245441796619E-3</v>
      </c>
      <c r="C35" s="515">
        <v>-1.3960229149682517E-2</v>
      </c>
      <c r="D35" s="513">
        <v>9.9396831545727187E-4</v>
      </c>
      <c r="E35" s="513">
        <v>0</v>
      </c>
      <c r="F35" s="513">
        <v>9.9396831545727187E-4</v>
      </c>
      <c r="G35" s="286"/>
      <c r="H35" s="291"/>
      <c r="I35" s="285"/>
      <c r="L35" s="316"/>
    </row>
    <row r="36" spans="1:28">
      <c r="A36" s="514" t="s">
        <v>2356</v>
      </c>
      <c r="B36" s="512">
        <v>-8.7451839230072714E-3</v>
      </c>
      <c r="C36" s="515">
        <v>-5.5964447369949571E-2</v>
      </c>
      <c r="D36" s="513">
        <v>2.9597096385183895E-4</v>
      </c>
      <c r="E36" s="513">
        <v>0</v>
      </c>
      <c r="F36" s="513">
        <v>2.9597096385183895E-4</v>
      </c>
      <c r="G36" s="286" t="s">
        <v>151</v>
      </c>
      <c r="H36" s="291"/>
      <c r="I36" s="285"/>
      <c r="L36" s="316"/>
    </row>
    <row r="37" spans="1:28">
      <c r="A37" s="514" t="s">
        <v>2371</v>
      </c>
      <c r="B37" s="512">
        <v>6.74045801526717E-2</v>
      </c>
      <c r="C37" s="515">
        <v>4.1316448891447401E-2</v>
      </c>
      <c r="D37" s="513">
        <v>6.5427848793783559E-5</v>
      </c>
      <c r="E37" s="513">
        <v>0</v>
      </c>
      <c r="F37" s="513">
        <v>6.5427848793783559E-5</v>
      </c>
      <c r="G37" s="286"/>
      <c r="H37" s="291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11" t="s">
        <v>2129</v>
      </c>
      <c r="B38" s="512">
        <v>-5.7104959262827049E-2</v>
      </c>
      <c r="C38" s="515">
        <v>-0.20291473308631536</v>
      </c>
      <c r="D38" s="513">
        <v>2.227372485313408E-4</v>
      </c>
      <c r="E38" s="513">
        <v>0</v>
      </c>
      <c r="F38" s="513">
        <v>2.227372485313408E-4</v>
      </c>
      <c r="G38" s="286"/>
      <c r="H38" s="291"/>
      <c r="I38" s="285"/>
      <c r="L38" s="316"/>
      <c r="AA38" s="319"/>
      <c r="AB38" s="319"/>
    </row>
    <row r="39" spans="1:28">
      <c r="A39" s="514" t="s">
        <v>2128</v>
      </c>
      <c r="B39" s="512">
        <v>-5.7104959262827049E-2</v>
      </c>
      <c r="C39" s="515">
        <v>-0.20291473308631536</v>
      </c>
      <c r="D39" s="513">
        <v>2.227372485313408E-4</v>
      </c>
      <c r="E39" s="513">
        <v>0</v>
      </c>
      <c r="F39" s="513">
        <v>2.227372485313408E-4</v>
      </c>
      <c r="G39" s="286"/>
      <c r="H39" s="291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11" t="s">
        <v>2246</v>
      </c>
      <c r="B40" s="512">
        <v>-9.3081643466602516E-3</v>
      </c>
      <c r="C40" s="515">
        <v>-1.5466985298376739</v>
      </c>
      <c r="D40" s="513">
        <v>5.1699621361409381E-3</v>
      </c>
      <c r="E40" s="513">
        <v>3.2620338088877347E-3</v>
      </c>
      <c r="F40" s="513">
        <v>8.4319959450286711E-3</v>
      </c>
      <c r="G40" s="286" t="s">
        <v>1770</v>
      </c>
      <c r="H40" s="291"/>
      <c r="L40" s="316"/>
    </row>
    <row r="41" spans="1:28">
      <c r="A41" s="514" t="s">
        <v>79</v>
      </c>
      <c r="B41" s="512">
        <v>3.4087895165691995E-3</v>
      </c>
      <c r="C41" s="515">
        <v>-0.10779729124278993</v>
      </c>
      <c r="D41" s="513">
        <v>0</v>
      </c>
      <c r="E41" s="513">
        <v>1.0090803851889988E-3</v>
      </c>
      <c r="F41" s="513">
        <v>1.0090803851889986E-3</v>
      </c>
      <c r="G41" s="286" t="s">
        <v>1770</v>
      </c>
      <c r="H41" s="291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14" t="s">
        <v>89</v>
      </c>
      <c r="B42" s="512">
        <v>-1.6042690323448239E-2</v>
      </c>
      <c r="C42" s="515">
        <v>0.16004746880220502</v>
      </c>
      <c r="D42" s="513">
        <v>-9.7992453610353837E-4</v>
      </c>
      <c r="E42" s="513">
        <v>0</v>
      </c>
      <c r="F42" s="513">
        <v>-9.7992453610353837E-4</v>
      </c>
      <c r="G42" s="286" t="s">
        <v>1770</v>
      </c>
      <c r="H42" s="291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14" t="s">
        <v>81</v>
      </c>
      <c r="B43" s="512">
        <v>-2.0332214717913077E-2</v>
      </c>
      <c r="C43" s="515">
        <v>-1.3694283257909707</v>
      </c>
      <c r="D43" s="513">
        <v>1.7193626219856246E-3</v>
      </c>
      <c r="E43" s="513">
        <v>2.2529534236987361E-3</v>
      </c>
      <c r="F43" s="513">
        <v>3.9723160456843608E-3</v>
      </c>
      <c r="G43" s="286" t="s">
        <v>1770</v>
      </c>
      <c r="H43" s="291"/>
      <c r="I43" s="285"/>
      <c r="L43" s="316"/>
    </row>
    <row r="44" spans="1:28">
      <c r="A44" s="514" t="s">
        <v>90</v>
      </c>
      <c r="B44" s="512">
        <v>-7.4048442906573531E-3</v>
      </c>
      <c r="C44" s="515">
        <v>-5.5996999397502509E-2</v>
      </c>
      <c r="D44" s="513">
        <v>7.5062146014802215E-4</v>
      </c>
      <c r="E44" s="513">
        <v>0</v>
      </c>
      <c r="F44" s="513">
        <v>7.5062146014802215E-4</v>
      </c>
      <c r="G44" s="286" t="s">
        <v>1770</v>
      </c>
      <c r="H44" s="291"/>
      <c r="I44" s="285"/>
      <c r="L44" s="316"/>
      <c r="S44" s="317"/>
      <c r="T44" s="317"/>
      <c r="U44" s="317"/>
    </row>
    <row r="45" spans="1:28">
      <c r="A45" s="514" t="s">
        <v>399</v>
      </c>
      <c r="B45" s="512">
        <v>-1.0052537955570151E-2</v>
      </c>
      <c r="C45" s="515">
        <v>-0.16565664221663975</v>
      </c>
      <c r="D45" s="513">
        <v>1.6313429828165534E-3</v>
      </c>
      <c r="E45" s="513">
        <v>0</v>
      </c>
      <c r="F45" s="513">
        <v>1.6313429828165534E-3</v>
      </c>
      <c r="G45" s="286" t="s">
        <v>1770</v>
      </c>
      <c r="H45" s="291"/>
      <c r="I45" s="285"/>
      <c r="L45" s="316"/>
    </row>
    <row r="46" spans="1:28">
      <c r="A46" s="514" t="s">
        <v>2145</v>
      </c>
      <c r="B46" s="512">
        <v>-3.8386582413052484E-4</v>
      </c>
      <c r="C46" s="515">
        <v>-7.8667399919759851E-3</v>
      </c>
      <c r="D46" s="513">
        <v>2.0485596072942762E-3</v>
      </c>
      <c r="E46" s="513">
        <v>0</v>
      </c>
      <c r="F46" s="513">
        <v>2.0485596072942762E-3</v>
      </c>
      <c r="G46" s="286"/>
      <c r="H46" s="291"/>
      <c r="I46" s="285"/>
    </row>
    <row r="47" spans="1:28">
      <c r="A47" s="511" t="s">
        <v>2247</v>
      </c>
      <c r="B47" s="512">
        <v>1.3559200678085656E-2</v>
      </c>
      <c r="C47" s="515">
        <v>-0.20817647620667687</v>
      </c>
      <c r="D47" s="513">
        <v>-5.2022730700231886E-5</v>
      </c>
      <c r="E47" s="513">
        <v>0</v>
      </c>
      <c r="F47" s="513">
        <v>-5.2022730700231886E-5</v>
      </c>
      <c r="G47" s="286"/>
      <c r="H47" s="291"/>
      <c r="I47" s="285"/>
    </row>
    <row r="48" spans="1:28">
      <c r="A48" s="514" t="s">
        <v>88</v>
      </c>
      <c r="B48" s="512">
        <v>-2.0541549953314586E-3</v>
      </c>
      <c r="C48" s="515">
        <v>-2.1002317776977725E-2</v>
      </c>
      <c r="D48" s="513">
        <v>1.0203307836379051E-3</v>
      </c>
      <c r="E48" s="513">
        <v>0</v>
      </c>
      <c r="F48" s="513">
        <v>1.0203307836379051E-3</v>
      </c>
      <c r="G48" s="286"/>
      <c r="H48" s="291"/>
      <c r="I48" s="285"/>
    </row>
    <row r="49" spans="1:35">
      <c r="A49" s="514" t="s">
        <v>4</v>
      </c>
      <c r="B49" s="512">
        <v>1.680262997686599E-2</v>
      </c>
      <c r="C49" s="515">
        <v>-0.15837813405589954</v>
      </c>
      <c r="D49" s="513">
        <v>-9.5841724456580276E-4</v>
      </c>
      <c r="E49" s="513">
        <v>0</v>
      </c>
      <c r="F49" s="513">
        <v>-9.5841724456580276E-4</v>
      </c>
      <c r="G49" s="286"/>
      <c r="H49" s="291"/>
      <c r="I49" s="285"/>
    </row>
    <row r="50" spans="1:35">
      <c r="A50" s="514" t="s">
        <v>2261</v>
      </c>
      <c r="B50" s="512">
        <v>2.5929127052722434E-2</v>
      </c>
      <c r="C50" s="515">
        <v>-2.8796024373799609E-2</v>
      </c>
      <c r="D50" s="513">
        <v>-1.1393626977233419E-4</v>
      </c>
      <c r="E50" s="513">
        <v>0</v>
      </c>
      <c r="F50" s="513">
        <v>-1.1393626977233419E-4</v>
      </c>
      <c r="G50" s="286"/>
      <c r="H50" s="291"/>
      <c r="I50" s="285"/>
      <c r="O50" s="286">
        <v>1.1100000000000001</v>
      </c>
    </row>
    <row r="51" spans="1:35">
      <c r="A51" s="511" t="s">
        <v>97</v>
      </c>
      <c r="B51" s="512">
        <v>-9.2249008493344963E-3</v>
      </c>
      <c r="C51" s="515">
        <v>-5.8869636821204105</v>
      </c>
      <c r="D51" s="513">
        <v>3.3852721660262367E-4</v>
      </c>
      <c r="E51" s="513">
        <v>1.061795831673226E-2</v>
      </c>
      <c r="F51" s="513">
        <v>1.0956485533334882E-2</v>
      </c>
      <c r="G51" s="286"/>
      <c r="H51" s="291"/>
      <c r="I51" s="286"/>
      <c r="O51" s="286">
        <v>-1.4</v>
      </c>
      <c r="P51" s="286" t="s">
        <v>2445</v>
      </c>
    </row>
    <row r="52" spans="1:35">
      <c r="A52"/>
      <c r="B52"/>
      <c r="C52"/>
      <c r="D52"/>
      <c r="E52"/>
      <c r="F52"/>
      <c r="G52" s="286"/>
      <c r="H52" s="291"/>
      <c r="I52" s="285"/>
    </row>
    <row r="53" spans="1:35">
      <c r="A53"/>
      <c r="B53"/>
      <c r="C53"/>
      <c r="D53"/>
      <c r="E53"/>
      <c r="F53"/>
      <c r="G53" s="286"/>
      <c r="H53" s="291"/>
      <c r="I53" s="285"/>
    </row>
    <row r="54" spans="1:35">
      <c r="A54"/>
      <c r="B54"/>
      <c r="C54"/>
      <c r="D54"/>
      <c r="E54"/>
      <c r="F54"/>
      <c r="G54" s="286"/>
      <c r="H54" s="291"/>
      <c r="I54" s="285"/>
    </row>
    <row r="55" spans="1:35">
      <c r="A55"/>
      <c r="B55"/>
      <c r="C55"/>
      <c r="D55"/>
      <c r="E55"/>
      <c r="F55"/>
      <c r="G55" s="286"/>
      <c r="H55" s="291"/>
      <c r="I55" s="286"/>
    </row>
    <row r="56" spans="1:35">
      <c r="A56"/>
      <c r="B56"/>
      <c r="C56"/>
      <c r="D56"/>
      <c r="E56"/>
      <c r="F56"/>
      <c r="G56" s="286"/>
      <c r="H56" s="291"/>
      <c r="I56" s="286"/>
    </row>
    <row r="57" spans="1:35">
      <c r="A57"/>
      <c r="B57"/>
      <c r="C57"/>
      <c r="D57"/>
      <c r="E57"/>
      <c r="F57"/>
      <c r="G57" s="286"/>
      <c r="H57" s="291"/>
      <c r="I57" s="286"/>
    </row>
    <row r="58" spans="1:35">
      <c r="A58"/>
      <c r="B58"/>
      <c r="C58"/>
      <c r="D58"/>
      <c r="E58"/>
      <c r="F58"/>
      <c r="G58" s="286"/>
      <c r="H58" s="291"/>
      <c r="I58" s="286"/>
    </row>
    <row r="59" spans="1:35">
      <c r="A59"/>
      <c r="B59"/>
      <c r="C59"/>
      <c r="D59"/>
      <c r="E59"/>
      <c r="F59"/>
      <c r="G59" s="286"/>
      <c r="H59" s="291"/>
      <c r="I59" s="286"/>
    </row>
    <row r="60" spans="1:35">
      <c r="A60"/>
      <c r="B60"/>
      <c r="C60"/>
      <c r="D60"/>
      <c r="E60"/>
      <c r="F60"/>
      <c r="G60" s="286"/>
      <c r="H60" s="291"/>
      <c r="I60" s="286"/>
    </row>
    <row r="61" spans="1:35">
      <c r="A61"/>
      <c r="B61"/>
      <c r="C61"/>
      <c r="D61"/>
      <c r="E61"/>
      <c r="F61"/>
      <c r="G61" s="286"/>
      <c r="H61" s="291"/>
      <c r="I61" s="286"/>
      <c r="AI61" s="320"/>
    </row>
    <row r="62" spans="1:35">
      <c r="A62"/>
      <c r="B62"/>
      <c r="C62"/>
      <c r="D62"/>
      <c r="E62"/>
      <c r="F62"/>
      <c r="G62" s="286"/>
      <c r="H62" s="291"/>
      <c r="I62" s="286"/>
      <c r="AI62" s="320"/>
    </row>
    <row r="63" spans="1:35">
      <c r="A63"/>
      <c r="B63"/>
      <c r="C63"/>
      <c r="D63"/>
      <c r="E63"/>
      <c r="F63"/>
      <c r="G63" s="286"/>
      <c r="H63" s="291"/>
      <c r="I63" s="286"/>
      <c r="AI63" s="320"/>
    </row>
    <row r="64" spans="1:35">
      <c r="A64"/>
      <c r="B64"/>
      <c r="C64"/>
      <c r="D64"/>
      <c r="E64"/>
      <c r="F64"/>
      <c r="G64" s="286"/>
      <c r="H64" s="291"/>
      <c r="I64" s="286"/>
      <c r="AI64" s="320"/>
    </row>
    <row r="65" spans="1:9">
      <c r="A65"/>
      <c r="B65"/>
      <c r="C65"/>
      <c r="D65"/>
      <c r="E65"/>
      <c r="F65"/>
      <c r="G65" s="286"/>
      <c r="H65" s="291"/>
      <c r="I65" s="286"/>
    </row>
    <row r="66" spans="1:9">
      <c r="A66"/>
      <c r="B66"/>
      <c r="C66"/>
      <c r="D66"/>
      <c r="E66"/>
      <c r="F66"/>
      <c r="G66" s="286"/>
      <c r="H66" s="291"/>
      <c r="I66" s="286"/>
    </row>
    <row r="67" spans="1:9">
      <c r="A67"/>
      <c r="B67"/>
      <c r="C67"/>
      <c r="D67"/>
      <c r="E67"/>
      <c r="F67"/>
      <c r="G67" s="286"/>
      <c r="H67" s="291"/>
      <c r="I67" s="286"/>
    </row>
    <row r="68" spans="1:9">
      <c r="A68"/>
      <c r="B68"/>
      <c r="C68"/>
      <c r="D68"/>
      <c r="E68"/>
      <c r="F68"/>
      <c r="G68" s="286"/>
      <c r="H68" s="291"/>
      <c r="I68" s="286"/>
    </row>
    <row r="69" spans="1:9">
      <c r="A69"/>
      <c r="B69"/>
      <c r="C69"/>
      <c r="D69"/>
      <c r="E69"/>
      <c r="F69"/>
      <c r="G69" s="286"/>
      <c r="H69" s="291"/>
      <c r="I69" s="286"/>
    </row>
    <row r="70" spans="1:9">
      <c r="A70"/>
      <c r="B70"/>
      <c r="C70"/>
      <c r="D70"/>
      <c r="E70"/>
      <c r="F70"/>
      <c r="G70" s="286"/>
      <c r="H70" s="291"/>
      <c r="I70" s="286"/>
    </row>
    <row r="71" spans="1:9">
      <c r="A71"/>
      <c r="B71"/>
      <c r="C71"/>
      <c r="D71"/>
      <c r="E71"/>
      <c r="F71"/>
      <c r="G71" s="286"/>
      <c r="H71" s="291"/>
      <c r="I71" s="286"/>
    </row>
    <row r="72" spans="1:9">
      <c r="A72"/>
      <c r="B72"/>
      <c r="C72"/>
      <c r="D72"/>
      <c r="E72"/>
      <c r="F72"/>
      <c r="G72" s="286"/>
      <c r="H72" s="291"/>
      <c r="I72" s="286"/>
    </row>
    <row r="73" spans="1:9">
      <c r="A73"/>
      <c r="B73"/>
      <c r="C73"/>
      <c r="D73"/>
      <c r="E73"/>
      <c r="F73"/>
      <c r="G73" s="286"/>
      <c r="H73" s="291"/>
    </row>
    <row r="74" spans="1:9">
      <c r="A74"/>
      <c r="B74"/>
      <c r="C74"/>
      <c r="D74"/>
      <c r="E74"/>
      <c r="F74"/>
      <c r="G74" s="286"/>
      <c r="H74" s="291"/>
    </row>
    <row r="75" spans="1:9">
      <c r="A75"/>
      <c r="B75"/>
      <c r="C75"/>
      <c r="D75"/>
      <c r="E75"/>
      <c r="F75"/>
      <c r="G75" s="286"/>
      <c r="H75" s="291"/>
    </row>
    <row r="76" spans="1:9">
      <c r="A76"/>
      <c r="B76"/>
      <c r="C76"/>
      <c r="D76"/>
      <c r="E76"/>
      <c r="F76"/>
      <c r="G76" s="286"/>
      <c r="H76" s="291"/>
    </row>
    <row r="77" spans="1:9">
      <c r="A77"/>
      <c r="B77"/>
      <c r="C77"/>
      <c r="D77"/>
      <c r="E77"/>
      <c r="F77"/>
      <c r="G77" s="286"/>
      <c r="H77" s="291"/>
    </row>
    <row r="78" spans="1:9">
      <c r="A78"/>
      <c r="B78"/>
      <c r="C78"/>
      <c r="D78"/>
      <c r="E78"/>
      <c r="F78"/>
      <c r="G78" s="286"/>
      <c r="H78" s="291"/>
    </row>
    <row r="79" spans="1:9">
      <c r="A79"/>
      <c r="B79"/>
      <c r="C79"/>
      <c r="D79"/>
      <c r="E79"/>
      <c r="F79"/>
      <c r="G79" s="286"/>
      <c r="H79" s="291"/>
    </row>
    <row r="80" spans="1:9">
      <c r="A80"/>
      <c r="B80"/>
      <c r="C80"/>
      <c r="D80"/>
      <c r="E80"/>
      <c r="F80"/>
      <c r="G80" s="286"/>
      <c r="H80" s="291"/>
    </row>
    <row r="81" spans="1:8">
      <c r="A81"/>
      <c r="B81"/>
      <c r="C81"/>
      <c r="D81"/>
      <c r="E81"/>
      <c r="F81"/>
      <c r="G81" s="286"/>
      <c r="H81" s="291"/>
    </row>
    <row r="82" spans="1:8">
      <c r="A82"/>
      <c r="B82"/>
      <c r="C82"/>
      <c r="D82"/>
      <c r="E82"/>
      <c r="F82"/>
      <c r="G82" s="286"/>
      <c r="H82" s="291"/>
    </row>
    <row r="83" spans="1:8">
      <c r="A83"/>
      <c r="B83"/>
      <c r="C83"/>
      <c r="D83"/>
      <c r="E83"/>
      <c r="F83"/>
      <c r="G83" s="286"/>
      <c r="H83" s="291"/>
    </row>
    <row r="84" spans="1:8">
      <c r="A84"/>
      <c r="B84"/>
      <c r="C84"/>
      <c r="D84"/>
      <c r="E84"/>
      <c r="F84"/>
      <c r="G84" s="286"/>
      <c r="H84" s="291"/>
    </row>
    <row r="85" spans="1:8">
      <c r="A85"/>
      <c r="B85"/>
      <c r="C85"/>
      <c r="D85"/>
      <c r="E85"/>
      <c r="F85"/>
      <c r="G85" s="286"/>
      <c r="H85" s="291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10204" operator="lessThan">
      <formula>0</formula>
    </cfRule>
  </conditionalFormatting>
  <conditionalFormatting sqref="H86:H1048576 F1:H9 F12:G12 G10:G11">
    <cfRule type="cellIs" dxfId="1655" priority="10201" operator="lessThan">
      <formula>0</formula>
    </cfRule>
    <cfRule type="cellIs" dxfId="1654" priority="10202" operator="lessThan">
      <formula>0</formula>
    </cfRule>
  </conditionalFormatting>
  <conditionalFormatting sqref="F136:G1048576 G86:G135">
    <cfRule type="cellIs" dxfId="1653" priority="5837" operator="lessThan">
      <formula>0</formula>
    </cfRule>
  </conditionalFormatting>
  <conditionalFormatting sqref="F136:G1048576 G86:G135">
    <cfRule type="cellIs" dxfId="1652" priority="5836" operator="lessThan">
      <formula>0</formula>
    </cfRule>
  </conditionalFormatting>
  <conditionalFormatting sqref="F136:G1048576 G86:G135">
    <cfRule type="cellIs" dxfId="1651" priority="5834" operator="lessThan">
      <formula>0</formula>
    </cfRule>
    <cfRule type="cellIs" dxfId="1650" priority="5835" operator="lessThan">
      <formula>0</formula>
    </cfRule>
  </conditionalFormatting>
  <conditionalFormatting sqref="F136:G1048576 G86:G135">
    <cfRule type="cellIs" dxfId="1649" priority="5833" operator="lessThan">
      <formula>0</formula>
    </cfRule>
  </conditionalFormatting>
  <conditionalFormatting sqref="F136:G1048576 G86:G135">
    <cfRule type="cellIs" dxfId="1648" priority="5832" operator="lessThan">
      <formula>0</formula>
    </cfRule>
  </conditionalFormatting>
  <conditionalFormatting sqref="F136:G1048576 G86:G135">
    <cfRule type="cellIs" dxfId="1647" priority="5831" operator="lessThan">
      <formula>0</formula>
    </cfRule>
  </conditionalFormatting>
  <conditionalFormatting sqref="F136:G1048576 G86:G135">
    <cfRule type="cellIs" dxfId="1646" priority="5830" operator="lessThan">
      <formula>0</formula>
    </cfRule>
  </conditionalFormatting>
  <conditionalFormatting sqref="F136:G1048576 G86:G135">
    <cfRule type="cellIs" dxfId="1645" priority="5829" operator="lessThan">
      <formula>0</formula>
    </cfRule>
  </conditionalFormatting>
  <conditionalFormatting sqref="F136:G1048576 G86:G135">
    <cfRule type="cellIs" dxfId="1644" priority="5828" operator="lessThan">
      <formula>0</formula>
    </cfRule>
  </conditionalFormatting>
  <conditionalFormatting sqref="F136:G1048576 G86:G135">
    <cfRule type="cellIs" dxfId="1643" priority="5827" operator="lessThan">
      <formula>0</formula>
    </cfRule>
  </conditionalFormatting>
  <conditionalFormatting sqref="F136:G1048576 G86:G135">
    <cfRule type="cellIs" dxfId="1642" priority="5826" operator="lessThan">
      <formula>0</formula>
    </cfRule>
  </conditionalFormatting>
  <conditionalFormatting sqref="F136:G1048576 G86:G135">
    <cfRule type="cellIs" dxfId="1641" priority="5825" operator="lessThan">
      <formula>0</formula>
    </cfRule>
  </conditionalFormatting>
  <conditionalFormatting sqref="F136:G1048576 G86:G135">
    <cfRule type="cellIs" dxfId="1640" priority="5824" operator="lessThan">
      <formula>0</formula>
    </cfRule>
  </conditionalFormatting>
  <conditionalFormatting sqref="F136:G1048576 G86:G135">
    <cfRule type="cellIs" dxfId="1639" priority="5823" operator="lessThan">
      <formula>0</formula>
    </cfRule>
  </conditionalFormatting>
  <conditionalFormatting sqref="F136:G1048576 G86:G135">
    <cfRule type="cellIs" dxfId="1638" priority="5822" operator="lessThan">
      <formula>0</formula>
    </cfRule>
  </conditionalFormatting>
  <conditionalFormatting sqref="F136:G1048576 G86:G135">
    <cfRule type="cellIs" dxfId="1637" priority="5821" operator="lessThan">
      <formula>0</formula>
    </cfRule>
  </conditionalFormatting>
  <conditionalFormatting sqref="F136:G1048576 G86:G135">
    <cfRule type="cellIs" dxfId="1636" priority="5820" operator="lessThan">
      <formula>0</formula>
    </cfRule>
  </conditionalFormatting>
  <conditionalFormatting sqref="F136:G1048576 G86:G135">
    <cfRule type="cellIs" dxfId="1635" priority="5819" operator="lessThan">
      <formula>0</formula>
    </cfRule>
  </conditionalFormatting>
  <conditionalFormatting sqref="F136:G1048576 G86:G135">
    <cfRule type="cellIs" dxfId="1634" priority="5818" operator="lessThan">
      <formula>0</formula>
    </cfRule>
  </conditionalFormatting>
  <conditionalFormatting sqref="F136:G1048576 G86:G135">
    <cfRule type="cellIs" dxfId="1633" priority="5817" operator="lessThan">
      <formula>0</formula>
    </cfRule>
  </conditionalFormatting>
  <conditionalFormatting sqref="F136:G1048576 G86:G135">
    <cfRule type="cellIs" dxfId="1632" priority="5816" operator="lessThan">
      <formula>0</formula>
    </cfRule>
  </conditionalFormatting>
  <conditionalFormatting sqref="F136:G1048576 G86:G135">
    <cfRule type="cellIs" dxfId="1631" priority="5815" operator="lessThan">
      <formula>0</formula>
    </cfRule>
  </conditionalFormatting>
  <conditionalFormatting sqref="F136:G1048576 G86:G135">
    <cfRule type="cellIs" dxfId="1630" priority="5814" operator="lessThan">
      <formula>0</formula>
    </cfRule>
  </conditionalFormatting>
  <conditionalFormatting sqref="F136:G1048576 G86:G135">
    <cfRule type="cellIs" dxfId="1629" priority="5813" operator="lessThan">
      <formula>0</formula>
    </cfRule>
  </conditionalFormatting>
  <conditionalFormatting sqref="F136:G1048576 G86:G135">
    <cfRule type="cellIs" dxfId="1628" priority="5812" operator="lessThan">
      <formula>0</formula>
    </cfRule>
  </conditionalFormatting>
  <conditionalFormatting sqref="F136:G1048576 G86:G135">
    <cfRule type="cellIs" dxfId="1627" priority="5811" operator="lessThan">
      <formula>0</formula>
    </cfRule>
  </conditionalFormatting>
  <conditionalFormatting sqref="F136:G1048576 G86:G135">
    <cfRule type="cellIs" dxfId="1626" priority="5810" operator="lessThan">
      <formula>0</formula>
    </cfRule>
  </conditionalFormatting>
  <conditionalFormatting sqref="F136:G1048576 G86:G135">
    <cfRule type="cellIs" dxfId="1625" priority="5809" operator="lessThan">
      <formula>0</formula>
    </cfRule>
  </conditionalFormatting>
  <conditionalFormatting sqref="F136:G1048576 G86:G135">
    <cfRule type="cellIs" dxfId="1624" priority="5808" operator="lessThan">
      <formula>0</formula>
    </cfRule>
  </conditionalFormatting>
  <conditionalFormatting sqref="F136:G1048576 G86:G135">
    <cfRule type="cellIs" dxfId="1623" priority="5807" operator="lessThan">
      <formula>0</formula>
    </cfRule>
  </conditionalFormatting>
  <conditionalFormatting sqref="F136:G1048576 G86:G135">
    <cfRule type="cellIs" dxfId="1622" priority="5806" operator="lessThan">
      <formula>0</formula>
    </cfRule>
  </conditionalFormatting>
  <conditionalFormatting sqref="F136:G1048576 G86:G135">
    <cfRule type="cellIs" dxfId="1621" priority="5805" operator="lessThan">
      <formula>0</formula>
    </cfRule>
  </conditionalFormatting>
  <conditionalFormatting sqref="F136:G1048576 G86:G135">
    <cfRule type="cellIs" dxfId="1620" priority="5804" operator="lessThan">
      <formula>0</formula>
    </cfRule>
  </conditionalFormatting>
  <conditionalFormatting sqref="F136:G1048576 G86:G135">
    <cfRule type="cellIs" dxfId="1619" priority="5803" operator="lessThan">
      <formula>0</formula>
    </cfRule>
  </conditionalFormatting>
  <conditionalFormatting sqref="F136:G1048576 G86:G135">
    <cfRule type="cellIs" dxfId="1618" priority="5802" operator="lessThan">
      <formula>0</formula>
    </cfRule>
  </conditionalFormatting>
  <conditionalFormatting sqref="F136:G1048576 G86:G135">
    <cfRule type="cellIs" dxfId="1617" priority="5801" operator="lessThan">
      <formula>0</formula>
    </cfRule>
  </conditionalFormatting>
  <conditionalFormatting sqref="F136:G1048576 G86:G135">
    <cfRule type="cellIs" dxfId="1616" priority="5800" operator="lessThan">
      <formula>0</formula>
    </cfRule>
  </conditionalFormatting>
  <conditionalFormatting sqref="F136:G1048576 G86:G135">
    <cfRule type="cellIs" dxfId="1615" priority="5799" operator="lessThan">
      <formula>0</formula>
    </cfRule>
  </conditionalFormatting>
  <conditionalFormatting sqref="F136:G1048576 G86:G135">
    <cfRule type="cellIs" dxfId="1614" priority="5798" operator="lessThan">
      <formula>0</formula>
    </cfRule>
  </conditionalFormatting>
  <conditionalFormatting sqref="F136:G1048576 G86:G135">
    <cfRule type="cellIs" dxfId="1613" priority="5797" operator="lessThan">
      <formula>0</formula>
    </cfRule>
  </conditionalFormatting>
  <conditionalFormatting sqref="F136:G1048576 G86:G135">
    <cfRule type="cellIs" dxfId="1612" priority="5796" operator="lessThan">
      <formula>0</formula>
    </cfRule>
  </conditionalFormatting>
  <conditionalFormatting sqref="F136:G1048576 G86:G135">
    <cfRule type="cellIs" dxfId="1611" priority="5795" operator="lessThan">
      <formula>0</formula>
    </cfRule>
  </conditionalFormatting>
  <conditionalFormatting sqref="F136:G1048576 G86:G135">
    <cfRule type="cellIs" dxfId="1610" priority="5794" operator="lessThan">
      <formula>0</formula>
    </cfRule>
  </conditionalFormatting>
  <conditionalFormatting sqref="F136:G1048576 G86:G135">
    <cfRule type="cellIs" dxfId="1609" priority="5793" operator="lessThan">
      <formula>0</formula>
    </cfRule>
  </conditionalFormatting>
  <conditionalFormatting sqref="F136:G1048576 G86:G135">
    <cfRule type="cellIs" dxfId="1608" priority="5792" operator="lessThan">
      <formula>0</formula>
    </cfRule>
  </conditionalFormatting>
  <conditionalFormatting sqref="F136:G1048576 G86:G135">
    <cfRule type="cellIs" dxfId="1607" priority="5791" operator="lessThan">
      <formula>0</formula>
    </cfRule>
  </conditionalFormatting>
  <conditionalFormatting sqref="F136:G1048576 G86:G135">
    <cfRule type="cellIs" dxfId="1606" priority="5790" operator="lessThan">
      <formula>0</formula>
    </cfRule>
  </conditionalFormatting>
  <conditionalFormatting sqref="F136:G1048576 G86:G135">
    <cfRule type="cellIs" dxfId="1605" priority="5789" operator="lessThan">
      <formula>0</formula>
    </cfRule>
  </conditionalFormatting>
  <conditionalFormatting sqref="F136:G1048576 G86:G135">
    <cfRule type="cellIs" dxfId="1604" priority="5788" operator="lessThan">
      <formula>0</formula>
    </cfRule>
  </conditionalFormatting>
  <conditionalFormatting sqref="F136:G1048576 G86:G135">
    <cfRule type="cellIs" dxfId="1603" priority="5787" operator="lessThan">
      <formula>0</formula>
    </cfRule>
  </conditionalFormatting>
  <conditionalFormatting sqref="F136:G1048576 G86:G135">
    <cfRule type="cellIs" dxfId="1602" priority="5786" operator="lessThan">
      <formula>0</formula>
    </cfRule>
  </conditionalFormatting>
  <conditionalFormatting sqref="F136:G1048576 G86:G135">
    <cfRule type="cellIs" dxfId="1601" priority="5785" operator="lessThan">
      <formula>0</formula>
    </cfRule>
  </conditionalFormatting>
  <conditionalFormatting sqref="F136:G1048576 G86:G135">
    <cfRule type="cellIs" dxfId="1600" priority="5784" operator="lessThan">
      <formula>0</formula>
    </cfRule>
  </conditionalFormatting>
  <conditionalFormatting sqref="F136:G1048576 G86:G135">
    <cfRule type="cellIs" dxfId="1599" priority="5783" operator="lessThan">
      <formula>0</formula>
    </cfRule>
  </conditionalFormatting>
  <conditionalFormatting sqref="F136:G1048576 G86:G135">
    <cfRule type="cellIs" dxfId="1598" priority="5782" operator="lessThan">
      <formula>0</formula>
    </cfRule>
  </conditionalFormatting>
  <conditionalFormatting sqref="F136:G1048576 G86:G135">
    <cfRule type="cellIs" dxfId="1597" priority="5781" operator="lessThan">
      <formula>0</formula>
    </cfRule>
  </conditionalFormatting>
  <conditionalFormatting sqref="F136:G1048576 G86:G135">
    <cfRule type="cellIs" dxfId="1596" priority="5780" operator="lessThan">
      <formula>0</formula>
    </cfRule>
  </conditionalFormatting>
  <conditionalFormatting sqref="F136:G1048576 G86:G135">
    <cfRule type="cellIs" dxfId="1595" priority="5779" operator="lessThan">
      <formula>0</formula>
    </cfRule>
  </conditionalFormatting>
  <conditionalFormatting sqref="F136:G1048576 G86:G135">
    <cfRule type="cellIs" dxfId="1594" priority="5778" operator="lessThan">
      <formula>0</formula>
    </cfRule>
  </conditionalFormatting>
  <conditionalFormatting sqref="F136:G1048576 G86:G135">
    <cfRule type="cellIs" dxfId="1593" priority="5777" operator="lessThan">
      <formula>0</formula>
    </cfRule>
  </conditionalFormatting>
  <conditionalFormatting sqref="F136:G1048576 G86:G135">
    <cfRule type="cellIs" dxfId="1592" priority="5776" operator="lessThan">
      <formula>0</formula>
    </cfRule>
  </conditionalFormatting>
  <conditionalFormatting sqref="F136:G1048576 G86:G135">
    <cfRule type="cellIs" dxfId="1591" priority="5775" operator="lessThan">
      <formula>0</formula>
    </cfRule>
  </conditionalFormatting>
  <conditionalFormatting sqref="F136:G1048576 G86:G135">
    <cfRule type="cellIs" dxfId="1590" priority="5774" operator="lessThan">
      <formula>0</formula>
    </cfRule>
  </conditionalFormatting>
  <conditionalFormatting sqref="F136:G1048576 G86:G135">
    <cfRule type="cellIs" dxfId="1589" priority="5773" operator="lessThan">
      <formula>0</formula>
    </cfRule>
  </conditionalFormatting>
  <conditionalFormatting sqref="F136:G1048576 G86:G135">
    <cfRule type="cellIs" dxfId="1588" priority="5772" operator="lessThan">
      <formula>0</formula>
    </cfRule>
  </conditionalFormatting>
  <conditionalFormatting sqref="F136:G1048576 G86:G135">
    <cfRule type="cellIs" dxfId="1587" priority="5771" operator="lessThan">
      <formula>0</formula>
    </cfRule>
  </conditionalFormatting>
  <conditionalFormatting sqref="F136:G1048576 G86:G135">
    <cfRule type="cellIs" dxfId="1586" priority="5770" operator="lessThan">
      <formula>0</formula>
    </cfRule>
  </conditionalFormatting>
  <conditionalFormatting sqref="F136:G1048576 G86:G135">
    <cfRule type="cellIs" dxfId="1585" priority="5769" operator="lessThan">
      <formula>0</formula>
    </cfRule>
  </conditionalFormatting>
  <conditionalFormatting sqref="F136:G1048576 G86:G135">
    <cfRule type="cellIs" dxfId="1584" priority="5768" operator="lessThan">
      <formula>0</formula>
    </cfRule>
  </conditionalFormatting>
  <conditionalFormatting sqref="F136:G1048576 G86:G135">
    <cfRule type="cellIs" dxfId="1583" priority="5767" operator="lessThan">
      <formula>0</formula>
    </cfRule>
  </conditionalFormatting>
  <conditionalFormatting sqref="F136:G1048576 G86:G135">
    <cfRule type="cellIs" dxfId="1582" priority="5766" operator="lessThan">
      <formula>0</formula>
    </cfRule>
  </conditionalFormatting>
  <conditionalFormatting sqref="F136:G1048576 G86:G135">
    <cfRule type="cellIs" dxfId="1581" priority="5765" operator="lessThan">
      <formula>0</formula>
    </cfRule>
  </conditionalFormatting>
  <conditionalFormatting sqref="F136:G1048576 G86:G135">
    <cfRule type="cellIs" dxfId="1580" priority="5764" operator="lessThan">
      <formula>0</formula>
    </cfRule>
  </conditionalFormatting>
  <conditionalFormatting sqref="F136:G1048576 G86:G135">
    <cfRule type="cellIs" dxfId="1579" priority="5763" operator="lessThan">
      <formula>0</formula>
    </cfRule>
  </conditionalFormatting>
  <conditionalFormatting sqref="F136:G1048576 G86:G135">
    <cfRule type="cellIs" dxfId="1578" priority="5762" operator="lessThan">
      <formula>0</formula>
    </cfRule>
  </conditionalFormatting>
  <conditionalFormatting sqref="F136:G1048576 G86:G135">
    <cfRule type="cellIs" dxfId="1577" priority="5761" operator="lessThan">
      <formula>0</formula>
    </cfRule>
  </conditionalFormatting>
  <conditionalFormatting sqref="F136:G1048576 G86:G135">
    <cfRule type="cellIs" dxfId="1576" priority="5760" operator="lessThan">
      <formula>0</formula>
    </cfRule>
  </conditionalFormatting>
  <conditionalFormatting sqref="F136:G1048576 G86:G135">
    <cfRule type="cellIs" dxfId="1575" priority="5759" operator="lessThan">
      <formula>0</formula>
    </cfRule>
  </conditionalFormatting>
  <conditionalFormatting sqref="F136:G1048576 G86:G135">
    <cfRule type="cellIs" dxfId="1574" priority="5758" operator="lessThan">
      <formula>0</formula>
    </cfRule>
  </conditionalFormatting>
  <conditionalFormatting sqref="F136:G1048576 G86:G135">
    <cfRule type="cellIs" dxfId="1573" priority="5757" operator="lessThan">
      <formula>0</formula>
    </cfRule>
  </conditionalFormatting>
  <conditionalFormatting sqref="F136:G1048576 G86:G135">
    <cfRule type="cellIs" dxfId="1572" priority="5756" operator="lessThan">
      <formula>0</formula>
    </cfRule>
  </conditionalFormatting>
  <conditionalFormatting sqref="F136:G1048576 G86:G135">
    <cfRule type="cellIs" dxfId="1571" priority="5755" operator="lessThan">
      <formula>0</formula>
    </cfRule>
  </conditionalFormatting>
  <conditionalFormatting sqref="F136:G1048576 G86:G135">
    <cfRule type="cellIs" dxfId="1570" priority="5754" operator="lessThan">
      <formula>0</formula>
    </cfRule>
  </conditionalFormatting>
  <conditionalFormatting sqref="F136:G1048576 G86:G135">
    <cfRule type="cellIs" dxfId="1569" priority="5753" operator="lessThan">
      <formula>0</formula>
    </cfRule>
  </conditionalFormatting>
  <conditionalFormatting sqref="F136:G1048576 G86:G135">
    <cfRule type="cellIs" dxfId="1568" priority="5752" operator="lessThan">
      <formula>0</formula>
    </cfRule>
  </conditionalFormatting>
  <conditionalFormatting sqref="F136:G1048576 G86:G135">
    <cfRule type="cellIs" dxfId="1567" priority="5751" operator="lessThan">
      <formula>0</formula>
    </cfRule>
  </conditionalFormatting>
  <conditionalFormatting sqref="F136:G1048576 G86:G135">
    <cfRule type="cellIs" dxfId="1566" priority="5750" operator="lessThan">
      <formula>0</formula>
    </cfRule>
  </conditionalFormatting>
  <conditionalFormatting sqref="F136:G1048576 G86:G135">
    <cfRule type="cellIs" dxfId="1565" priority="5749" operator="lessThan">
      <formula>0</formula>
    </cfRule>
  </conditionalFormatting>
  <conditionalFormatting sqref="F136:G1048576 G86:G135">
    <cfRule type="cellIs" dxfId="1564" priority="5748" operator="lessThan">
      <formula>0</formula>
    </cfRule>
  </conditionalFormatting>
  <conditionalFormatting sqref="F136:G1048576 G86:G135">
    <cfRule type="cellIs" dxfId="1563" priority="5747" operator="lessThan">
      <formula>0</formula>
    </cfRule>
  </conditionalFormatting>
  <conditionalFormatting sqref="F136:G1048576 G86:G135">
    <cfRule type="cellIs" dxfId="1562" priority="5746" operator="lessThan">
      <formula>0</formula>
    </cfRule>
  </conditionalFormatting>
  <conditionalFormatting sqref="F136:G1048576 G86:G135">
    <cfRule type="cellIs" dxfId="1561" priority="5745" operator="lessThan">
      <formula>0</formula>
    </cfRule>
  </conditionalFormatting>
  <conditionalFormatting sqref="F136:G1048576 G86:G135">
    <cfRule type="cellIs" dxfId="1560" priority="5744" operator="lessThan">
      <formula>0</formula>
    </cfRule>
  </conditionalFormatting>
  <conditionalFormatting sqref="F136:G1048576 G86:G135">
    <cfRule type="cellIs" dxfId="1559" priority="5743" operator="lessThan">
      <formula>0</formula>
    </cfRule>
  </conditionalFormatting>
  <conditionalFormatting sqref="F136:G1048576 G86:G135">
    <cfRule type="cellIs" dxfId="1558" priority="5742" operator="lessThan">
      <formula>0</formula>
    </cfRule>
  </conditionalFormatting>
  <conditionalFormatting sqref="F136:G1048576 G86:G135">
    <cfRule type="cellIs" dxfId="1557" priority="5741" operator="lessThan">
      <formula>0</formula>
    </cfRule>
  </conditionalFormatting>
  <conditionalFormatting sqref="F136:G1048576 G86:G135">
    <cfRule type="cellIs" dxfId="1556" priority="5740" operator="lessThan">
      <formula>0</formula>
    </cfRule>
  </conditionalFormatting>
  <conditionalFormatting sqref="F136:G1048576 G86:G135">
    <cfRule type="cellIs" dxfId="1555" priority="5739" operator="lessThan">
      <formula>0</formula>
    </cfRule>
  </conditionalFormatting>
  <conditionalFormatting sqref="F136:G1048576 G86:G135">
    <cfRule type="cellIs" dxfId="1554" priority="5738" operator="lessThan">
      <formula>0</formula>
    </cfRule>
  </conditionalFormatting>
  <conditionalFormatting sqref="F136:G1048576 G86:G135">
    <cfRule type="cellIs" dxfId="1553" priority="5737" operator="lessThan">
      <formula>0</formula>
    </cfRule>
  </conditionalFormatting>
  <conditionalFormatting sqref="F136:G1048576 G86:G135">
    <cfRule type="cellIs" dxfId="1552" priority="5736" operator="lessThan">
      <formula>0</formula>
    </cfRule>
  </conditionalFormatting>
  <conditionalFormatting sqref="F136:G1048576 G86:G135">
    <cfRule type="cellIs" dxfId="1551" priority="5735" operator="lessThan">
      <formula>0</formula>
    </cfRule>
  </conditionalFormatting>
  <conditionalFormatting sqref="F136:G1048576 G86:G135">
    <cfRule type="cellIs" dxfId="1550" priority="5734" operator="lessThan">
      <formula>0</formula>
    </cfRule>
  </conditionalFormatting>
  <conditionalFormatting sqref="F136:G1048576 G86:G135">
    <cfRule type="cellIs" dxfId="1549" priority="5733" operator="lessThan">
      <formula>0</formula>
    </cfRule>
  </conditionalFormatting>
  <conditionalFormatting sqref="F136:G1048576 G86:G135">
    <cfRule type="cellIs" dxfId="1548" priority="5732" operator="lessThan">
      <formula>0</formula>
    </cfRule>
  </conditionalFormatting>
  <conditionalFormatting sqref="F136:G1048576 G86:G135">
    <cfRule type="cellIs" dxfId="1547" priority="5731" operator="lessThan">
      <formula>0</formula>
    </cfRule>
  </conditionalFormatting>
  <conditionalFormatting sqref="F136:G1048576 G86:G135">
    <cfRule type="cellIs" dxfId="1546" priority="5730" operator="lessThan">
      <formula>0</formula>
    </cfRule>
  </conditionalFormatting>
  <conditionalFormatting sqref="F136:G1048576 G86:G135">
    <cfRule type="cellIs" dxfId="1545" priority="5729" operator="lessThan">
      <formula>0</formula>
    </cfRule>
  </conditionalFormatting>
  <conditionalFormatting sqref="F136:G1048576 G86:G135">
    <cfRule type="cellIs" dxfId="1544" priority="5728" operator="lessThan">
      <formula>0</formula>
    </cfRule>
  </conditionalFormatting>
  <conditionalFormatting sqref="F136:G1048576 G86:G135">
    <cfRule type="cellIs" dxfId="1543" priority="5727" operator="lessThan">
      <formula>0</formula>
    </cfRule>
  </conditionalFormatting>
  <conditionalFormatting sqref="F136:G1048576 G86:G135">
    <cfRule type="cellIs" dxfId="1542" priority="5726" operator="lessThan">
      <formula>0</formula>
    </cfRule>
  </conditionalFormatting>
  <conditionalFormatting sqref="F136:G1048576 G86:G135">
    <cfRule type="cellIs" dxfId="1541" priority="5725" operator="lessThan">
      <formula>0</formula>
    </cfRule>
  </conditionalFormatting>
  <conditionalFormatting sqref="F136:G1048576 G86:G135">
    <cfRule type="cellIs" dxfId="1540" priority="5724" operator="lessThan">
      <formula>0</formula>
    </cfRule>
  </conditionalFormatting>
  <conditionalFormatting sqref="F136:G1048576 G86:G135">
    <cfRule type="cellIs" dxfId="1539" priority="5723" operator="lessThan">
      <formula>0</formula>
    </cfRule>
  </conditionalFormatting>
  <conditionalFormatting sqref="F136:G1048576 G86:G135">
    <cfRule type="cellIs" dxfId="1538" priority="5722" operator="lessThan">
      <formula>0</formula>
    </cfRule>
  </conditionalFormatting>
  <conditionalFormatting sqref="F136:G1048576 G86:G135">
    <cfRule type="cellIs" dxfId="1537" priority="5721" operator="lessThan">
      <formula>0</formula>
    </cfRule>
  </conditionalFormatting>
  <conditionalFormatting sqref="F136:G1048576 G86:G135">
    <cfRule type="cellIs" dxfId="1536" priority="5720" operator="lessThan">
      <formula>0</formula>
    </cfRule>
  </conditionalFormatting>
  <conditionalFormatting sqref="F136:G1048576 G86:G135">
    <cfRule type="cellIs" dxfId="1535" priority="5719" operator="lessThan">
      <formula>0</formula>
    </cfRule>
  </conditionalFormatting>
  <conditionalFormatting sqref="F136:G1048576 G86:G135">
    <cfRule type="cellIs" dxfId="1534" priority="5718" operator="lessThan">
      <formula>0</formula>
    </cfRule>
  </conditionalFormatting>
  <conditionalFormatting sqref="F136:G1048576 G86:G135">
    <cfRule type="cellIs" dxfId="1533" priority="5717" operator="lessThan">
      <formula>0</formula>
    </cfRule>
  </conditionalFormatting>
  <conditionalFormatting sqref="F136:G1048576 G86:G135">
    <cfRule type="cellIs" dxfId="1532" priority="5716" operator="lessThan">
      <formula>0</formula>
    </cfRule>
  </conditionalFormatting>
  <conditionalFormatting sqref="F136:G1048576 G86:G135">
    <cfRule type="cellIs" dxfId="1531" priority="5715" operator="lessThan">
      <formula>0</formula>
    </cfRule>
  </conditionalFormatting>
  <conditionalFormatting sqref="F136:G1048576 G86:G135">
    <cfRule type="cellIs" dxfId="1530" priority="5714" operator="lessThan">
      <formula>0</formula>
    </cfRule>
  </conditionalFormatting>
  <conditionalFormatting sqref="F136:G1048576 G86:G135">
    <cfRule type="cellIs" dxfId="1529" priority="5713" operator="lessThan">
      <formula>0</formula>
    </cfRule>
  </conditionalFormatting>
  <conditionalFormatting sqref="F136:G1048576 G86:G135">
    <cfRule type="cellIs" dxfId="1528" priority="5712" operator="lessThan">
      <formula>0</formula>
    </cfRule>
  </conditionalFormatting>
  <conditionalFormatting sqref="F136:G1048576 G86:G135">
    <cfRule type="cellIs" dxfId="1527" priority="5711" operator="lessThan">
      <formula>0</formula>
    </cfRule>
  </conditionalFormatting>
  <conditionalFormatting sqref="F136:G1048576 G86:G135">
    <cfRule type="cellIs" dxfId="1526" priority="5710" operator="lessThan">
      <formula>0</formula>
    </cfRule>
  </conditionalFormatting>
  <conditionalFormatting sqref="F136:G1048576 G86:G135">
    <cfRule type="cellIs" dxfId="1525" priority="5709" operator="lessThan">
      <formula>0</formula>
    </cfRule>
  </conditionalFormatting>
  <conditionalFormatting sqref="F136:G1048576 G86:G135">
    <cfRule type="cellIs" dxfId="1524" priority="5708" operator="lessThan">
      <formula>0</formula>
    </cfRule>
  </conditionalFormatting>
  <conditionalFormatting sqref="F136:G1048576 G86:G135">
    <cfRule type="cellIs" dxfId="1523" priority="5707" operator="lessThan">
      <formula>0</formula>
    </cfRule>
  </conditionalFormatting>
  <conditionalFormatting sqref="F136:G1048576 G86:G135">
    <cfRule type="cellIs" dxfId="1522" priority="5706" operator="lessThan">
      <formula>0</formula>
    </cfRule>
  </conditionalFormatting>
  <conditionalFormatting sqref="F136:G1048576 G86:G135">
    <cfRule type="cellIs" dxfId="1521" priority="5705" operator="lessThan">
      <formula>0</formula>
    </cfRule>
  </conditionalFormatting>
  <conditionalFormatting sqref="F136:G1048576 G86:G135">
    <cfRule type="cellIs" dxfId="1520" priority="5704" operator="lessThan">
      <formula>0</formula>
    </cfRule>
  </conditionalFormatting>
  <conditionalFormatting sqref="F136:G1048576 G86:G135">
    <cfRule type="cellIs" dxfId="1519" priority="5703" operator="lessThan">
      <formula>0</formula>
    </cfRule>
  </conditionalFormatting>
  <conditionalFormatting sqref="F136:G1048576 G86:G135">
    <cfRule type="cellIs" dxfId="1518" priority="5702" operator="lessThan">
      <formula>0</formula>
    </cfRule>
  </conditionalFormatting>
  <conditionalFormatting sqref="F136:G1048576 G86:G135">
    <cfRule type="cellIs" dxfId="1517" priority="5701" operator="lessThan">
      <formula>0</formula>
    </cfRule>
  </conditionalFormatting>
  <conditionalFormatting sqref="F136:G1048576 G86:G135">
    <cfRule type="cellIs" dxfId="1516" priority="5700" operator="lessThan">
      <formula>0</formula>
    </cfRule>
  </conditionalFormatting>
  <conditionalFormatting sqref="F136:G1048576 G86:G135">
    <cfRule type="cellIs" dxfId="1515" priority="5699" operator="lessThan">
      <formula>0</formula>
    </cfRule>
  </conditionalFormatting>
  <conditionalFormatting sqref="F136:G1048576 G86:G135">
    <cfRule type="cellIs" dxfId="1514" priority="5698" operator="lessThan">
      <formula>0</formula>
    </cfRule>
  </conditionalFormatting>
  <conditionalFormatting sqref="F136:G1048576 G86:G135">
    <cfRule type="cellIs" dxfId="1513" priority="5697" operator="lessThan">
      <formula>0</formula>
    </cfRule>
  </conditionalFormatting>
  <conditionalFormatting sqref="F136:G1048576 G86:G135">
    <cfRule type="cellIs" dxfId="1512" priority="5696" operator="lessThan">
      <formula>0</formula>
    </cfRule>
  </conditionalFormatting>
  <conditionalFormatting sqref="F136:G1048576 G86:G135">
    <cfRule type="cellIs" dxfId="1511" priority="5695" operator="lessThan">
      <formula>0</formula>
    </cfRule>
  </conditionalFormatting>
  <conditionalFormatting sqref="F136:G1048576 G86:G135">
    <cfRule type="cellIs" dxfId="1510" priority="5694" operator="lessThan">
      <formula>0</formula>
    </cfRule>
  </conditionalFormatting>
  <conditionalFormatting sqref="F136:G1048576 G86:G135">
    <cfRule type="cellIs" dxfId="1509" priority="5693" operator="lessThan">
      <formula>0</formula>
    </cfRule>
  </conditionalFormatting>
  <conditionalFormatting sqref="F136:G1048576 G86:G135">
    <cfRule type="cellIs" dxfId="1508" priority="5692" operator="lessThan">
      <formula>0</formula>
    </cfRule>
  </conditionalFormatting>
  <conditionalFormatting sqref="F136:G1048576 G86:G135">
    <cfRule type="cellIs" dxfId="1507" priority="5691" operator="lessThan">
      <formula>0</formula>
    </cfRule>
  </conditionalFormatting>
  <conditionalFormatting sqref="F136:G1048576 G86:G135">
    <cfRule type="cellIs" dxfId="1506" priority="5690" operator="lessThan">
      <formula>0</formula>
    </cfRule>
  </conditionalFormatting>
  <conditionalFormatting sqref="F136:G1048576 G86:G135">
    <cfRule type="cellIs" dxfId="1505" priority="5689" operator="lessThan">
      <formula>0</formula>
    </cfRule>
  </conditionalFormatting>
  <conditionalFormatting sqref="F136:G1048576 G86:G135">
    <cfRule type="cellIs" dxfId="1504" priority="5688" operator="lessThan">
      <formula>0</formula>
    </cfRule>
  </conditionalFormatting>
  <conditionalFormatting sqref="F136:G1048576 G86:G135">
    <cfRule type="cellIs" dxfId="1503" priority="5687" operator="lessThan">
      <formula>0</formula>
    </cfRule>
  </conditionalFormatting>
  <conditionalFormatting sqref="F136:G1048576 G86:G135">
    <cfRule type="cellIs" dxfId="1502" priority="5686" operator="lessThan">
      <formula>0</formula>
    </cfRule>
  </conditionalFormatting>
  <conditionalFormatting sqref="F136:G1048576 G86:G135">
    <cfRule type="cellIs" dxfId="1501" priority="5685" operator="lessThan">
      <formula>0</formula>
    </cfRule>
  </conditionalFormatting>
  <conditionalFormatting sqref="F136:G1048576 G86:G135">
    <cfRule type="cellIs" dxfId="1500" priority="5684" operator="lessThan">
      <formula>0</formula>
    </cfRule>
  </conditionalFormatting>
  <conditionalFormatting sqref="F136:G1048576 G86:G135">
    <cfRule type="cellIs" dxfId="1499" priority="5683" operator="lessThan">
      <formula>0</formula>
    </cfRule>
  </conditionalFormatting>
  <conditionalFormatting sqref="F136:G1048576 G86:G135">
    <cfRule type="cellIs" dxfId="1498" priority="5682" operator="lessThan">
      <formula>0</formula>
    </cfRule>
  </conditionalFormatting>
  <conditionalFormatting sqref="F136:G1048576 G86:G135">
    <cfRule type="cellIs" dxfId="1497" priority="5681" operator="lessThan">
      <formula>0</formula>
    </cfRule>
  </conditionalFormatting>
  <conditionalFormatting sqref="F136:G1048576 G86:G135">
    <cfRule type="cellIs" dxfId="1496" priority="5680" operator="lessThan">
      <formula>0</formula>
    </cfRule>
  </conditionalFormatting>
  <conditionalFormatting sqref="F136:G1048576 G86:G135">
    <cfRule type="cellIs" dxfId="1495" priority="5679" operator="lessThan">
      <formula>0</formula>
    </cfRule>
  </conditionalFormatting>
  <conditionalFormatting sqref="F136:G1048576 G86:G135">
    <cfRule type="cellIs" dxfId="1494" priority="5678" operator="lessThan">
      <formula>0</formula>
    </cfRule>
  </conditionalFormatting>
  <conditionalFormatting sqref="F136:G1048576 G86:G135">
    <cfRule type="cellIs" dxfId="1493" priority="5677" operator="lessThan">
      <formula>0</formula>
    </cfRule>
  </conditionalFormatting>
  <conditionalFormatting sqref="F136:G1048576 G86:G135">
    <cfRule type="cellIs" dxfId="1492" priority="5676" operator="lessThan">
      <formula>0</formula>
    </cfRule>
  </conditionalFormatting>
  <conditionalFormatting sqref="F136:G1048576 G86:G135">
    <cfRule type="cellIs" dxfId="1491" priority="5675" operator="lessThan">
      <formula>0</formula>
    </cfRule>
  </conditionalFormatting>
  <conditionalFormatting sqref="F136:G1048576 G86:G135">
    <cfRule type="cellIs" dxfId="1490" priority="5674" operator="lessThan">
      <formula>0</formula>
    </cfRule>
  </conditionalFormatting>
  <conditionalFormatting sqref="F136:G1048576 G86:G135">
    <cfRule type="cellIs" dxfId="1489" priority="5673" operator="lessThan">
      <formula>0</formula>
    </cfRule>
  </conditionalFormatting>
  <conditionalFormatting sqref="F136:G1048576 G86:G135">
    <cfRule type="cellIs" dxfId="1488" priority="5672" operator="lessThan">
      <formula>0</formula>
    </cfRule>
  </conditionalFormatting>
  <conditionalFormatting sqref="F136:G1048576 G86:G135">
    <cfRule type="cellIs" dxfId="1487" priority="5671" operator="lessThan">
      <formula>0</formula>
    </cfRule>
  </conditionalFormatting>
  <conditionalFormatting sqref="F136:G1048576 G86:G135">
    <cfRule type="cellIs" dxfId="1486" priority="5670" operator="lessThan">
      <formula>0</formula>
    </cfRule>
  </conditionalFormatting>
  <conditionalFormatting sqref="F136:G1048576 G86:G135">
    <cfRule type="cellIs" dxfId="1485" priority="5669" operator="lessThan">
      <formula>0</formula>
    </cfRule>
  </conditionalFormatting>
  <conditionalFormatting sqref="F136:G1048576 G86:G135">
    <cfRule type="cellIs" dxfId="1484" priority="5668" operator="lessThan">
      <formula>0</formula>
    </cfRule>
  </conditionalFormatting>
  <conditionalFormatting sqref="F136:G1048576 G86:G135">
    <cfRule type="cellIs" dxfId="1483" priority="5667" operator="lessThan">
      <formula>0</formula>
    </cfRule>
  </conditionalFormatting>
  <conditionalFormatting sqref="F136:G1048576 G86:G135">
    <cfRule type="cellIs" dxfId="1482" priority="5666" operator="lessThan">
      <formula>0</formula>
    </cfRule>
  </conditionalFormatting>
  <conditionalFormatting sqref="F136:G1048576 G86:G135">
    <cfRule type="cellIs" dxfId="1481" priority="5665" operator="lessThan">
      <formula>0</formula>
    </cfRule>
  </conditionalFormatting>
  <conditionalFormatting sqref="F136:G1048576 G86:G135">
    <cfRule type="cellIs" dxfId="1480" priority="5664" operator="lessThan">
      <formula>0</formula>
    </cfRule>
  </conditionalFormatting>
  <conditionalFormatting sqref="F136:G1048576 G86:G135">
    <cfRule type="cellIs" dxfId="1479" priority="5663" operator="lessThan">
      <formula>0</formula>
    </cfRule>
  </conditionalFormatting>
  <conditionalFormatting sqref="F136:G1048576 G86:G135">
    <cfRule type="cellIs" dxfId="1478" priority="5662" operator="lessThan">
      <formula>0</formula>
    </cfRule>
  </conditionalFormatting>
  <conditionalFormatting sqref="F136:G1048576 G86:G135">
    <cfRule type="cellIs" dxfId="1477" priority="5661" operator="lessThan">
      <formula>0</formula>
    </cfRule>
  </conditionalFormatting>
  <conditionalFormatting sqref="F136:G1048576 G86:G135">
    <cfRule type="cellIs" dxfId="1476" priority="5660" operator="lessThan">
      <formula>0</formula>
    </cfRule>
  </conditionalFormatting>
  <conditionalFormatting sqref="F136:G1048576 G86:G135">
    <cfRule type="cellIs" dxfId="1475" priority="5659" operator="lessThan">
      <formula>0</formula>
    </cfRule>
  </conditionalFormatting>
  <conditionalFormatting sqref="F136:G1048576 G86:G135">
    <cfRule type="cellIs" dxfId="1474" priority="5658" operator="lessThan">
      <formula>0</formula>
    </cfRule>
  </conditionalFormatting>
  <conditionalFormatting sqref="F136:G1048576 G86:G135">
    <cfRule type="cellIs" dxfId="1473" priority="5657" operator="lessThan">
      <formula>0</formula>
    </cfRule>
  </conditionalFormatting>
  <conditionalFormatting sqref="F136:G1048576 G86:G135">
    <cfRule type="cellIs" dxfId="1472" priority="5656" operator="lessThan">
      <formula>0</formula>
    </cfRule>
  </conditionalFormatting>
  <conditionalFormatting sqref="F136:G1048576 G86:G135">
    <cfRule type="cellIs" dxfId="1471" priority="5655" operator="lessThan">
      <formula>0</formula>
    </cfRule>
  </conditionalFormatting>
  <conditionalFormatting sqref="F136:G1048576 G86:G135">
    <cfRule type="cellIs" dxfId="1470" priority="5654" operator="lessThan">
      <formula>0</formula>
    </cfRule>
  </conditionalFormatting>
  <conditionalFormatting sqref="F136:G1048576 G86:G135">
    <cfRule type="cellIs" dxfId="1469" priority="5653" operator="lessThan">
      <formula>0</formula>
    </cfRule>
  </conditionalFormatting>
  <conditionalFormatting sqref="F136:G1048576 G86:G135">
    <cfRule type="cellIs" dxfId="1468" priority="5652" operator="lessThan">
      <formula>0</formula>
    </cfRule>
  </conditionalFormatting>
  <conditionalFormatting sqref="F136:G1048576 G86:G135">
    <cfRule type="cellIs" dxfId="1467" priority="5651" operator="lessThan">
      <formula>0</formula>
    </cfRule>
  </conditionalFormatting>
  <conditionalFormatting sqref="F136:G1048576 G86:G135">
    <cfRule type="cellIs" dxfId="1466" priority="5650" operator="lessThan">
      <formula>0</formula>
    </cfRule>
  </conditionalFormatting>
  <conditionalFormatting sqref="F136:G1048576 G86:G135">
    <cfRule type="cellIs" dxfId="1465" priority="5649" operator="lessThan">
      <formula>0</formula>
    </cfRule>
  </conditionalFormatting>
  <conditionalFormatting sqref="F136:G1048576 G86:G135">
    <cfRule type="cellIs" dxfId="1464" priority="5648" operator="lessThan">
      <formula>0</formula>
    </cfRule>
  </conditionalFormatting>
  <conditionalFormatting sqref="F136:G1048576 G86:G135">
    <cfRule type="cellIs" dxfId="1463" priority="5647" operator="lessThan">
      <formula>0</formula>
    </cfRule>
  </conditionalFormatting>
  <conditionalFormatting sqref="F136:G1048576 G86:G135">
    <cfRule type="cellIs" dxfId="1462" priority="5646" operator="lessThan">
      <formula>0</formula>
    </cfRule>
  </conditionalFormatting>
  <conditionalFormatting sqref="F136:G1048576 G86:G135">
    <cfRule type="cellIs" dxfId="1461" priority="5645" operator="lessThan">
      <formula>0</formula>
    </cfRule>
  </conditionalFormatting>
  <conditionalFormatting sqref="F136:G1048576 G86:G135">
    <cfRule type="cellIs" dxfId="1460" priority="5644" operator="lessThan">
      <formula>0</formula>
    </cfRule>
  </conditionalFormatting>
  <conditionalFormatting sqref="F136:G1048576 G86:G135">
    <cfRule type="cellIs" dxfId="1459" priority="5643" operator="lessThan">
      <formula>0</formula>
    </cfRule>
  </conditionalFormatting>
  <conditionalFormatting sqref="F136:G1048576 G86:G135">
    <cfRule type="cellIs" dxfId="1458" priority="5642" operator="lessThan">
      <formula>0</formula>
    </cfRule>
  </conditionalFormatting>
  <conditionalFormatting sqref="F136:G1048576 G86:G135">
    <cfRule type="cellIs" dxfId="1457" priority="5641" operator="lessThan">
      <formula>0</formula>
    </cfRule>
  </conditionalFormatting>
  <conditionalFormatting sqref="F136:G1048576 G86:G135">
    <cfRule type="cellIs" dxfId="1456" priority="5640" operator="lessThan">
      <formula>0</formula>
    </cfRule>
  </conditionalFormatting>
  <conditionalFormatting sqref="F136:G1048576 G86:G135">
    <cfRule type="cellIs" dxfId="1455" priority="5639" operator="lessThan">
      <formula>0</formula>
    </cfRule>
  </conditionalFormatting>
  <conditionalFormatting sqref="F136:G1048576 G86:G135">
    <cfRule type="cellIs" dxfId="1454" priority="5638" operator="lessThan">
      <formula>0</formula>
    </cfRule>
  </conditionalFormatting>
  <conditionalFormatting sqref="F136:G1048576 G86:G135">
    <cfRule type="cellIs" dxfId="1453" priority="5637" operator="lessThan">
      <formula>0</formula>
    </cfRule>
  </conditionalFormatting>
  <conditionalFormatting sqref="F136:G1048576 G86:G135">
    <cfRule type="cellIs" dxfId="1452" priority="5636" operator="lessThan">
      <formula>0</formula>
    </cfRule>
  </conditionalFormatting>
  <conditionalFormatting sqref="F136:G1048576 G86:G135">
    <cfRule type="cellIs" dxfId="1451" priority="5635" operator="lessThan">
      <formula>0</formula>
    </cfRule>
  </conditionalFormatting>
  <conditionalFormatting sqref="F136:G1048576 G86:G135">
    <cfRule type="cellIs" dxfId="1450" priority="5634" operator="lessThan">
      <formula>0</formula>
    </cfRule>
  </conditionalFormatting>
  <conditionalFormatting sqref="F136:G1048576 G86:G135">
    <cfRule type="cellIs" dxfId="1449" priority="5633" operator="lessThan">
      <formula>0</formula>
    </cfRule>
  </conditionalFormatting>
  <conditionalFormatting sqref="F136:G1048576 G86:G135">
    <cfRule type="cellIs" dxfId="1448" priority="5632" operator="lessThan">
      <formula>0</formula>
    </cfRule>
  </conditionalFormatting>
  <conditionalFormatting sqref="F136:G1048576 G86:G135">
    <cfRule type="cellIs" dxfId="1447" priority="5631" operator="lessThan">
      <formula>0</formula>
    </cfRule>
  </conditionalFormatting>
  <conditionalFormatting sqref="F136:G1048576 G86:G135">
    <cfRule type="cellIs" dxfId="1446" priority="5630" operator="lessThan">
      <formula>0</formula>
    </cfRule>
  </conditionalFormatting>
  <conditionalFormatting sqref="F136:G1048576 G86:G135">
    <cfRule type="cellIs" dxfId="1445" priority="5629" operator="lessThan">
      <formula>0</formula>
    </cfRule>
  </conditionalFormatting>
  <conditionalFormatting sqref="F136:G1048576 G86:G135">
    <cfRule type="cellIs" dxfId="1444" priority="5628" operator="lessThan">
      <formula>0</formula>
    </cfRule>
  </conditionalFormatting>
  <conditionalFormatting sqref="F136:G1048576 G86:G135">
    <cfRule type="cellIs" dxfId="1443" priority="5627" operator="lessThan">
      <formula>0</formula>
    </cfRule>
  </conditionalFormatting>
  <conditionalFormatting sqref="F136:G1048576 G86:G135">
    <cfRule type="cellIs" dxfId="1442" priority="5626" operator="lessThan">
      <formula>0</formula>
    </cfRule>
  </conditionalFormatting>
  <conditionalFormatting sqref="F136:G1048576 G86:G135">
    <cfRule type="cellIs" dxfId="1441" priority="5625" operator="lessThan">
      <formula>0</formula>
    </cfRule>
  </conditionalFormatting>
  <conditionalFormatting sqref="F136:G1048576 G86:G135">
    <cfRule type="cellIs" dxfId="1440" priority="5624" operator="lessThan">
      <formula>0</formula>
    </cfRule>
  </conditionalFormatting>
  <conditionalFormatting sqref="F136:G1048576 G86:G135">
    <cfRule type="cellIs" dxfId="1439" priority="5623" operator="lessThan">
      <formula>0</formula>
    </cfRule>
  </conditionalFormatting>
  <conditionalFormatting sqref="F136:G1048576 G86:G135">
    <cfRule type="cellIs" dxfId="1438" priority="5622" operator="lessThan">
      <formula>0</formula>
    </cfRule>
  </conditionalFormatting>
  <conditionalFormatting sqref="F136:G1048576 G86:G135">
    <cfRule type="cellIs" dxfId="1437" priority="5621" operator="lessThan">
      <formula>0</formula>
    </cfRule>
  </conditionalFormatting>
  <conditionalFormatting sqref="F136:G1048576 G86:G135">
    <cfRule type="cellIs" dxfId="1436" priority="5620" operator="lessThan">
      <formula>0</formula>
    </cfRule>
  </conditionalFormatting>
  <conditionalFormatting sqref="F136:G1048576 G86:G135">
    <cfRule type="cellIs" dxfId="1435" priority="5619" operator="lessThan">
      <formula>0</formula>
    </cfRule>
  </conditionalFormatting>
  <conditionalFormatting sqref="F136:G1048576 G86:G135">
    <cfRule type="cellIs" dxfId="1434" priority="5618" operator="lessThan">
      <formula>0</formula>
    </cfRule>
  </conditionalFormatting>
  <conditionalFormatting sqref="F136:G1048576 G86:G135">
    <cfRule type="cellIs" dxfId="1433" priority="5617" operator="lessThan">
      <formula>0</formula>
    </cfRule>
  </conditionalFormatting>
  <conditionalFormatting sqref="F136:G1048576 G86:G135">
    <cfRule type="cellIs" dxfId="1432" priority="5616" operator="lessThan">
      <formula>0</formula>
    </cfRule>
  </conditionalFormatting>
  <conditionalFormatting sqref="F136:G1048576 G86:G135">
    <cfRule type="cellIs" dxfId="1431" priority="5615" operator="lessThan">
      <formula>0</formula>
    </cfRule>
  </conditionalFormatting>
  <conditionalFormatting sqref="F136:G1048576 G86:G135">
    <cfRule type="cellIs" dxfId="1430" priority="5614" operator="lessThan">
      <formula>0</formula>
    </cfRule>
  </conditionalFormatting>
  <conditionalFormatting sqref="F136:G1048576 G86:G135">
    <cfRule type="cellIs" dxfId="1429" priority="5613" operator="lessThan">
      <formula>0</formula>
    </cfRule>
  </conditionalFormatting>
  <conditionalFormatting sqref="F136:G1048576 G86:G135">
    <cfRule type="cellIs" dxfId="1428" priority="5612" operator="lessThan">
      <formula>0</formula>
    </cfRule>
  </conditionalFormatting>
  <conditionalFormatting sqref="F136:G1048576 G86:G135">
    <cfRule type="cellIs" dxfId="1427" priority="5611" operator="lessThan">
      <formula>0</formula>
    </cfRule>
  </conditionalFormatting>
  <conditionalFormatting sqref="F136:G1048576 G86:G135">
    <cfRule type="cellIs" dxfId="1426" priority="5610" operator="lessThan">
      <formula>0</formula>
    </cfRule>
  </conditionalFormatting>
  <conditionalFormatting sqref="F136:G1048576 G86:G135">
    <cfRule type="cellIs" dxfId="1425" priority="5609" operator="lessThan">
      <formula>0</formula>
    </cfRule>
  </conditionalFormatting>
  <conditionalFormatting sqref="F136:G1048576 G86:G135">
    <cfRule type="cellIs" dxfId="1424" priority="5608" operator="lessThan">
      <formula>0</formula>
    </cfRule>
  </conditionalFormatting>
  <conditionalFormatting sqref="F136:G1048576 G86:G135">
    <cfRule type="cellIs" dxfId="1423" priority="5607" operator="lessThan">
      <formula>0</formula>
    </cfRule>
  </conditionalFormatting>
  <conditionalFormatting sqref="F136:G1048576 G86:G135">
    <cfRule type="cellIs" dxfId="1422" priority="5606" operator="lessThan">
      <formula>0</formula>
    </cfRule>
  </conditionalFormatting>
  <conditionalFormatting sqref="F136:G1048576 G86:G135">
    <cfRule type="cellIs" dxfId="1421" priority="5605" operator="lessThan">
      <formula>0</formula>
    </cfRule>
  </conditionalFormatting>
  <conditionalFormatting sqref="F136:G1048576 G86:G135">
    <cfRule type="cellIs" dxfId="1420" priority="5604" operator="lessThan">
      <formula>0</formula>
    </cfRule>
  </conditionalFormatting>
  <conditionalFormatting sqref="F136:G1048576 G86:G135">
    <cfRule type="cellIs" dxfId="1419" priority="5603" operator="lessThan">
      <formula>0</formula>
    </cfRule>
  </conditionalFormatting>
  <conditionalFormatting sqref="F136:G1048576 G86:G135">
    <cfRule type="cellIs" dxfId="1418" priority="5602" operator="lessThan">
      <formula>0</formula>
    </cfRule>
  </conditionalFormatting>
  <conditionalFormatting sqref="F136:G1048576 G86:G135">
    <cfRule type="cellIs" dxfId="1417" priority="5601" operator="lessThan">
      <formula>0</formula>
    </cfRule>
  </conditionalFormatting>
  <conditionalFormatting sqref="F136:G1048576 G86:G135">
    <cfRule type="cellIs" dxfId="1416" priority="5600" operator="lessThan">
      <formula>0</formula>
    </cfRule>
  </conditionalFormatting>
  <conditionalFormatting sqref="F136:G1048576 G86:G135">
    <cfRule type="cellIs" dxfId="1415" priority="5599" operator="lessThan">
      <formula>0</formula>
    </cfRule>
  </conditionalFormatting>
  <conditionalFormatting sqref="F136:G1048576 G86:G135">
    <cfRule type="cellIs" dxfId="1414" priority="5598" operator="lessThan">
      <formula>0</formula>
    </cfRule>
  </conditionalFormatting>
  <conditionalFormatting sqref="F136:G1048576 G86:G135">
    <cfRule type="cellIs" dxfId="1413" priority="5597" operator="lessThan">
      <formula>0</formula>
    </cfRule>
  </conditionalFormatting>
  <conditionalFormatting sqref="F136:G1048576 G86:G135">
    <cfRule type="cellIs" dxfId="1412" priority="5596" operator="lessThan">
      <formula>0</formula>
    </cfRule>
  </conditionalFormatting>
  <conditionalFormatting sqref="F136:G1048576 G86:G135">
    <cfRule type="cellIs" dxfId="1411" priority="5595" operator="lessThan">
      <formula>0</formula>
    </cfRule>
  </conditionalFormatting>
  <conditionalFormatting sqref="F136:G1048576 G86:G135">
    <cfRule type="cellIs" dxfId="1410" priority="5594" operator="lessThan">
      <formula>0</formula>
    </cfRule>
  </conditionalFormatting>
  <conditionalFormatting sqref="F136:G1048576 G86:G135">
    <cfRule type="cellIs" dxfId="1409" priority="5593" operator="lessThan">
      <formula>0</formula>
    </cfRule>
  </conditionalFormatting>
  <conditionalFormatting sqref="F136:G1048576 G86:G135">
    <cfRule type="cellIs" dxfId="1408" priority="5592" operator="lessThan">
      <formula>0</formula>
    </cfRule>
  </conditionalFormatting>
  <conditionalFormatting sqref="F136:G1048576 G86:G135">
    <cfRule type="cellIs" dxfId="1407" priority="5591" operator="lessThan">
      <formula>0</formula>
    </cfRule>
  </conditionalFormatting>
  <conditionalFormatting sqref="F136:G1048576 G86:G135">
    <cfRule type="cellIs" dxfId="1406" priority="5590" operator="lessThan">
      <formula>0</formula>
    </cfRule>
  </conditionalFormatting>
  <conditionalFormatting sqref="F136:G1048576 G86:G135">
    <cfRule type="cellIs" dxfId="1405" priority="5589" operator="lessThan">
      <formula>0</formula>
    </cfRule>
  </conditionalFormatting>
  <conditionalFormatting sqref="F136:G1048576 G86:G135">
    <cfRule type="cellIs" dxfId="1404" priority="5588" operator="lessThan">
      <formula>0</formula>
    </cfRule>
  </conditionalFormatting>
  <conditionalFormatting sqref="F136:G1048576 G86:G135">
    <cfRule type="cellIs" dxfId="1403" priority="5587" operator="lessThan">
      <formula>0</formula>
    </cfRule>
  </conditionalFormatting>
  <conditionalFormatting sqref="F136:G1048576 G86:G135">
    <cfRule type="cellIs" dxfId="1402" priority="5586" operator="lessThan">
      <formula>0</formula>
    </cfRule>
  </conditionalFormatting>
  <conditionalFormatting sqref="F136:G1048576 G86:G135">
    <cfRule type="cellIs" dxfId="1401" priority="5585" operator="lessThan">
      <formula>0</formula>
    </cfRule>
  </conditionalFormatting>
  <conditionalFormatting sqref="F136:G1048576 G86:G135">
    <cfRule type="cellIs" dxfId="1400" priority="5584" operator="lessThan">
      <formula>0</formula>
    </cfRule>
  </conditionalFormatting>
  <conditionalFormatting sqref="F136:G1048576 G86:G135">
    <cfRule type="cellIs" dxfId="1399" priority="5583" operator="lessThan">
      <formula>0</formula>
    </cfRule>
  </conditionalFormatting>
  <conditionalFormatting sqref="F136:G1048576 G86:G135">
    <cfRule type="cellIs" dxfId="1398" priority="5582" operator="lessThan">
      <formula>0</formula>
    </cfRule>
  </conditionalFormatting>
  <conditionalFormatting sqref="F136:G1048576 G61:G135">
    <cfRule type="cellIs" dxfId="1397" priority="5581" operator="lessThan">
      <formula>0</formula>
    </cfRule>
  </conditionalFormatting>
  <conditionalFormatting sqref="F136:G1048576 G61:G135">
    <cfRule type="cellIs" dxfId="1396" priority="5580" operator="lessThan">
      <formula>0</formula>
    </cfRule>
  </conditionalFormatting>
  <conditionalFormatting sqref="F136:G1048576 G61:G135">
    <cfRule type="cellIs" dxfId="1395" priority="5579" operator="lessThan">
      <formula>0</formula>
    </cfRule>
  </conditionalFormatting>
  <conditionalFormatting sqref="F136:G1048576 G61:G135">
    <cfRule type="cellIs" dxfId="1394" priority="5578" operator="lessThan">
      <formula>0</formula>
    </cfRule>
  </conditionalFormatting>
  <conditionalFormatting sqref="F136:G1048576 G61:G135">
    <cfRule type="cellIs" dxfId="1393" priority="5577" operator="lessThan">
      <formula>0</formula>
    </cfRule>
  </conditionalFormatting>
  <conditionalFormatting sqref="F136:G1048576 G61:G135">
    <cfRule type="cellIs" dxfId="1392" priority="5576" operator="lessThan">
      <formula>0</formula>
    </cfRule>
  </conditionalFormatting>
  <conditionalFormatting sqref="F136:G1048576 G61:G135">
    <cfRule type="cellIs" dxfId="1391" priority="5575" operator="lessThan">
      <formula>0</formula>
    </cfRule>
  </conditionalFormatting>
  <conditionalFormatting sqref="F136:G1048576 G61:G135">
    <cfRule type="cellIs" dxfId="1390" priority="5574" operator="lessThan">
      <formula>0</formula>
    </cfRule>
  </conditionalFormatting>
  <conditionalFormatting sqref="F136:G1048576 G61:G135">
    <cfRule type="cellIs" dxfId="1389" priority="5573" operator="lessThan">
      <formula>0</formula>
    </cfRule>
  </conditionalFormatting>
  <conditionalFormatting sqref="F136:G1048576 G61:G135">
    <cfRule type="cellIs" dxfId="1388" priority="5572" operator="lessThan">
      <formula>0</formula>
    </cfRule>
  </conditionalFormatting>
  <conditionalFormatting sqref="F136:G1048576 G61:G135">
    <cfRule type="cellIs" dxfId="1387" priority="5571" operator="lessThan">
      <formula>0</formula>
    </cfRule>
  </conditionalFormatting>
  <conditionalFormatting sqref="F136:G1048576 G61:G135">
    <cfRule type="cellIs" dxfId="1386" priority="5570" operator="lessThan">
      <formula>0</formula>
    </cfRule>
  </conditionalFormatting>
  <conditionalFormatting sqref="F136:G1048576 G61:G135">
    <cfRule type="cellIs" dxfId="1385" priority="5569" operator="lessThan">
      <formula>0</formula>
    </cfRule>
  </conditionalFormatting>
  <conditionalFormatting sqref="F136:G1048576 G61:G135">
    <cfRule type="cellIs" dxfId="1384" priority="5568" operator="lessThan">
      <formula>0</formula>
    </cfRule>
  </conditionalFormatting>
  <conditionalFormatting sqref="F136:G1048576 G61:G135">
    <cfRule type="cellIs" dxfId="1383" priority="5567" operator="lessThan">
      <formula>0</formula>
    </cfRule>
  </conditionalFormatting>
  <conditionalFormatting sqref="F136:G1048576 G61:G135">
    <cfRule type="cellIs" dxfId="1382" priority="5566" operator="lessThan">
      <formula>0</formula>
    </cfRule>
  </conditionalFormatting>
  <conditionalFormatting sqref="F136:G1048576 G61:G135">
    <cfRule type="cellIs" dxfId="1381" priority="5565" operator="lessThan">
      <formula>0</formula>
    </cfRule>
  </conditionalFormatting>
  <conditionalFormatting sqref="F136:G1048576 G61:G135">
    <cfRule type="cellIs" dxfId="1380" priority="5564" operator="lessThan">
      <formula>0</formula>
    </cfRule>
  </conditionalFormatting>
  <conditionalFormatting sqref="F136:G1048576 G61:G135">
    <cfRule type="cellIs" dxfId="1379" priority="5563" operator="lessThan">
      <formula>0</formula>
    </cfRule>
  </conditionalFormatting>
  <conditionalFormatting sqref="F136:G1048576 G61:G135">
    <cfRule type="cellIs" dxfId="1378" priority="5562" operator="lessThan">
      <formula>0</formula>
    </cfRule>
  </conditionalFormatting>
  <conditionalFormatting sqref="F136:G1048576 G61:G135">
    <cfRule type="cellIs" dxfId="1377" priority="5561" operator="lessThan">
      <formula>0</formula>
    </cfRule>
  </conditionalFormatting>
  <conditionalFormatting sqref="F136:G1048576 G61:G135">
    <cfRule type="cellIs" dxfId="1376" priority="5560" operator="lessThan">
      <formula>0</formula>
    </cfRule>
  </conditionalFormatting>
  <conditionalFormatting sqref="F136:G1048576 G61:G135">
    <cfRule type="cellIs" dxfId="1375" priority="5559" operator="lessThan">
      <formula>0</formula>
    </cfRule>
  </conditionalFormatting>
  <conditionalFormatting sqref="F136:G1048576 G61:G135">
    <cfRule type="cellIs" dxfId="1374" priority="5558" operator="lessThan">
      <formula>0</formula>
    </cfRule>
  </conditionalFormatting>
  <conditionalFormatting sqref="F136:G1048576 G61:G135">
    <cfRule type="cellIs" dxfId="1373" priority="5557" operator="lessThan">
      <formula>0</formula>
    </cfRule>
  </conditionalFormatting>
  <conditionalFormatting sqref="F136:G1048576 G61:G135">
    <cfRule type="cellIs" dxfId="1372" priority="5556" operator="lessThan">
      <formula>0</formula>
    </cfRule>
  </conditionalFormatting>
  <conditionalFormatting sqref="F136:G1048576 G61:G135">
    <cfRule type="cellIs" dxfId="1371" priority="5555" operator="lessThan">
      <formula>0</formula>
    </cfRule>
  </conditionalFormatting>
  <conditionalFormatting sqref="F136:G1048576 G61:G135">
    <cfRule type="cellIs" dxfId="1370" priority="5554" operator="lessThan">
      <formula>0</formula>
    </cfRule>
  </conditionalFormatting>
  <conditionalFormatting sqref="F136:G1048576 G61:G135">
    <cfRule type="cellIs" dxfId="1369" priority="5553" operator="lessThan">
      <formula>0</formula>
    </cfRule>
  </conditionalFormatting>
  <conditionalFormatting sqref="F136:G1048576 G61:G135">
    <cfRule type="cellIs" dxfId="1368" priority="5552" operator="lessThan">
      <formula>0</formula>
    </cfRule>
  </conditionalFormatting>
  <conditionalFormatting sqref="F136:G1048576 G61:G135">
    <cfRule type="cellIs" dxfId="1367" priority="5551" operator="lessThan">
      <formula>0</formula>
    </cfRule>
  </conditionalFormatting>
  <conditionalFormatting sqref="F136:G1048576 G61:G135">
    <cfRule type="cellIs" dxfId="1366" priority="5550" operator="lessThan">
      <formula>0</formula>
    </cfRule>
  </conditionalFormatting>
  <conditionalFormatting sqref="F136:G1048576 G61:G135">
    <cfRule type="cellIs" dxfId="1365" priority="5549" operator="lessThan">
      <formula>0</formula>
    </cfRule>
  </conditionalFormatting>
  <conditionalFormatting sqref="F136:G1048576 G61:G135">
    <cfRule type="cellIs" dxfId="1364" priority="5548" operator="lessThan">
      <formula>0</formula>
    </cfRule>
  </conditionalFormatting>
  <conditionalFormatting sqref="F136:G1048576 G61:G135">
    <cfRule type="cellIs" dxfId="1363" priority="5547" operator="lessThan">
      <formula>0</formula>
    </cfRule>
  </conditionalFormatting>
  <conditionalFormatting sqref="F136:G1048576 G61:G135">
    <cfRule type="cellIs" dxfId="1362" priority="5546" operator="lessThan">
      <formula>0</formula>
    </cfRule>
  </conditionalFormatting>
  <conditionalFormatting sqref="F136:G1048576 G61:G135">
    <cfRule type="cellIs" dxfId="1361" priority="5545" operator="lessThan">
      <formula>0</formula>
    </cfRule>
  </conditionalFormatting>
  <conditionalFormatting sqref="F136:G1048576 G61:G135">
    <cfRule type="cellIs" dxfId="1360" priority="5544" operator="lessThan">
      <formula>0</formula>
    </cfRule>
  </conditionalFormatting>
  <conditionalFormatting sqref="F136:G1048576 G61:G135">
    <cfRule type="cellIs" dxfId="1359" priority="5543" operator="lessThan">
      <formula>0</formula>
    </cfRule>
  </conditionalFormatting>
  <conditionalFormatting sqref="F136:G1048576 G61:G135">
    <cfRule type="cellIs" dxfId="1358" priority="5542" operator="lessThan">
      <formula>0</formula>
    </cfRule>
  </conditionalFormatting>
  <conditionalFormatting sqref="F136:G1048576 G61:G135">
    <cfRule type="cellIs" dxfId="1357" priority="5541" operator="lessThan">
      <formula>0</formula>
    </cfRule>
  </conditionalFormatting>
  <conditionalFormatting sqref="F136:G1048576 G61:G135">
    <cfRule type="cellIs" dxfId="1356" priority="5540" operator="lessThan">
      <formula>0</formula>
    </cfRule>
  </conditionalFormatting>
  <conditionalFormatting sqref="F136:G1048576 G61:G135">
    <cfRule type="cellIs" dxfId="1355" priority="5539" operator="lessThan">
      <formula>0</formula>
    </cfRule>
  </conditionalFormatting>
  <conditionalFormatting sqref="F136:G1048576 G61:G135">
    <cfRule type="cellIs" dxfId="1354" priority="5538" operator="lessThan">
      <formula>0</formula>
    </cfRule>
  </conditionalFormatting>
  <conditionalFormatting sqref="F136:G1048576 G61:G135">
    <cfRule type="cellIs" dxfId="1353" priority="5537" operator="lessThan">
      <formula>0</formula>
    </cfRule>
  </conditionalFormatting>
  <conditionalFormatting sqref="F136:G1048576 G61:G135">
    <cfRule type="cellIs" dxfId="1352" priority="5536" operator="lessThan">
      <formula>0</formula>
    </cfRule>
  </conditionalFormatting>
  <conditionalFormatting sqref="F136:G1048576 G61:G135">
    <cfRule type="cellIs" dxfId="1351" priority="5535" operator="lessThan">
      <formula>0</formula>
    </cfRule>
  </conditionalFormatting>
  <conditionalFormatting sqref="F136:G1048576 G61:G135">
    <cfRule type="cellIs" dxfId="1350" priority="5534" operator="lessThan">
      <formula>0</formula>
    </cfRule>
  </conditionalFormatting>
  <conditionalFormatting sqref="F136:G1048576 G61:G135">
    <cfRule type="cellIs" dxfId="1349" priority="5533" operator="lessThan">
      <formula>0</formula>
    </cfRule>
  </conditionalFormatting>
  <conditionalFormatting sqref="F136:G1048576 G61:G135">
    <cfRule type="cellIs" dxfId="1348" priority="5532" operator="lessThan">
      <formula>0</formula>
    </cfRule>
  </conditionalFormatting>
  <conditionalFormatting sqref="F136:G1048576 G61:G135">
    <cfRule type="cellIs" dxfId="1347" priority="5531" operator="lessThan">
      <formula>0</formula>
    </cfRule>
  </conditionalFormatting>
  <conditionalFormatting sqref="F136:G1048576 G61:G135">
    <cfRule type="cellIs" dxfId="1346" priority="5530" operator="lessThan">
      <formula>0</formula>
    </cfRule>
  </conditionalFormatting>
  <conditionalFormatting sqref="F136:G1048576 G61:G135">
    <cfRule type="cellIs" dxfId="1345" priority="5529" operator="lessThan">
      <formula>0</formula>
    </cfRule>
  </conditionalFormatting>
  <conditionalFormatting sqref="F136:G1048576 G61:G135">
    <cfRule type="cellIs" dxfId="1344" priority="5528" operator="lessThan">
      <formula>0</formula>
    </cfRule>
  </conditionalFormatting>
  <conditionalFormatting sqref="F136:G1048576 G61:G135">
    <cfRule type="cellIs" dxfId="1343" priority="5527" operator="lessThan">
      <formula>0</formula>
    </cfRule>
  </conditionalFormatting>
  <conditionalFormatting sqref="F136:G1048576 G61:G135">
    <cfRule type="cellIs" dxfId="1342" priority="5526" operator="lessThan">
      <formula>0</formula>
    </cfRule>
  </conditionalFormatting>
  <conditionalFormatting sqref="F136:G1048576 G61:G135">
    <cfRule type="cellIs" dxfId="1341" priority="5525" operator="lessThan">
      <formula>0</formula>
    </cfRule>
  </conditionalFormatting>
  <conditionalFormatting sqref="F136:G1048576 G61:G135">
    <cfRule type="cellIs" dxfId="1340" priority="5524" operator="lessThan">
      <formula>0</formula>
    </cfRule>
  </conditionalFormatting>
  <conditionalFormatting sqref="F136:G1048576 G61:G135">
    <cfRule type="cellIs" dxfId="1339" priority="5523" operator="lessThan">
      <formula>0</formula>
    </cfRule>
  </conditionalFormatting>
  <conditionalFormatting sqref="F136:G1048576 G61:G135">
    <cfRule type="cellIs" dxfId="1338" priority="5522" operator="lessThan">
      <formula>0</formula>
    </cfRule>
  </conditionalFormatting>
  <conditionalFormatting sqref="F136:G1048576 G61:G135">
    <cfRule type="cellIs" dxfId="1337" priority="5521" operator="lessThan">
      <formula>0</formula>
    </cfRule>
  </conditionalFormatting>
  <conditionalFormatting sqref="F136:G1048576 G61:G135">
    <cfRule type="cellIs" dxfId="1336" priority="5520" operator="lessThan">
      <formula>0</formula>
    </cfRule>
  </conditionalFormatting>
  <conditionalFormatting sqref="F136:G1048576 G61:G135">
    <cfRule type="cellIs" dxfId="1335" priority="5519" operator="lessThan">
      <formula>0</formula>
    </cfRule>
  </conditionalFormatting>
  <conditionalFormatting sqref="F136:G1048576 G61:G135">
    <cfRule type="cellIs" dxfId="1334" priority="5518" operator="lessThan">
      <formula>0</formula>
    </cfRule>
  </conditionalFormatting>
  <conditionalFormatting sqref="F136:G1048576 G61:G135">
    <cfRule type="cellIs" dxfId="1333" priority="5517" operator="lessThan">
      <formula>0</formula>
    </cfRule>
  </conditionalFormatting>
  <conditionalFormatting sqref="F136:G1048576 G61:G135">
    <cfRule type="cellIs" dxfId="1332" priority="5516" operator="lessThan">
      <formula>0</formula>
    </cfRule>
  </conditionalFormatting>
  <conditionalFormatting sqref="F136:G1048576 G61:G135">
    <cfRule type="cellIs" dxfId="1331" priority="5515" operator="lessThan">
      <formula>0</formula>
    </cfRule>
  </conditionalFormatting>
  <conditionalFormatting sqref="F136:G1048576 G61:G135">
    <cfRule type="cellIs" dxfId="1330" priority="5514" operator="lessThan">
      <formula>0</formula>
    </cfRule>
  </conditionalFormatting>
  <conditionalFormatting sqref="F136:G1048576 G61:G135">
    <cfRule type="cellIs" dxfId="1329" priority="5513" operator="lessThan">
      <formula>0</formula>
    </cfRule>
  </conditionalFormatting>
  <conditionalFormatting sqref="F136:G1048576 G61:G135">
    <cfRule type="cellIs" dxfId="1328" priority="5512" operator="lessThan">
      <formula>0</formula>
    </cfRule>
  </conditionalFormatting>
  <conditionalFormatting sqref="F136:G1048576 G61:G135">
    <cfRule type="cellIs" dxfId="1327" priority="5511" operator="lessThan">
      <formula>0</formula>
    </cfRule>
  </conditionalFormatting>
  <conditionalFormatting sqref="F136:G1048576 G61:G135">
    <cfRule type="cellIs" dxfId="1326" priority="5510" operator="lessThan">
      <formula>0</formula>
    </cfRule>
  </conditionalFormatting>
  <conditionalFormatting sqref="F136:G1048576 G61:G135">
    <cfRule type="cellIs" dxfId="1325" priority="5509" operator="lessThan">
      <formula>0</formula>
    </cfRule>
  </conditionalFormatting>
  <conditionalFormatting sqref="F136:G1048576 G61:G135">
    <cfRule type="cellIs" dxfId="1324" priority="5508" operator="lessThan">
      <formula>0</formula>
    </cfRule>
  </conditionalFormatting>
  <conditionalFormatting sqref="F136:G1048576 G61:G135">
    <cfRule type="cellIs" dxfId="1323" priority="5507" operator="lessThan">
      <formula>0</formula>
    </cfRule>
  </conditionalFormatting>
  <conditionalFormatting sqref="F136:G1048576 G61:G135">
    <cfRule type="cellIs" dxfId="1322" priority="5506" operator="lessThan">
      <formula>0</formula>
    </cfRule>
  </conditionalFormatting>
  <conditionalFormatting sqref="F136:G1048576 G61:G135">
    <cfRule type="cellIs" dxfId="1321" priority="5505" operator="lessThan">
      <formula>0</formula>
    </cfRule>
  </conditionalFormatting>
  <conditionalFormatting sqref="F136:G1048576 G61:G135">
    <cfRule type="cellIs" dxfId="1320" priority="5504" operator="lessThan">
      <formula>0</formula>
    </cfRule>
  </conditionalFormatting>
  <conditionalFormatting sqref="F136:G1048576 G61:G135">
    <cfRule type="cellIs" dxfId="1319" priority="5503" operator="lessThan">
      <formula>0</formula>
    </cfRule>
  </conditionalFormatting>
  <conditionalFormatting sqref="F136:G1048576 G61:G135">
    <cfRule type="cellIs" dxfId="1318" priority="5502" operator="lessThan">
      <formula>0</formula>
    </cfRule>
  </conditionalFormatting>
  <conditionalFormatting sqref="F136:G1048576 G61:G135">
    <cfRule type="cellIs" dxfId="1317" priority="5501" operator="lessThan">
      <formula>0</formula>
    </cfRule>
  </conditionalFormatting>
  <conditionalFormatting sqref="F136:G1048576 G61:G135">
    <cfRule type="cellIs" dxfId="1316" priority="5500" operator="lessThan">
      <formula>0</formula>
    </cfRule>
  </conditionalFormatting>
  <conditionalFormatting sqref="F136:G1048576 G61:G135">
    <cfRule type="cellIs" dxfId="1315" priority="5499" operator="lessThan">
      <formula>0</formula>
    </cfRule>
  </conditionalFormatting>
  <conditionalFormatting sqref="F136:G1048576 G61:G135">
    <cfRule type="cellIs" dxfId="1314" priority="5498" operator="lessThan">
      <formula>0</formula>
    </cfRule>
  </conditionalFormatting>
  <conditionalFormatting sqref="F136:G1048576 G61:G135">
    <cfRule type="cellIs" dxfId="1313" priority="5497" operator="lessThan">
      <formula>0</formula>
    </cfRule>
  </conditionalFormatting>
  <conditionalFormatting sqref="F136:G1048576 G61:G135">
    <cfRule type="cellIs" dxfId="1312" priority="5496" operator="lessThan">
      <formula>0</formula>
    </cfRule>
  </conditionalFormatting>
  <conditionalFormatting sqref="F136:G1048576 G61:G135">
    <cfRule type="cellIs" dxfId="1311" priority="5495" operator="lessThan">
      <formula>0</formula>
    </cfRule>
  </conditionalFormatting>
  <conditionalFormatting sqref="F136:G1048576 G61:G135">
    <cfRule type="cellIs" dxfId="1310" priority="5494" operator="lessThan">
      <formula>0</formula>
    </cfRule>
  </conditionalFormatting>
  <conditionalFormatting sqref="F136:G1048576 G61:G135">
    <cfRule type="cellIs" dxfId="1309" priority="5493" operator="lessThan">
      <formula>0</formula>
    </cfRule>
  </conditionalFormatting>
  <conditionalFormatting sqref="F136:G1048576 G61:G135">
    <cfRule type="cellIs" dxfId="1308" priority="5492" operator="lessThan">
      <formula>0</formula>
    </cfRule>
  </conditionalFormatting>
  <conditionalFormatting sqref="F136:G1048576 G61:G135">
    <cfRule type="cellIs" dxfId="1307" priority="5491" operator="lessThan">
      <formula>0</formula>
    </cfRule>
  </conditionalFormatting>
  <conditionalFormatting sqref="F136:G1048576 G61:G135">
    <cfRule type="cellIs" dxfId="1306" priority="5490" operator="lessThan">
      <formula>0</formula>
    </cfRule>
  </conditionalFormatting>
  <conditionalFormatting sqref="F136:G1048576 G61:G135">
    <cfRule type="cellIs" dxfId="1305" priority="5489" operator="lessThan">
      <formula>0</formula>
    </cfRule>
  </conditionalFormatting>
  <conditionalFormatting sqref="F136:G1048576 G61:G135">
    <cfRule type="cellIs" dxfId="1304" priority="5488" operator="lessThan">
      <formula>0</formula>
    </cfRule>
  </conditionalFormatting>
  <conditionalFormatting sqref="F136:G1048576 G61:G135">
    <cfRule type="cellIs" dxfId="1303" priority="5487" operator="lessThan">
      <formula>0</formula>
    </cfRule>
  </conditionalFormatting>
  <conditionalFormatting sqref="F136:G1048576 G61:G135">
    <cfRule type="cellIs" dxfId="1302" priority="5486" operator="lessThan">
      <formula>0</formula>
    </cfRule>
  </conditionalFormatting>
  <conditionalFormatting sqref="F136:G1048576 G61:G135">
    <cfRule type="cellIs" dxfId="1301" priority="5485" operator="lessThan">
      <formula>0</formula>
    </cfRule>
  </conditionalFormatting>
  <conditionalFormatting sqref="F136:G1048576 G61:G135">
    <cfRule type="cellIs" dxfId="1300" priority="5484" operator="lessThan">
      <formula>0</formula>
    </cfRule>
  </conditionalFormatting>
  <conditionalFormatting sqref="F136:G1048576 G61:G135">
    <cfRule type="cellIs" dxfId="1299" priority="5483" operator="lessThan">
      <formula>0</formula>
    </cfRule>
  </conditionalFormatting>
  <conditionalFormatting sqref="F136:G1048576 G61:G135">
    <cfRule type="cellIs" dxfId="1298" priority="5482" operator="lessThan">
      <formula>0</formula>
    </cfRule>
  </conditionalFormatting>
  <conditionalFormatting sqref="F136:G1048576 G61:G135">
    <cfRule type="cellIs" dxfId="1297" priority="5481" operator="lessThan">
      <formula>0</formula>
    </cfRule>
  </conditionalFormatting>
  <conditionalFormatting sqref="F136:G1048576 G61:G135">
    <cfRule type="cellIs" dxfId="1296" priority="5480" operator="lessThan">
      <formula>0</formula>
    </cfRule>
  </conditionalFormatting>
  <conditionalFormatting sqref="F136:G1048576 G61:G135">
    <cfRule type="cellIs" dxfId="1295" priority="5479" operator="lessThan">
      <formula>0</formula>
    </cfRule>
  </conditionalFormatting>
  <conditionalFormatting sqref="F136:G1048576 G61:G135">
    <cfRule type="cellIs" dxfId="1294" priority="5478" operator="lessThan">
      <formula>0</formula>
    </cfRule>
  </conditionalFormatting>
  <conditionalFormatting sqref="F136:G1048576 G61:G135">
    <cfRule type="cellIs" dxfId="1293" priority="5477" operator="lessThan">
      <formula>0</formula>
    </cfRule>
  </conditionalFormatting>
  <conditionalFormatting sqref="F136:G1048576 G61:G135">
    <cfRule type="cellIs" dxfId="1292" priority="5476" operator="lessThan">
      <formula>0</formula>
    </cfRule>
  </conditionalFormatting>
  <conditionalFormatting sqref="F136:G1048576 G61:G135">
    <cfRule type="cellIs" dxfId="1291" priority="5475" operator="lessThan">
      <formula>0</formula>
    </cfRule>
  </conditionalFormatting>
  <conditionalFormatting sqref="F136:G1048576 G61:G135">
    <cfRule type="cellIs" dxfId="1290" priority="5474" operator="lessThan">
      <formula>0</formula>
    </cfRule>
  </conditionalFormatting>
  <conditionalFormatting sqref="F136:G1048576 G61:G135">
    <cfRule type="cellIs" dxfId="1289" priority="5473" operator="lessThan">
      <formula>0</formula>
    </cfRule>
  </conditionalFormatting>
  <conditionalFormatting sqref="F136:G1048576 G61:G135">
    <cfRule type="cellIs" dxfId="1288" priority="5472" operator="lessThan">
      <formula>0</formula>
    </cfRule>
  </conditionalFormatting>
  <conditionalFormatting sqref="F136:G1048576 G61:G135">
    <cfRule type="cellIs" dxfId="1287" priority="5471" operator="lessThan">
      <formula>0</formula>
    </cfRule>
  </conditionalFormatting>
  <conditionalFormatting sqref="F136:G1048576 G61:G135">
    <cfRule type="cellIs" dxfId="1286" priority="5470" operator="lessThan">
      <formula>0</formula>
    </cfRule>
  </conditionalFormatting>
  <conditionalFormatting sqref="F136:G1048576 G61:G135">
    <cfRule type="cellIs" dxfId="1285" priority="5469" operator="lessThan">
      <formula>0</formula>
    </cfRule>
  </conditionalFormatting>
  <conditionalFormatting sqref="F136:G1048576 G61:G135">
    <cfRule type="cellIs" dxfId="1284" priority="5468" operator="lessThan">
      <formula>0</formula>
    </cfRule>
  </conditionalFormatting>
  <conditionalFormatting sqref="F136:G1048576 G61:G135">
    <cfRule type="cellIs" dxfId="1283" priority="5467" operator="lessThan">
      <formula>0</formula>
    </cfRule>
  </conditionalFormatting>
  <conditionalFormatting sqref="F136:G1048576 G61:G135">
    <cfRule type="cellIs" dxfId="1282" priority="5466" operator="lessThan">
      <formula>0</formula>
    </cfRule>
  </conditionalFormatting>
  <conditionalFormatting sqref="F136:G1048576 G61:G135">
    <cfRule type="cellIs" dxfId="1281" priority="5465" operator="lessThan">
      <formula>0</formula>
    </cfRule>
  </conditionalFormatting>
  <conditionalFormatting sqref="F136:G1048576 G61:G135">
    <cfRule type="cellIs" dxfId="1280" priority="5464" operator="lessThan">
      <formula>0</formula>
    </cfRule>
  </conditionalFormatting>
  <conditionalFormatting sqref="F136:G1048576 G61:G135">
    <cfRule type="cellIs" dxfId="1279" priority="5463" operator="lessThan">
      <formula>0</formula>
    </cfRule>
  </conditionalFormatting>
  <conditionalFormatting sqref="F136:G1048576 G61:G135">
    <cfRule type="cellIs" dxfId="1278" priority="5462" operator="lessThan">
      <formula>0</formula>
    </cfRule>
  </conditionalFormatting>
  <conditionalFormatting sqref="F136:G1048576 G61:G135">
    <cfRule type="cellIs" dxfId="1277" priority="5461" operator="lessThan">
      <formula>0</formula>
    </cfRule>
  </conditionalFormatting>
  <conditionalFormatting sqref="F136:G1048576 G61:G135">
    <cfRule type="cellIs" dxfId="1276" priority="5460" operator="lessThan">
      <formula>0</formula>
    </cfRule>
  </conditionalFormatting>
  <conditionalFormatting sqref="F136:G1048576 G61:G135">
    <cfRule type="cellIs" dxfId="1275" priority="5459" operator="lessThan">
      <formula>0</formula>
    </cfRule>
  </conditionalFormatting>
  <conditionalFormatting sqref="F136:G1048576 G61:G135">
    <cfRule type="cellIs" dxfId="1274" priority="5458" operator="lessThan">
      <formula>0</formula>
    </cfRule>
  </conditionalFormatting>
  <conditionalFormatting sqref="F136:G1048576 G61:G135">
    <cfRule type="cellIs" dxfId="1273" priority="5457" operator="lessThan">
      <formula>0</formula>
    </cfRule>
  </conditionalFormatting>
  <conditionalFormatting sqref="F136:G1048576 G61:G135">
    <cfRule type="cellIs" dxfId="1272" priority="5456" operator="lessThan">
      <formula>0</formula>
    </cfRule>
  </conditionalFormatting>
  <conditionalFormatting sqref="F136:G1048576 G61:G135">
    <cfRule type="cellIs" dxfId="1271" priority="5455" operator="lessThan">
      <formula>0</formula>
    </cfRule>
  </conditionalFormatting>
  <conditionalFormatting sqref="F136:G1048576 G61:G135">
    <cfRule type="cellIs" dxfId="1270" priority="5454" operator="lessThan">
      <formula>0</formula>
    </cfRule>
  </conditionalFormatting>
  <conditionalFormatting sqref="F136:G1048576 G61:G135">
    <cfRule type="cellIs" dxfId="1269" priority="5453" operator="lessThan">
      <formula>0</formula>
    </cfRule>
  </conditionalFormatting>
  <conditionalFormatting sqref="F136:G1048576 G61:G135">
    <cfRule type="cellIs" dxfId="1268" priority="5452" operator="lessThan">
      <formula>0</formula>
    </cfRule>
  </conditionalFormatting>
  <conditionalFormatting sqref="F136:G1048576 G61:G135">
    <cfRule type="cellIs" dxfId="1267" priority="5451" operator="lessThan">
      <formula>0</formula>
    </cfRule>
  </conditionalFormatting>
  <conditionalFormatting sqref="F136:G1048576 G61:G135">
    <cfRule type="cellIs" dxfId="1266" priority="5450" operator="lessThan">
      <formula>0</formula>
    </cfRule>
  </conditionalFormatting>
  <conditionalFormatting sqref="F136:G1048576 G61:G135">
    <cfRule type="cellIs" dxfId="1265" priority="5449" operator="lessThan">
      <formula>0</formula>
    </cfRule>
  </conditionalFormatting>
  <conditionalFormatting sqref="F136:G1048576 G61:G135">
    <cfRule type="cellIs" dxfId="1264" priority="5448" operator="lessThan">
      <formula>0</formula>
    </cfRule>
  </conditionalFormatting>
  <conditionalFormatting sqref="F136:G1048576 G61:G135">
    <cfRule type="cellIs" dxfId="1263" priority="5447" operator="lessThan">
      <formula>0</formula>
    </cfRule>
  </conditionalFormatting>
  <conditionalFormatting sqref="F136:G1048576 G61:G135">
    <cfRule type="cellIs" dxfId="1262" priority="5446" operator="lessThan">
      <formula>0</formula>
    </cfRule>
  </conditionalFormatting>
  <conditionalFormatting sqref="F136:G1048576 G61:G135">
    <cfRule type="cellIs" dxfId="1261" priority="5445" operator="lessThan">
      <formula>0</formula>
    </cfRule>
  </conditionalFormatting>
  <conditionalFormatting sqref="F136:G1048576 G61:G135">
    <cfRule type="cellIs" dxfId="1260" priority="5444" operator="lessThan">
      <formula>0</formula>
    </cfRule>
  </conditionalFormatting>
  <conditionalFormatting sqref="F136:G1048576 G61:G135">
    <cfRule type="cellIs" dxfId="1259" priority="5443" operator="lessThan">
      <formula>0</formula>
    </cfRule>
  </conditionalFormatting>
  <conditionalFormatting sqref="F136:G1048576 G61:G135">
    <cfRule type="cellIs" dxfId="1258" priority="5442" operator="lessThan">
      <formula>0</formula>
    </cfRule>
  </conditionalFormatting>
  <conditionalFormatting sqref="F136:G1048576 G61:G135">
    <cfRule type="cellIs" dxfId="1257" priority="5441" operator="lessThan">
      <formula>0</formula>
    </cfRule>
  </conditionalFormatting>
  <conditionalFormatting sqref="F136:G1048576 G61:G135">
    <cfRule type="cellIs" dxfId="1256" priority="5440" operator="lessThan">
      <formula>0</formula>
    </cfRule>
  </conditionalFormatting>
  <conditionalFormatting sqref="F136:G1048576 G61:G135">
    <cfRule type="cellIs" dxfId="1255" priority="5439" operator="lessThan">
      <formula>0</formula>
    </cfRule>
  </conditionalFormatting>
  <conditionalFormatting sqref="F136:G1048576 G61:G135">
    <cfRule type="cellIs" dxfId="1254" priority="5438" operator="lessThan">
      <formula>0</formula>
    </cfRule>
  </conditionalFormatting>
  <conditionalFormatting sqref="F136:G1048576 G61:G135">
    <cfRule type="cellIs" dxfId="1253" priority="5437" operator="lessThan">
      <formula>0</formula>
    </cfRule>
  </conditionalFormatting>
  <conditionalFormatting sqref="F136:G1048576 G61:G135">
    <cfRule type="cellIs" dxfId="1252" priority="5436" operator="lessThan">
      <formula>0</formula>
    </cfRule>
  </conditionalFormatting>
  <conditionalFormatting sqref="F136:G1048576 G61:G135">
    <cfRule type="cellIs" dxfId="1251" priority="5435" operator="lessThan">
      <formula>0</formula>
    </cfRule>
  </conditionalFormatting>
  <conditionalFormatting sqref="F136:G1048576 G61:G135">
    <cfRule type="cellIs" dxfId="1250" priority="5434" operator="lessThan">
      <formula>0</formula>
    </cfRule>
  </conditionalFormatting>
  <conditionalFormatting sqref="F136:G1048576 G61:G135">
    <cfRule type="cellIs" dxfId="1249" priority="5433" operator="lessThan">
      <formula>0</formula>
    </cfRule>
  </conditionalFormatting>
  <conditionalFormatting sqref="F136:G1048576 G61:G135">
    <cfRule type="cellIs" dxfId="1248" priority="5432" operator="lessThan">
      <formula>0</formula>
    </cfRule>
  </conditionalFormatting>
  <conditionalFormatting sqref="F136:G1048576 G61:G135">
    <cfRule type="cellIs" dxfId="1247" priority="5431" operator="lessThan">
      <formula>0</formula>
    </cfRule>
  </conditionalFormatting>
  <conditionalFormatting sqref="F136:G1048576 G61:G135">
    <cfRule type="cellIs" dxfId="1246" priority="5430" operator="lessThan">
      <formula>0</formula>
    </cfRule>
  </conditionalFormatting>
  <conditionalFormatting sqref="F136:G1048576 G61:G135">
    <cfRule type="cellIs" dxfId="1245" priority="5429" operator="lessThan">
      <formula>0</formula>
    </cfRule>
  </conditionalFormatting>
  <conditionalFormatting sqref="F136:G1048576 G61:G135">
    <cfRule type="cellIs" dxfId="1244" priority="5428" operator="lessThan">
      <formula>0</formula>
    </cfRule>
  </conditionalFormatting>
  <conditionalFormatting sqref="F136:G1048576 G61:G135">
    <cfRule type="cellIs" dxfId="1243" priority="5427" operator="lessThan">
      <formula>0</formula>
    </cfRule>
  </conditionalFormatting>
  <conditionalFormatting sqref="F136:G1048576 G61:G135">
    <cfRule type="cellIs" dxfId="1242" priority="5426" operator="lessThan">
      <formula>0</formula>
    </cfRule>
  </conditionalFormatting>
  <conditionalFormatting sqref="F136:G1048576 G61:G135">
    <cfRule type="cellIs" dxfId="1241" priority="5425" operator="lessThan">
      <formula>0</formula>
    </cfRule>
  </conditionalFormatting>
  <conditionalFormatting sqref="F136:G1048576 G61:G135">
    <cfRule type="cellIs" dxfId="1240" priority="5424" operator="lessThan">
      <formula>0</formula>
    </cfRule>
  </conditionalFormatting>
  <conditionalFormatting sqref="F136:G1048576 G61:G135">
    <cfRule type="cellIs" dxfId="1239" priority="5423" operator="lessThan">
      <formula>0</formula>
    </cfRule>
  </conditionalFormatting>
  <conditionalFormatting sqref="F136:G1048576 G61:G135">
    <cfRule type="cellIs" dxfId="1238" priority="5422" operator="lessThan">
      <formula>0</formula>
    </cfRule>
  </conditionalFormatting>
  <conditionalFormatting sqref="F136:G1048576 G61:G135">
    <cfRule type="cellIs" dxfId="1237" priority="5421" operator="lessThan">
      <formula>0</formula>
    </cfRule>
  </conditionalFormatting>
  <conditionalFormatting sqref="G42">
    <cfRule type="cellIs" dxfId="1236" priority="4718" operator="lessThan">
      <formula>0</formula>
    </cfRule>
  </conditionalFormatting>
  <conditionalFormatting sqref="G42">
    <cfRule type="cellIs" dxfId="1235" priority="4717" operator="lessThan">
      <formula>0</formula>
    </cfRule>
  </conditionalFormatting>
  <conditionalFormatting sqref="G42">
    <cfRule type="cellIs" dxfId="1234" priority="4716" operator="lessThan">
      <formula>0</formula>
    </cfRule>
  </conditionalFormatting>
  <conditionalFormatting sqref="G42">
    <cfRule type="cellIs" dxfId="1233" priority="4715" operator="lessThan">
      <formula>0</formula>
    </cfRule>
  </conditionalFormatting>
  <conditionalFormatting sqref="G42">
    <cfRule type="cellIs" dxfId="1232" priority="4714" operator="lessThan">
      <formula>0</formula>
    </cfRule>
  </conditionalFormatting>
  <conditionalFormatting sqref="G42">
    <cfRule type="cellIs" dxfId="1231" priority="4713" operator="lessThan">
      <formula>0</formula>
    </cfRule>
  </conditionalFormatting>
  <conditionalFormatting sqref="G42">
    <cfRule type="cellIs" dxfId="1230" priority="4712" operator="lessThan">
      <formula>0</formula>
    </cfRule>
  </conditionalFormatting>
  <conditionalFormatting sqref="G42">
    <cfRule type="cellIs" dxfId="1229" priority="4711" operator="lessThan">
      <formula>0</formula>
    </cfRule>
  </conditionalFormatting>
  <conditionalFormatting sqref="G42">
    <cfRule type="cellIs" dxfId="1228" priority="4710" operator="lessThan">
      <formula>0</formula>
    </cfRule>
  </conditionalFormatting>
  <conditionalFormatting sqref="G42">
    <cfRule type="cellIs" dxfId="1227" priority="4709" operator="lessThan">
      <formula>0</formula>
    </cfRule>
  </conditionalFormatting>
  <conditionalFormatting sqref="G42">
    <cfRule type="cellIs" dxfId="1226" priority="4708" operator="lessThan">
      <formula>0</formula>
    </cfRule>
  </conditionalFormatting>
  <conditionalFormatting sqref="G42">
    <cfRule type="cellIs" dxfId="1225" priority="4707" operator="lessThan">
      <formula>0</formula>
    </cfRule>
  </conditionalFormatting>
  <conditionalFormatting sqref="G42">
    <cfRule type="cellIs" dxfId="1224" priority="4706" operator="lessThan">
      <formula>0</formula>
    </cfRule>
  </conditionalFormatting>
  <conditionalFormatting sqref="G42">
    <cfRule type="cellIs" dxfId="1223" priority="4705" operator="lessThan">
      <formula>0</formula>
    </cfRule>
  </conditionalFormatting>
  <conditionalFormatting sqref="G42">
    <cfRule type="cellIs" dxfId="1222" priority="4704" operator="lessThan">
      <formula>0</formula>
    </cfRule>
  </conditionalFormatting>
  <conditionalFormatting sqref="G42">
    <cfRule type="cellIs" dxfId="1221" priority="4703" operator="lessThan">
      <formula>0</formula>
    </cfRule>
  </conditionalFormatting>
  <conditionalFormatting sqref="G42">
    <cfRule type="cellIs" dxfId="1220" priority="4702" operator="lessThan">
      <formula>0</formula>
    </cfRule>
  </conditionalFormatting>
  <conditionalFormatting sqref="G42">
    <cfRule type="cellIs" dxfId="1219" priority="4701" operator="lessThan">
      <formula>0</formula>
    </cfRule>
  </conditionalFormatting>
  <conditionalFormatting sqref="G42">
    <cfRule type="cellIs" dxfId="1218" priority="4700" operator="lessThan">
      <formula>0</formula>
    </cfRule>
  </conditionalFormatting>
  <conditionalFormatting pivot="1" sqref="F13:F51">
    <cfRule type="cellIs" dxfId="1217" priority="3645" operator="lessThan">
      <formula>0</formula>
    </cfRule>
  </conditionalFormatting>
  <conditionalFormatting sqref="H86:H1048576">
    <cfRule type="cellIs" dxfId="1216" priority="3441" operator="lessThan">
      <formula>0</formula>
    </cfRule>
  </conditionalFormatting>
  <conditionalFormatting sqref="H86:H1048576">
    <cfRule type="cellIs" dxfId="1215" priority="3440" operator="lessThan">
      <formula>0</formula>
    </cfRule>
  </conditionalFormatting>
  <conditionalFormatting sqref="H86:H1048576">
    <cfRule type="cellIs" dxfId="1214" priority="3439" operator="lessThan">
      <formula>0</formula>
    </cfRule>
  </conditionalFormatting>
  <conditionalFormatting sqref="H86:H1048576">
    <cfRule type="cellIs" dxfId="1213" priority="3438" operator="lessThan">
      <formula>0</formula>
    </cfRule>
  </conditionalFormatting>
  <conditionalFormatting sqref="H86:H1048576">
    <cfRule type="cellIs" dxfId="1212" priority="3437" operator="lessThan">
      <formula>0</formula>
    </cfRule>
  </conditionalFormatting>
  <conditionalFormatting sqref="H86:H1048576">
    <cfRule type="cellIs" dxfId="1211" priority="3436" operator="lessThan">
      <formula>0</formula>
    </cfRule>
  </conditionalFormatting>
  <conditionalFormatting sqref="H86:H1048576">
    <cfRule type="cellIs" dxfId="1210" priority="3435" operator="lessThan">
      <formula>0</formula>
    </cfRule>
  </conditionalFormatting>
  <conditionalFormatting sqref="H86:H1048576">
    <cfRule type="cellIs" dxfId="1209" priority="3434" operator="lessThan">
      <formula>0</formula>
    </cfRule>
  </conditionalFormatting>
  <conditionalFormatting sqref="H86:H1048576">
    <cfRule type="cellIs" dxfId="1208" priority="3433" operator="lessThan">
      <formula>0</formula>
    </cfRule>
  </conditionalFormatting>
  <conditionalFormatting sqref="H86:H1048576">
    <cfRule type="cellIs" dxfId="1207" priority="3432" operator="lessThan">
      <formula>0</formula>
    </cfRule>
  </conditionalFormatting>
  <conditionalFormatting sqref="H86:H1048576">
    <cfRule type="cellIs" dxfId="1206" priority="3431" operator="lessThan">
      <formula>0</formula>
    </cfRule>
  </conditionalFormatting>
  <conditionalFormatting sqref="H86:H1048576">
    <cfRule type="cellIs" dxfId="1205" priority="3430" operator="lessThan">
      <formula>0</formula>
    </cfRule>
  </conditionalFormatting>
  <conditionalFormatting sqref="H86:H1048576">
    <cfRule type="cellIs" dxfId="1204" priority="3429" operator="lessThan">
      <formula>0</formula>
    </cfRule>
  </conditionalFormatting>
  <conditionalFormatting sqref="H86:H1048576">
    <cfRule type="cellIs" dxfId="1203" priority="3428" operator="lessThan">
      <formula>0</formula>
    </cfRule>
  </conditionalFormatting>
  <conditionalFormatting sqref="H86:H1048576">
    <cfRule type="cellIs" dxfId="1202" priority="3427" operator="lessThan">
      <formula>0</formula>
    </cfRule>
  </conditionalFormatting>
  <conditionalFormatting sqref="H86:H1048576">
    <cfRule type="cellIs" dxfId="1201" priority="3426" operator="lessThan">
      <formula>0</formula>
    </cfRule>
  </conditionalFormatting>
  <conditionalFormatting sqref="H86:H1048576">
    <cfRule type="cellIs" dxfId="1200" priority="3425" operator="lessThan">
      <formula>0</formula>
    </cfRule>
  </conditionalFormatting>
  <conditionalFormatting sqref="H86:H1048576">
    <cfRule type="cellIs" dxfId="1199" priority="3424" operator="lessThan">
      <formula>0</formula>
    </cfRule>
  </conditionalFormatting>
  <conditionalFormatting sqref="H86:H1048576">
    <cfRule type="cellIs" dxfId="1198" priority="3423" operator="lessThan">
      <formula>0</formula>
    </cfRule>
  </conditionalFormatting>
  <conditionalFormatting sqref="H86:H1048576">
    <cfRule type="cellIs" dxfId="1197" priority="3422" operator="lessThan">
      <formula>0</formula>
    </cfRule>
  </conditionalFormatting>
  <conditionalFormatting sqref="H86:H1048576">
    <cfRule type="cellIs" dxfId="1196" priority="3421" operator="lessThan">
      <formula>0</formula>
    </cfRule>
  </conditionalFormatting>
  <conditionalFormatting sqref="H86:H1048576">
    <cfRule type="cellIs" dxfId="1195" priority="3420" operator="lessThan">
      <formula>0</formula>
    </cfRule>
  </conditionalFormatting>
  <conditionalFormatting sqref="H86:H1048576">
    <cfRule type="cellIs" dxfId="1194" priority="3419" operator="lessThan">
      <formula>0</formula>
    </cfRule>
  </conditionalFormatting>
  <conditionalFormatting sqref="H86:H1048576">
    <cfRule type="cellIs" dxfId="1193" priority="3418" operator="lessThan">
      <formula>0</formula>
    </cfRule>
  </conditionalFormatting>
  <conditionalFormatting sqref="H86:H1048576">
    <cfRule type="cellIs" dxfId="1192" priority="3417" operator="lessThan">
      <formula>0</formula>
    </cfRule>
  </conditionalFormatting>
  <conditionalFormatting sqref="H86:H1048576">
    <cfRule type="cellIs" dxfId="1191" priority="3416" operator="lessThan">
      <formula>0</formula>
    </cfRule>
  </conditionalFormatting>
  <conditionalFormatting sqref="H86:H1048576">
    <cfRule type="cellIs" dxfId="1190" priority="3415" operator="lessThan">
      <formula>0</formula>
    </cfRule>
  </conditionalFormatting>
  <conditionalFormatting sqref="H86:H1048576">
    <cfRule type="cellIs" dxfId="1189" priority="3414" operator="lessThan">
      <formula>0</formula>
    </cfRule>
  </conditionalFormatting>
  <conditionalFormatting sqref="H86:H1048576">
    <cfRule type="cellIs" dxfId="1188" priority="3413" operator="lessThan">
      <formula>0</formula>
    </cfRule>
  </conditionalFormatting>
  <conditionalFormatting sqref="H86:H1048576">
    <cfRule type="cellIs" dxfId="1187" priority="3412" operator="lessThan">
      <formula>0</formula>
    </cfRule>
  </conditionalFormatting>
  <conditionalFormatting sqref="H86:H1048576">
    <cfRule type="cellIs" dxfId="1186" priority="3411" operator="lessThan">
      <formula>0</formula>
    </cfRule>
  </conditionalFormatting>
  <conditionalFormatting sqref="H86:H1048576">
    <cfRule type="cellIs" dxfId="1185" priority="3410" operator="lessThan">
      <formula>0</formula>
    </cfRule>
  </conditionalFormatting>
  <conditionalFormatting sqref="H86:H1048576">
    <cfRule type="cellIs" dxfId="1184" priority="3409" operator="lessThan">
      <formula>0</formula>
    </cfRule>
  </conditionalFormatting>
  <conditionalFormatting sqref="H86:H1048576">
    <cfRule type="cellIs" dxfId="1183" priority="3408" operator="lessThan">
      <formula>0</formula>
    </cfRule>
  </conditionalFormatting>
  <conditionalFormatting sqref="H86:H1048576">
    <cfRule type="cellIs" dxfId="1182" priority="3407" operator="lessThan">
      <formula>0</formula>
    </cfRule>
  </conditionalFormatting>
  <conditionalFormatting sqref="H86:H1048576">
    <cfRule type="cellIs" dxfId="1181" priority="3406" operator="lessThan">
      <formula>0</formula>
    </cfRule>
  </conditionalFormatting>
  <conditionalFormatting sqref="H86:H1048576">
    <cfRule type="cellIs" dxfId="1180" priority="3405" operator="lessThan">
      <formula>0</formula>
    </cfRule>
  </conditionalFormatting>
  <conditionalFormatting sqref="H86:H1048576">
    <cfRule type="cellIs" dxfId="1179" priority="3404" operator="lessThan">
      <formula>0</formula>
    </cfRule>
  </conditionalFormatting>
  <conditionalFormatting sqref="H86:H1048576">
    <cfRule type="cellIs" dxfId="1178" priority="3403" operator="lessThan">
      <formula>0</formula>
    </cfRule>
  </conditionalFormatting>
  <conditionalFormatting sqref="H86:H1048576">
    <cfRule type="cellIs" dxfId="1177" priority="3402" operator="lessThan">
      <formula>0</formula>
    </cfRule>
  </conditionalFormatting>
  <conditionalFormatting sqref="H86:H1048576">
    <cfRule type="cellIs" dxfId="1176" priority="3401" operator="lessThan">
      <formula>0</formula>
    </cfRule>
  </conditionalFormatting>
  <conditionalFormatting sqref="H86:H1048576">
    <cfRule type="cellIs" dxfId="1175" priority="3400" operator="lessThan">
      <formula>0</formula>
    </cfRule>
  </conditionalFormatting>
  <conditionalFormatting sqref="H86:H1048576">
    <cfRule type="cellIs" dxfId="1174" priority="3399" operator="lessThan">
      <formula>0</formula>
    </cfRule>
  </conditionalFormatting>
  <conditionalFormatting sqref="H86:H1048576">
    <cfRule type="cellIs" dxfId="1173" priority="3398" operator="lessThan">
      <formula>0</formula>
    </cfRule>
  </conditionalFormatting>
  <conditionalFormatting sqref="H86:H1048576">
    <cfRule type="cellIs" dxfId="1172" priority="3397" operator="lessThan">
      <formula>0</formula>
    </cfRule>
  </conditionalFormatting>
  <conditionalFormatting sqref="H86:H1048576">
    <cfRule type="cellIs" dxfId="1171" priority="3396" operator="lessThan">
      <formula>0</formula>
    </cfRule>
  </conditionalFormatting>
  <conditionalFormatting sqref="H86:H1048576">
    <cfRule type="cellIs" dxfId="1170" priority="3395" operator="lessThan">
      <formula>0</formula>
    </cfRule>
  </conditionalFormatting>
  <conditionalFormatting sqref="H86:H1048576">
    <cfRule type="cellIs" dxfId="1169" priority="3394" operator="lessThan">
      <formula>0</formula>
    </cfRule>
  </conditionalFormatting>
  <conditionalFormatting sqref="H86:H1048576">
    <cfRule type="cellIs" dxfId="1168" priority="3393" operator="lessThan">
      <formula>0</formula>
    </cfRule>
  </conditionalFormatting>
  <conditionalFormatting sqref="H86:H1048576">
    <cfRule type="cellIs" dxfId="1167" priority="3392" operator="lessThan">
      <formula>0</formula>
    </cfRule>
  </conditionalFormatting>
  <conditionalFormatting sqref="H86:H1048576">
    <cfRule type="cellIs" dxfId="1166" priority="3391" operator="lessThan">
      <formula>0</formula>
    </cfRule>
  </conditionalFormatting>
  <conditionalFormatting sqref="H86:H1048576">
    <cfRule type="cellIs" dxfId="1165" priority="3390" operator="lessThan">
      <formula>0</formula>
    </cfRule>
  </conditionalFormatting>
  <conditionalFormatting sqref="H86:H1048576">
    <cfRule type="cellIs" dxfId="1164" priority="3389" operator="lessThan">
      <formula>0</formula>
    </cfRule>
  </conditionalFormatting>
  <conditionalFormatting sqref="H86:H1048576">
    <cfRule type="cellIs" dxfId="1163" priority="3388" operator="lessThan">
      <formula>0</formula>
    </cfRule>
  </conditionalFormatting>
  <conditionalFormatting sqref="H86:H1048576">
    <cfRule type="cellIs" dxfId="1162" priority="3387" operator="lessThan">
      <formula>0</formula>
    </cfRule>
  </conditionalFormatting>
  <conditionalFormatting sqref="H86:H1048576">
    <cfRule type="cellIs" dxfId="1161" priority="3386" operator="lessThan">
      <formula>0</formula>
    </cfRule>
  </conditionalFormatting>
  <conditionalFormatting sqref="H86:H1048576">
    <cfRule type="cellIs" dxfId="1160" priority="3385" operator="lessThan">
      <formula>0</formula>
    </cfRule>
  </conditionalFormatting>
  <conditionalFormatting sqref="H86:H1048576">
    <cfRule type="cellIs" dxfId="1159" priority="3384" operator="lessThan">
      <formula>0</formula>
    </cfRule>
  </conditionalFormatting>
  <conditionalFormatting sqref="H86:H1048576">
    <cfRule type="cellIs" dxfId="1158" priority="3383" operator="lessThan">
      <formula>0</formula>
    </cfRule>
  </conditionalFormatting>
  <conditionalFormatting sqref="H86:H1048576">
    <cfRule type="cellIs" dxfId="1157" priority="3382" operator="lessThan">
      <formula>0</formula>
    </cfRule>
  </conditionalFormatting>
  <conditionalFormatting sqref="H86:H1048576">
    <cfRule type="cellIs" dxfId="1156" priority="3381" operator="lessThan">
      <formula>0</formula>
    </cfRule>
  </conditionalFormatting>
  <conditionalFormatting sqref="H86:H1048576">
    <cfRule type="cellIs" dxfId="1155" priority="3380" operator="lessThan">
      <formula>0</formula>
    </cfRule>
  </conditionalFormatting>
  <conditionalFormatting sqref="H86:H1048576">
    <cfRule type="cellIs" dxfId="1154" priority="3379" operator="lessThan">
      <formula>0</formula>
    </cfRule>
  </conditionalFormatting>
  <conditionalFormatting sqref="H86:H1048576">
    <cfRule type="cellIs" dxfId="1153" priority="3378" operator="lessThan">
      <formula>0</formula>
    </cfRule>
  </conditionalFormatting>
  <conditionalFormatting sqref="H86:H1048576">
    <cfRule type="cellIs" dxfId="1152" priority="3377" operator="lessThan">
      <formula>0</formula>
    </cfRule>
  </conditionalFormatting>
  <conditionalFormatting sqref="H86:H1048576">
    <cfRule type="cellIs" dxfId="1151" priority="3376" operator="lessThan">
      <formula>0</formula>
    </cfRule>
  </conditionalFormatting>
  <conditionalFormatting sqref="H86:H1048576">
    <cfRule type="cellIs" dxfId="1150" priority="3375" operator="lessThan">
      <formula>0</formula>
    </cfRule>
  </conditionalFormatting>
  <conditionalFormatting sqref="H86:H1048576">
    <cfRule type="cellIs" dxfId="1149" priority="3374" operator="lessThan">
      <formula>0</formula>
    </cfRule>
  </conditionalFormatting>
  <conditionalFormatting sqref="H86:H1048576">
    <cfRule type="cellIs" dxfId="1148" priority="3373" operator="lessThan">
      <formula>0</formula>
    </cfRule>
  </conditionalFormatting>
  <conditionalFormatting sqref="H86:H1048576">
    <cfRule type="cellIs" dxfId="1147" priority="3372" operator="lessThan">
      <formula>0</formula>
    </cfRule>
  </conditionalFormatting>
  <conditionalFormatting sqref="H86:H1048576">
    <cfRule type="cellIs" dxfId="1146" priority="3371" operator="lessThan">
      <formula>0</formula>
    </cfRule>
  </conditionalFormatting>
  <conditionalFormatting sqref="H86:H1048576">
    <cfRule type="cellIs" dxfId="1145" priority="3370" operator="lessThan">
      <formula>0</formula>
    </cfRule>
  </conditionalFormatting>
  <conditionalFormatting sqref="H86:H1048576">
    <cfRule type="cellIs" dxfId="1144" priority="3369" operator="lessThan">
      <formula>0</formula>
    </cfRule>
  </conditionalFormatting>
  <conditionalFormatting sqref="H86:H1048576">
    <cfRule type="cellIs" dxfId="1143" priority="3368" operator="lessThan">
      <formula>0</formula>
    </cfRule>
  </conditionalFormatting>
  <conditionalFormatting sqref="H86:H1048576">
    <cfRule type="cellIs" dxfId="1142" priority="3367" operator="lessThan">
      <formula>0</formula>
    </cfRule>
  </conditionalFormatting>
  <conditionalFormatting sqref="H86:H1048576">
    <cfRule type="cellIs" dxfId="1141" priority="3366" operator="lessThan">
      <formula>0</formula>
    </cfRule>
  </conditionalFormatting>
  <conditionalFormatting sqref="H86:H1048576">
    <cfRule type="cellIs" dxfId="1140" priority="3365" operator="lessThan">
      <formula>0</formula>
    </cfRule>
  </conditionalFormatting>
  <conditionalFormatting sqref="H86:H1048576">
    <cfRule type="cellIs" dxfId="1139" priority="3364" operator="lessThan">
      <formula>0</formula>
    </cfRule>
  </conditionalFormatting>
  <conditionalFormatting sqref="H86:H1048576">
    <cfRule type="cellIs" dxfId="1138" priority="3363" operator="lessThan">
      <formula>0</formula>
    </cfRule>
  </conditionalFormatting>
  <conditionalFormatting sqref="H86:H1048576">
    <cfRule type="cellIs" dxfId="1137" priority="3362" operator="lessThan">
      <formula>0</formula>
    </cfRule>
  </conditionalFormatting>
  <conditionalFormatting sqref="H86:H1048576">
    <cfRule type="cellIs" dxfId="1136" priority="3361" operator="lessThan">
      <formula>0</formula>
    </cfRule>
  </conditionalFormatting>
  <conditionalFormatting sqref="H86:H1048576">
    <cfRule type="cellIs" dxfId="1135" priority="3360" operator="lessThan">
      <formula>0</formula>
    </cfRule>
  </conditionalFormatting>
  <conditionalFormatting sqref="H86:H1048576">
    <cfRule type="cellIs" dxfId="1134" priority="3359" operator="lessThan">
      <formula>0</formula>
    </cfRule>
  </conditionalFormatting>
  <conditionalFormatting sqref="H86:H1048576">
    <cfRule type="cellIs" dxfId="1133" priority="3358" operator="lessThan">
      <formula>0</formula>
    </cfRule>
  </conditionalFormatting>
  <conditionalFormatting sqref="H86:H1048576">
    <cfRule type="cellIs" dxfId="1132" priority="3357" operator="lessThan">
      <formula>0</formula>
    </cfRule>
  </conditionalFormatting>
  <conditionalFormatting sqref="H86:H1048576">
    <cfRule type="cellIs" dxfId="1131" priority="3356" operator="lessThan">
      <formula>0</formula>
    </cfRule>
  </conditionalFormatting>
  <conditionalFormatting sqref="H86:H1048576">
    <cfRule type="cellIs" dxfId="1130" priority="3355" operator="lessThan">
      <formula>0</formula>
    </cfRule>
  </conditionalFormatting>
  <conditionalFormatting sqref="H86:H1048576">
    <cfRule type="cellIs" dxfId="1129" priority="3354" operator="lessThan">
      <formula>0</formula>
    </cfRule>
  </conditionalFormatting>
  <conditionalFormatting sqref="H86:H1048576">
    <cfRule type="cellIs" dxfId="1128" priority="3353" operator="lessThan">
      <formula>0</formula>
    </cfRule>
  </conditionalFormatting>
  <conditionalFormatting sqref="H86:H1048576">
    <cfRule type="cellIs" dxfId="1127" priority="3352" operator="lessThan">
      <formula>0</formula>
    </cfRule>
  </conditionalFormatting>
  <conditionalFormatting sqref="H86:H1048576">
    <cfRule type="cellIs" dxfId="1126" priority="3351" operator="lessThan">
      <formula>0</formula>
    </cfRule>
  </conditionalFormatting>
  <conditionalFormatting sqref="H86:H1048576">
    <cfRule type="cellIs" dxfId="1125" priority="3350" operator="lessThan">
      <formula>0</formula>
    </cfRule>
  </conditionalFormatting>
  <conditionalFormatting sqref="H86:H1048576">
    <cfRule type="cellIs" dxfId="1124" priority="3349" operator="lessThan">
      <formula>0</formula>
    </cfRule>
  </conditionalFormatting>
  <conditionalFormatting sqref="H86:H1048576">
    <cfRule type="cellIs" dxfId="1123" priority="3348" operator="lessThan">
      <formula>0</formula>
    </cfRule>
  </conditionalFormatting>
  <conditionalFormatting sqref="H86:H1048576">
    <cfRule type="cellIs" dxfId="1122" priority="3347" operator="lessThan">
      <formula>0</formula>
    </cfRule>
  </conditionalFormatting>
  <conditionalFormatting sqref="H86:H1048576">
    <cfRule type="cellIs" dxfId="1121" priority="3346" operator="lessThan">
      <formula>0</formula>
    </cfRule>
  </conditionalFormatting>
  <conditionalFormatting sqref="H86:H1048576">
    <cfRule type="cellIs" dxfId="1120" priority="3345" operator="lessThan">
      <formula>0</formula>
    </cfRule>
  </conditionalFormatting>
  <conditionalFormatting sqref="H86:H1048576">
    <cfRule type="cellIs" dxfId="1119" priority="3344" operator="lessThan">
      <formula>0</formula>
    </cfRule>
  </conditionalFormatting>
  <conditionalFormatting sqref="H86:H1048576">
    <cfRule type="cellIs" dxfId="1118" priority="3343" operator="lessThan">
      <formula>0</formula>
    </cfRule>
  </conditionalFormatting>
  <conditionalFormatting sqref="H86:H1048576">
    <cfRule type="cellIs" dxfId="1117" priority="3342" operator="lessThan">
      <formula>0</formula>
    </cfRule>
  </conditionalFormatting>
  <conditionalFormatting sqref="H86:H1048576">
    <cfRule type="cellIs" dxfId="1116" priority="3341" operator="lessThan">
      <formula>0</formula>
    </cfRule>
  </conditionalFormatting>
  <conditionalFormatting sqref="H86:H1048576">
    <cfRule type="cellIs" dxfId="1115" priority="3340" operator="lessThan">
      <formula>0</formula>
    </cfRule>
  </conditionalFormatting>
  <conditionalFormatting sqref="H86:H1048576">
    <cfRule type="cellIs" dxfId="1114" priority="3339" operator="lessThan">
      <formula>0</formula>
    </cfRule>
  </conditionalFormatting>
  <conditionalFormatting sqref="H86:H1048576">
    <cfRule type="cellIs" dxfId="1113" priority="3338" operator="lessThan">
      <formula>0</formula>
    </cfRule>
  </conditionalFormatting>
  <conditionalFormatting sqref="H86:H1048576">
    <cfRule type="cellIs" dxfId="1112" priority="3337" operator="lessThan">
      <formula>0</formula>
    </cfRule>
  </conditionalFormatting>
  <conditionalFormatting sqref="H86:H1048576">
    <cfRule type="cellIs" dxfId="1111" priority="3336" operator="lessThan">
      <formula>0</formula>
    </cfRule>
  </conditionalFormatting>
  <conditionalFormatting sqref="H86:H1048576">
    <cfRule type="cellIs" dxfId="1110" priority="3335" operator="lessThan">
      <formula>0</formula>
    </cfRule>
  </conditionalFormatting>
  <conditionalFormatting sqref="H86:H1048576">
    <cfRule type="cellIs" dxfId="1109" priority="3334" operator="lessThan">
      <formula>0</formula>
    </cfRule>
  </conditionalFormatting>
  <conditionalFormatting sqref="H86:H1048576">
    <cfRule type="cellIs" dxfId="1108" priority="3333" operator="lessThan">
      <formula>0</formula>
    </cfRule>
  </conditionalFormatting>
  <conditionalFormatting sqref="H86:H1048576">
    <cfRule type="cellIs" dxfId="1107" priority="3332" operator="lessThan">
      <formula>0</formula>
    </cfRule>
  </conditionalFormatting>
  <conditionalFormatting sqref="H86:H1048576">
    <cfRule type="cellIs" dxfId="1106" priority="3331" operator="lessThan">
      <formula>0</formula>
    </cfRule>
  </conditionalFormatting>
  <conditionalFormatting sqref="H86:H1048576">
    <cfRule type="cellIs" dxfId="1105" priority="3330" operator="lessThan">
      <formula>0</formula>
    </cfRule>
  </conditionalFormatting>
  <conditionalFormatting sqref="H86:H1048576">
    <cfRule type="cellIs" dxfId="1104" priority="3329" operator="lessThan">
      <formula>0</formula>
    </cfRule>
  </conditionalFormatting>
  <conditionalFormatting sqref="H86:H1048576">
    <cfRule type="cellIs" dxfId="1103" priority="3328" operator="lessThan">
      <formula>0</formula>
    </cfRule>
  </conditionalFormatting>
  <conditionalFormatting sqref="H86:H1048576">
    <cfRule type="cellIs" dxfId="1102" priority="3327" operator="lessThan">
      <formula>0</formula>
    </cfRule>
  </conditionalFormatting>
  <conditionalFormatting sqref="H86:H1048576">
    <cfRule type="cellIs" dxfId="1101" priority="3326" operator="lessThan">
      <formula>0</formula>
    </cfRule>
  </conditionalFormatting>
  <conditionalFormatting sqref="H86:H1048576">
    <cfRule type="cellIs" dxfId="1100" priority="3325" operator="lessThan">
      <formula>0</formula>
    </cfRule>
  </conditionalFormatting>
  <conditionalFormatting sqref="H86:H1048576">
    <cfRule type="cellIs" dxfId="1099" priority="3324" operator="lessThan">
      <formula>0</formula>
    </cfRule>
  </conditionalFormatting>
  <conditionalFormatting sqref="H86:H1048576">
    <cfRule type="cellIs" dxfId="1098" priority="3323" operator="lessThan">
      <formula>0</formula>
    </cfRule>
  </conditionalFormatting>
  <conditionalFormatting sqref="H86:H1048576">
    <cfRule type="cellIs" dxfId="1097" priority="3322" operator="lessThan">
      <formula>0</formula>
    </cfRule>
  </conditionalFormatting>
  <conditionalFormatting sqref="H86:H1048576">
    <cfRule type="cellIs" dxfId="1096" priority="3321" operator="lessThan">
      <formula>0</formula>
    </cfRule>
  </conditionalFormatting>
  <conditionalFormatting sqref="H86:H1048576">
    <cfRule type="cellIs" dxfId="1095" priority="3320" operator="lessThan">
      <formula>0</formula>
    </cfRule>
  </conditionalFormatting>
  <conditionalFormatting sqref="H86:H1048576">
    <cfRule type="cellIs" dxfId="1094" priority="3319" operator="lessThan">
      <formula>0</formula>
    </cfRule>
  </conditionalFormatting>
  <conditionalFormatting sqref="H86:H1048576">
    <cfRule type="cellIs" dxfId="1093" priority="3318" operator="lessThan">
      <formula>0</formula>
    </cfRule>
  </conditionalFormatting>
  <conditionalFormatting sqref="H86:H1048576">
    <cfRule type="cellIs" dxfId="1092" priority="3317" operator="lessThan">
      <formula>0</formula>
    </cfRule>
  </conditionalFormatting>
  <conditionalFormatting sqref="H86:H1048576">
    <cfRule type="cellIs" dxfId="1091" priority="3316" operator="lessThan">
      <formula>0</formula>
    </cfRule>
  </conditionalFormatting>
  <conditionalFormatting sqref="H86:H1048576">
    <cfRule type="cellIs" dxfId="1090" priority="3315" operator="lessThan">
      <formula>0</formula>
    </cfRule>
  </conditionalFormatting>
  <conditionalFormatting sqref="H86:H1048576">
    <cfRule type="cellIs" dxfId="1089" priority="3314" operator="lessThan">
      <formula>0</formula>
    </cfRule>
  </conditionalFormatting>
  <conditionalFormatting sqref="H86:H1048576">
    <cfRule type="cellIs" dxfId="1088" priority="3313" operator="lessThan">
      <formula>0</formula>
    </cfRule>
  </conditionalFormatting>
  <conditionalFormatting sqref="H86:H1048576">
    <cfRule type="cellIs" dxfId="1087" priority="3312" operator="lessThan">
      <formula>0</formula>
    </cfRule>
  </conditionalFormatting>
  <conditionalFormatting sqref="H86:H1048576">
    <cfRule type="cellIs" dxfId="1086" priority="3311" operator="lessThan">
      <formula>0</formula>
    </cfRule>
  </conditionalFormatting>
  <conditionalFormatting sqref="H86:H1048576">
    <cfRule type="cellIs" dxfId="1085" priority="3310" operator="lessThan">
      <formula>0</formula>
    </cfRule>
  </conditionalFormatting>
  <conditionalFormatting sqref="H86:H1048576">
    <cfRule type="cellIs" dxfId="1084" priority="3309" operator="lessThan">
      <formula>0</formula>
    </cfRule>
  </conditionalFormatting>
  <conditionalFormatting sqref="H86:H1048576">
    <cfRule type="cellIs" dxfId="1083" priority="3308" operator="lessThan">
      <formula>0</formula>
    </cfRule>
  </conditionalFormatting>
  <conditionalFormatting sqref="H86:H1048576">
    <cfRule type="cellIs" dxfId="1082" priority="3307" operator="lessThan">
      <formula>0</formula>
    </cfRule>
  </conditionalFormatting>
  <conditionalFormatting sqref="H86:H1048576">
    <cfRule type="cellIs" dxfId="1081" priority="3306" operator="lessThan">
      <formula>0</formula>
    </cfRule>
  </conditionalFormatting>
  <conditionalFormatting sqref="H86:H1048576">
    <cfRule type="cellIs" dxfId="1080" priority="3305" operator="lessThan">
      <formula>0</formula>
    </cfRule>
  </conditionalFormatting>
  <conditionalFormatting sqref="H86:H1048576">
    <cfRule type="cellIs" dxfId="1079" priority="3304" operator="lessThan">
      <formula>0</formula>
    </cfRule>
  </conditionalFormatting>
  <conditionalFormatting sqref="H86:H1048576">
    <cfRule type="cellIs" dxfId="1078" priority="3303" operator="lessThan">
      <formula>0</formula>
    </cfRule>
  </conditionalFormatting>
  <conditionalFormatting sqref="H86:H1048576">
    <cfRule type="cellIs" dxfId="1077" priority="3302" operator="lessThan">
      <formula>0</formula>
    </cfRule>
  </conditionalFormatting>
  <conditionalFormatting sqref="H86:H1048576">
    <cfRule type="cellIs" dxfId="1076" priority="3301" operator="lessThan">
      <formula>0</formula>
    </cfRule>
  </conditionalFormatting>
  <conditionalFormatting sqref="H86:H1048576">
    <cfRule type="cellIs" dxfId="1075" priority="3300" operator="lessThan">
      <formula>0</formula>
    </cfRule>
  </conditionalFormatting>
  <conditionalFormatting sqref="H86:H1048576">
    <cfRule type="cellIs" dxfId="1074" priority="3299" operator="lessThan">
      <formula>0</formula>
    </cfRule>
  </conditionalFormatting>
  <conditionalFormatting sqref="H86:H1048576">
    <cfRule type="cellIs" dxfId="1073" priority="3298" operator="lessThan">
      <formula>0</formula>
    </cfRule>
  </conditionalFormatting>
  <conditionalFormatting sqref="H86:H1048576">
    <cfRule type="cellIs" dxfId="1072" priority="3297" operator="lessThan">
      <formula>0</formula>
    </cfRule>
  </conditionalFormatting>
  <conditionalFormatting sqref="H86:H1048576">
    <cfRule type="cellIs" dxfId="1071" priority="3296" operator="lessThan">
      <formula>0</formula>
    </cfRule>
  </conditionalFormatting>
  <conditionalFormatting sqref="H86:H1048576">
    <cfRule type="cellIs" dxfId="1070" priority="3295" operator="lessThan">
      <formula>0</formula>
    </cfRule>
  </conditionalFormatting>
  <conditionalFormatting sqref="H86:H1048576">
    <cfRule type="cellIs" dxfId="1069" priority="3294" operator="lessThan">
      <formula>0</formula>
    </cfRule>
  </conditionalFormatting>
  <conditionalFormatting sqref="H86:H1048576">
    <cfRule type="cellIs" dxfId="1068" priority="3293" operator="lessThan">
      <formula>0</formula>
    </cfRule>
  </conditionalFormatting>
  <conditionalFormatting sqref="H86:H1048576">
    <cfRule type="cellIs" dxfId="1067" priority="3292" operator="lessThan">
      <formula>0</formula>
    </cfRule>
  </conditionalFormatting>
  <conditionalFormatting sqref="H86:H1048576">
    <cfRule type="cellIs" dxfId="1066" priority="3291" operator="lessThan">
      <formula>0</formula>
    </cfRule>
  </conditionalFormatting>
  <conditionalFormatting sqref="H86:H1048576">
    <cfRule type="cellIs" dxfId="1065" priority="3290" operator="lessThan">
      <formula>0</formula>
    </cfRule>
  </conditionalFormatting>
  <conditionalFormatting sqref="H86:H1048576">
    <cfRule type="cellIs" dxfId="1064" priority="3289" operator="lessThan">
      <formula>0</formula>
    </cfRule>
  </conditionalFormatting>
  <conditionalFormatting sqref="H86:H1048576">
    <cfRule type="cellIs" dxfId="1063" priority="3288" operator="lessThan">
      <formula>0</formula>
    </cfRule>
  </conditionalFormatting>
  <conditionalFormatting sqref="H86:H1048576">
    <cfRule type="cellIs" dxfId="1062" priority="3287" operator="lessThan">
      <formula>0</formula>
    </cfRule>
  </conditionalFormatting>
  <conditionalFormatting sqref="H86:H1048576">
    <cfRule type="cellIs" dxfId="1061" priority="3286" operator="lessThan">
      <formula>0</formula>
    </cfRule>
  </conditionalFormatting>
  <conditionalFormatting sqref="H86:H1048576">
    <cfRule type="cellIs" dxfId="1060" priority="3285" operator="lessThan">
      <formula>0</formula>
    </cfRule>
  </conditionalFormatting>
  <conditionalFormatting sqref="H86:H1048576">
    <cfRule type="cellIs" dxfId="1059" priority="3284" operator="lessThan">
      <formula>0</formula>
    </cfRule>
  </conditionalFormatting>
  <conditionalFormatting sqref="H86:H1048576">
    <cfRule type="cellIs" dxfId="1058" priority="3283" operator="lessThan">
      <formula>0</formula>
    </cfRule>
  </conditionalFormatting>
  <conditionalFormatting sqref="H86:H1048576">
    <cfRule type="cellIs" dxfId="1057" priority="3282" operator="lessThan">
      <formula>0</formula>
    </cfRule>
  </conditionalFormatting>
  <conditionalFormatting sqref="H86:H1048576">
    <cfRule type="cellIs" dxfId="1056" priority="3281" operator="lessThan">
      <formula>0</formula>
    </cfRule>
  </conditionalFormatting>
  <conditionalFormatting sqref="H86:H1048576">
    <cfRule type="cellIs" dxfId="1055" priority="3280" operator="lessThan">
      <formula>0</formula>
    </cfRule>
  </conditionalFormatting>
  <conditionalFormatting sqref="H86:H1048576">
    <cfRule type="cellIs" dxfId="1054" priority="3279" operator="lessThan">
      <formula>0</formula>
    </cfRule>
  </conditionalFormatting>
  <conditionalFormatting sqref="H86:H1048576">
    <cfRule type="cellIs" dxfId="1053" priority="3278" operator="lessThan">
      <formula>0</formula>
    </cfRule>
  </conditionalFormatting>
  <conditionalFormatting sqref="H86:H1048576">
    <cfRule type="cellIs" dxfId="1052" priority="3277" operator="lessThan">
      <formula>0</formula>
    </cfRule>
  </conditionalFormatting>
  <conditionalFormatting sqref="H86:H1048576">
    <cfRule type="cellIs" dxfId="1051" priority="3276" operator="lessThan">
      <formula>0</formula>
    </cfRule>
  </conditionalFormatting>
  <conditionalFormatting sqref="H86:H1048576">
    <cfRule type="cellIs" dxfId="1050" priority="3275" operator="lessThan">
      <formula>0</formula>
    </cfRule>
  </conditionalFormatting>
  <conditionalFormatting sqref="H86:H1048576">
    <cfRule type="cellIs" dxfId="1049" priority="3274" operator="lessThan">
      <formula>0</formula>
    </cfRule>
  </conditionalFormatting>
  <conditionalFormatting sqref="H86:H1048576">
    <cfRule type="cellIs" dxfId="1048" priority="3273" operator="lessThan">
      <formula>0</formula>
    </cfRule>
  </conditionalFormatting>
  <conditionalFormatting sqref="H86:H1048576">
    <cfRule type="cellIs" dxfId="1047" priority="3272" operator="lessThan">
      <formula>0</formula>
    </cfRule>
  </conditionalFormatting>
  <conditionalFormatting sqref="H86:H1048576">
    <cfRule type="cellIs" dxfId="1046" priority="3271" operator="lessThan">
      <formula>0</formula>
    </cfRule>
  </conditionalFormatting>
  <conditionalFormatting sqref="H86:H1048576">
    <cfRule type="cellIs" dxfId="1045" priority="3270" operator="lessThan">
      <formula>0</formula>
    </cfRule>
  </conditionalFormatting>
  <conditionalFormatting sqref="H86:H1048576">
    <cfRule type="cellIs" dxfId="1044" priority="3269" operator="lessThan">
      <formula>0</formula>
    </cfRule>
  </conditionalFormatting>
  <conditionalFormatting sqref="H86:H1048576">
    <cfRule type="cellIs" dxfId="1043" priority="3268" operator="lessThan">
      <formula>0</formula>
    </cfRule>
  </conditionalFormatting>
  <conditionalFormatting sqref="H86:H1048576">
    <cfRule type="cellIs" dxfId="1042" priority="3267" operator="lessThan">
      <formula>0</formula>
    </cfRule>
  </conditionalFormatting>
  <conditionalFormatting sqref="H86:H1048576">
    <cfRule type="cellIs" dxfId="1041" priority="3266" operator="lessThan">
      <formula>0</formula>
    </cfRule>
  </conditionalFormatting>
  <conditionalFormatting sqref="H86:H1048576">
    <cfRule type="cellIs" dxfId="1040" priority="3265" operator="lessThan">
      <formula>0</formula>
    </cfRule>
  </conditionalFormatting>
  <conditionalFormatting sqref="H86:H1048576">
    <cfRule type="cellIs" dxfId="1039" priority="3264" operator="lessThan">
      <formula>0</formula>
    </cfRule>
  </conditionalFormatting>
  <conditionalFormatting sqref="H86:H1048576">
    <cfRule type="cellIs" dxfId="1038" priority="3263" operator="lessThan">
      <formula>0</formula>
    </cfRule>
  </conditionalFormatting>
  <conditionalFormatting sqref="H86:H1048576">
    <cfRule type="cellIs" dxfId="1037" priority="3262" operator="lessThan">
      <formula>0</formula>
    </cfRule>
  </conditionalFormatting>
  <conditionalFormatting sqref="H86:H1048576">
    <cfRule type="cellIs" dxfId="1036" priority="3261" operator="lessThan">
      <formula>0</formula>
    </cfRule>
  </conditionalFormatting>
  <conditionalFormatting sqref="H86:H1048576">
    <cfRule type="cellIs" dxfId="1035" priority="3260" operator="lessThan">
      <formula>0</formula>
    </cfRule>
  </conditionalFormatting>
  <conditionalFormatting sqref="H86:H1048576">
    <cfRule type="cellIs" dxfId="1034" priority="3259" operator="lessThan">
      <formula>0</formula>
    </cfRule>
  </conditionalFormatting>
  <conditionalFormatting sqref="H86:H1048576">
    <cfRule type="cellIs" dxfId="1033" priority="3258" operator="lessThan">
      <formula>0</formula>
    </cfRule>
  </conditionalFormatting>
  <conditionalFormatting sqref="H86:H1048576">
    <cfRule type="cellIs" dxfId="1032" priority="3257" operator="lessThan">
      <formula>0</formula>
    </cfRule>
  </conditionalFormatting>
  <conditionalFormatting sqref="H86:H1048576">
    <cfRule type="cellIs" dxfId="1031" priority="3256" operator="lessThan">
      <formula>0</formula>
    </cfRule>
  </conditionalFormatting>
  <conditionalFormatting sqref="H86:H1048576">
    <cfRule type="cellIs" dxfId="1030" priority="3255" operator="lessThan">
      <formula>0</formula>
    </cfRule>
  </conditionalFormatting>
  <conditionalFormatting sqref="H86:H1048576">
    <cfRule type="cellIs" dxfId="1029" priority="3254" operator="lessThan">
      <formula>0</formula>
    </cfRule>
  </conditionalFormatting>
  <conditionalFormatting sqref="H86:H1048576">
    <cfRule type="cellIs" dxfId="1028" priority="3253" operator="lessThan">
      <formula>0</formula>
    </cfRule>
  </conditionalFormatting>
  <conditionalFormatting sqref="H86:H1048576">
    <cfRule type="cellIs" dxfId="1027" priority="3252" operator="lessThan">
      <formula>0</formula>
    </cfRule>
  </conditionalFormatting>
  <conditionalFormatting sqref="H86:H1048576">
    <cfRule type="cellIs" dxfId="1026" priority="3251" operator="lessThan">
      <formula>0</formula>
    </cfRule>
  </conditionalFormatting>
  <conditionalFormatting sqref="H86:H1048576">
    <cfRule type="cellIs" dxfId="1025" priority="3250" operator="lessThan">
      <formula>0</formula>
    </cfRule>
  </conditionalFormatting>
  <conditionalFormatting sqref="H86:H1048576">
    <cfRule type="cellIs" dxfId="1024" priority="3249" operator="lessThan">
      <formula>0</formula>
    </cfRule>
  </conditionalFormatting>
  <conditionalFormatting sqref="H86:H1048576">
    <cfRule type="cellIs" dxfId="1023" priority="3248" operator="lessThan">
      <formula>0</formula>
    </cfRule>
  </conditionalFormatting>
  <conditionalFormatting sqref="H86:H1048576">
    <cfRule type="cellIs" dxfId="1022" priority="3247" operator="lessThan">
      <formula>0</formula>
    </cfRule>
  </conditionalFormatting>
  <conditionalFormatting sqref="H86:H1048576">
    <cfRule type="cellIs" dxfId="1021" priority="3246" operator="lessThan">
      <formula>0</formula>
    </cfRule>
  </conditionalFormatting>
  <conditionalFormatting sqref="H86:H1048576">
    <cfRule type="cellIs" dxfId="1020" priority="3245" operator="lessThan">
      <formula>0</formula>
    </cfRule>
  </conditionalFormatting>
  <conditionalFormatting sqref="H86:H1048576">
    <cfRule type="cellIs" dxfId="1019" priority="3244" operator="lessThan">
      <formula>0</formula>
    </cfRule>
  </conditionalFormatting>
  <conditionalFormatting sqref="H86:H1048576">
    <cfRule type="cellIs" dxfId="1018" priority="3243" operator="lessThan">
      <formula>0</formula>
    </cfRule>
  </conditionalFormatting>
  <conditionalFormatting sqref="H86:H1048576">
    <cfRule type="cellIs" dxfId="1017" priority="3242" operator="lessThan">
      <formula>0</formula>
    </cfRule>
  </conditionalFormatting>
  <conditionalFormatting sqref="H86:H1048576">
    <cfRule type="cellIs" dxfId="1016" priority="3241" operator="lessThan">
      <formula>0</formula>
    </cfRule>
  </conditionalFormatting>
  <conditionalFormatting sqref="H86:H1048576">
    <cfRule type="cellIs" dxfId="1015" priority="3240" operator="lessThan">
      <formula>0</formula>
    </cfRule>
  </conditionalFormatting>
  <conditionalFormatting sqref="H86:H1048576">
    <cfRule type="cellIs" dxfId="1014" priority="3239" operator="lessThan">
      <formula>0</formula>
    </cfRule>
  </conditionalFormatting>
  <conditionalFormatting sqref="H86:H1048576">
    <cfRule type="cellIs" dxfId="1013" priority="3238" operator="lessThan">
      <formula>0</formula>
    </cfRule>
  </conditionalFormatting>
  <conditionalFormatting sqref="H86:H1048576">
    <cfRule type="cellIs" dxfId="1012" priority="3237" operator="lessThan">
      <formula>0</formula>
    </cfRule>
  </conditionalFormatting>
  <conditionalFormatting sqref="H86:H1048576">
    <cfRule type="cellIs" dxfId="1011" priority="3236" operator="lessThan">
      <formula>0</formula>
    </cfRule>
  </conditionalFormatting>
  <conditionalFormatting sqref="H86:H1048576">
    <cfRule type="cellIs" dxfId="1010" priority="3235" operator="lessThan">
      <formula>0</formula>
    </cfRule>
  </conditionalFormatting>
  <conditionalFormatting sqref="H86:H1048576">
    <cfRule type="cellIs" dxfId="1009" priority="3234" operator="lessThan">
      <formula>0</formula>
    </cfRule>
  </conditionalFormatting>
  <conditionalFormatting sqref="H86:H1048576">
    <cfRule type="cellIs" dxfId="1008" priority="3233" operator="lessThan">
      <formula>0</formula>
    </cfRule>
  </conditionalFormatting>
  <conditionalFormatting sqref="H86:H1048576">
    <cfRule type="cellIs" dxfId="1007" priority="3232" operator="lessThan">
      <formula>0</formula>
    </cfRule>
  </conditionalFormatting>
  <conditionalFormatting sqref="H86:H1048576">
    <cfRule type="cellIs" dxfId="1006" priority="3231" operator="lessThan">
      <formula>0</formula>
    </cfRule>
  </conditionalFormatting>
  <conditionalFormatting sqref="H86:H1048576">
    <cfRule type="cellIs" dxfId="1005" priority="3230" operator="lessThan">
      <formula>0</formula>
    </cfRule>
  </conditionalFormatting>
  <conditionalFormatting sqref="H86:H1048576">
    <cfRule type="cellIs" dxfId="1004" priority="3229" operator="lessThan">
      <formula>0</formula>
    </cfRule>
  </conditionalFormatting>
  <conditionalFormatting sqref="H86:H1048576">
    <cfRule type="cellIs" dxfId="1003" priority="3228" operator="lessThan">
      <formula>0</formula>
    </cfRule>
  </conditionalFormatting>
  <conditionalFormatting sqref="H86:H1048576">
    <cfRule type="cellIs" dxfId="1002" priority="3227" operator="lessThan">
      <formula>0</formula>
    </cfRule>
  </conditionalFormatting>
  <conditionalFormatting sqref="H86:H1048576">
    <cfRule type="cellIs" dxfId="1001" priority="3226" operator="lessThan">
      <formula>0</formula>
    </cfRule>
  </conditionalFormatting>
  <conditionalFormatting sqref="H86:H1048576">
    <cfRule type="cellIs" dxfId="1000" priority="3225" operator="lessThan">
      <formula>0</formula>
    </cfRule>
  </conditionalFormatting>
  <conditionalFormatting sqref="H86:H1048576">
    <cfRule type="cellIs" dxfId="999" priority="3224" operator="lessThan">
      <formula>0</formula>
    </cfRule>
  </conditionalFormatting>
  <conditionalFormatting sqref="H86:H1048576">
    <cfRule type="cellIs" dxfId="998" priority="3223" operator="lessThan">
      <formula>0</formula>
    </cfRule>
  </conditionalFormatting>
  <conditionalFormatting sqref="H86:H1048576">
    <cfRule type="cellIs" dxfId="997" priority="3222" operator="lessThan">
      <formula>0</formula>
    </cfRule>
  </conditionalFormatting>
  <conditionalFormatting sqref="H86:H1048576">
    <cfRule type="cellIs" dxfId="996" priority="3221" operator="lessThan">
      <formula>0</formula>
    </cfRule>
  </conditionalFormatting>
  <conditionalFormatting sqref="H86:H1048576">
    <cfRule type="cellIs" dxfId="995" priority="3220" operator="lessThan">
      <formula>0</formula>
    </cfRule>
  </conditionalFormatting>
  <conditionalFormatting sqref="H86:H1048576">
    <cfRule type="cellIs" dxfId="994" priority="3219" operator="lessThan">
      <formula>0</formula>
    </cfRule>
  </conditionalFormatting>
  <conditionalFormatting sqref="H86:H1048576">
    <cfRule type="cellIs" dxfId="993" priority="3218" operator="lessThan">
      <formula>0</formula>
    </cfRule>
  </conditionalFormatting>
  <conditionalFormatting sqref="H86:H1048576">
    <cfRule type="cellIs" dxfId="992" priority="3217" operator="lessThan">
      <formula>0</formula>
    </cfRule>
  </conditionalFormatting>
  <conditionalFormatting sqref="H86:H1048576">
    <cfRule type="cellIs" dxfId="991" priority="3216" operator="lessThan">
      <formula>0</formula>
    </cfRule>
  </conditionalFormatting>
  <conditionalFormatting sqref="H86:H1048576">
    <cfRule type="cellIs" dxfId="990" priority="3215" operator="lessThan">
      <formula>0</formula>
    </cfRule>
  </conditionalFormatting>
  <conditionalFormatting sqref="H86:H1048576">
    <cfRule type="cellIs" dxfId="989" priority="3214" operator="lessThan">
      <formula>0</formula>
    </cfRule>
  </conditionalFormatting>
  <conditionalFormatting sqref="H86:H1048576">
    <cfRule type="cellIs" dxfId="988" priority="3213" operator="lessThan">
      <formula>0</formula>
    </cfRule>
  </conditionalFormatting>
  <conditionalFormatting sqref="H86:H1048576">
    <cfRule type="cellIs" dxfId="987" priority="3212" operator="lessThan">
      <formula>0</formula>
    </cfRule>
  </conditionalFormatting>
  <conditionalFormatting sqref="H86:H1048576">
    <cfRule type="cellIs" dxfId="986" priority="3211" operator="lessThan">
      <formula>0</formula>
    </cfRule>
  </conditionalFormatting>
  <conditionalFormatting sqref="H86:H1048576">
    <cfRule type="cellIs" dxfId="985" priority="3210" operator="lessThan">
      <formula>0</formula>
    </cfRule>
  </conditionalFormatting>
  <conditionalFormatting sqref="H86:H1048576">
    <cfRule type="cellIs" dxfId="984" priority="3209" operator="lessThan">
      <formula>0</formula>
    </cfRule>
  </conditionalFormatting>
  <conditionalFormatting sqref="H86:H1048576">
    <cfRule type="cellIs" dxfId="983" priority="3208" operator="lessThan">
      <formula>0</formula>
    </cfRule>
  </conditionalFormatting>
  <conditionalFormatting sqref="H86:H1048576">
    <cfRule type="cellIs" dxfId="982" priority="3207" operator="lessThan">
      <formula>0</formula>
    </cfRule>
  </conditionalFormatting>
  <conditionalFormatting sqref="H86:H1048576">
    <cfRule type="cellIs" dxfId="981" priority="3206" operator="lessThan">
      <formula>0</formula>
    </cfRule>
  </conditionalFormatting>
  <conditionalFormatting sqref="H86:H1048576">
    <cfRule type="cellIs" dxfId="980" priority="3205" operator="lessThan">
      <formula>0</formula>
    </cfRule>
  </conditionalFormatting>
  <conditionalFormatting sqref="H86:H1048576">
    <cfRule type="cellIs" dxfId="979" priority="3204" operator="lessThan">
      <formula>0</formula>
    </cfRule>
  </conditionalFormatting>
  <conditionalFormatting sqref="H86:H1048576">
    <cfRule type="cellIs" dxfId="978" priority="3203" operator="lessThan">
      <formula>0</formula>
    </cfRule>
  </conditionalFormatting>
  <conditionalFormatting sqref="H86:H1048576">
    <cfRule type="cellIs" dxfId="977" priority="3202" operator="lessThan">
      <formula>0</formula>
    </cfRule>
  </conditionalFormatting>
  <conditionalFormatting sqref="H86:H1048576">
    <cfRule type="cellIs" dxfId="976" priority="3201" operator="lessThan">
      <formula>0</formula>
    </cfRule>
  </conditionalFormatting>
  <conditionalFormatting sqref="H86:H1048576">
    <cfRule type="cellIs" dxfId="975" priority="3200" operator="lessThan">
      <formula>0</formula>
    </cfRule>
  </conditionalFormatting>
  <conditionalFormatting sqref="H86:H1048576">
    <cfRule type="cellIs" dxfId="974" priority="3199" operator="lessThan">
      <formula>0</formula>
    </cfRule>
  </conditionalFormatting>
  <conditionalFormatting sqref="H86:H1048576">
    <cfRule type="cellIs" dxfId="973" priority="3198" operator="lessThan">
      <formula>0</formula>
    </cfRule>
  </conditionalFormatting>
  <conditionalFormatting sqref="H86:H1048576">
    <cfRule type="cellIs" dxfId="972" priority="3197" operator="lessThan">
      <formula>0</formula>
    </cfRule>
  </conditionalFormatting>
  <conditionalFormatting sqref="H86:H1048576">
    <cfRule type="cellIs" dxfId="971" priority="3196" operator="lessThan">
      <formula>0</formula>
    </cfRule>
  </conditionalFormatting>
  <conditionalFormatting sqref="H86:H1048576">
    <cfRule type="cellIs" dxfId="970" priority="3195" operator="lessThan">
      <formula>0</formula>
    </cfRule>
  </conditionalFormatting>
  <conditionalFormatting sqref="H86:H1048576">
    <cfRule type="cellIs" dxfId="969" priority="3194" operator="lessThan">
      <formula>0</formula>
    </cfRule>
  </conditionalFormatting>
  <conditionalFormatting sqref="H86:H1048576">
    <cfRule type="cellIs" dxfId="968" priority="3193" operator="lessThan">
      <formula>0</formula>
    </cfRule>
  </conditionalFormatting>
  <conditionalFormatting sqref="H86:H1048576">
    <cfRule type="cellIs" dxfId="967" priority="3192" operator="lessThan">
      <formula>0</formula>
    </cfRule>
  </conditionalFormatting>
  <conditionalFormatting sqref="H86:H1048576">
    <cfRule type="cellIs" dxfId="966" priority="3191" operator="lessThan">
      <formula>0</formula>
    </cfRule>
  </conditionalFormatting>
  <conditionalFormatting sqref="H86:H1048576">
    <cfRule type="cellIs" dxfId="965" priority="3190" operator="lessThan">
      <formula>0</formula>
    </cfRule>
  </conditionalFormatting>
  <conditionalFormatting sqref="H86:H1048576">
    <cfRule type="cellIs" dxfId="964" priority="3189" operator="lessThan">
      <formula>0</formula>
    </cfRule>
  </conditionalFormatting>
  <conditionalFormatting sqref="H10:H1048576">
    <cfRule type="cellIs" dxfId="963" priority="3188" operator="lessThan">
      <formula>0</formula>
    </cfRule>
  </conditionalFormatting>
  <conditionalFormatting sqref="H10:H1048576">
    <cfRule type="cellIs" dxfId="962" priority="3187" operator="lessThan">
      <formula>0</formula>
    </cfRule>
  </conditionalFormatting>
  <conditionalFormatting sqref="H10:H1048576">
    <cfRule type="cellIs" dxfId="961" priority="3186" operator="lessThan">
      <formula>0</formula>
    </cfRule>
  </conditionalFormatting>
  <conditionalFormatting sqref="H10:H1048576">
    <cfRule type="cellIs" dxfId="960" priority="3185" operator="lessThan">
      <formula>0</formula>
    </cfRule>
  </conditionalFormatting>
  <conditionalFormatting sqref="H10:H1048576">
    <cfRule type="cellIs" dxfId="959" priority="3184" operator="lessThan">
      <formula>0</formula>
    </cfRule>
  </conditionalFormatting>
  <conditionalFormatting sqref="H10:H1048576">
    <cfRule type="cellIs" dxfId="958" priority="3183" operator="lessThan">
      <formula>0</formula>
    </cfRule>
  </conditionalFormatting>
  <conditionalFormatting sqref="H10:H1048576">
    <cfRule type="cellIs" dxfId="957" priority="3182" operator="lessThan">
      <formula>0</formula>
    </cfRule>
  </conditionalFormatting>
  <conditionalFormatting sqref="H10:H1048576">
    <cfRule type="cellIs" dxfId="956" priority="3181" operator="lessThan">
      <formula>0</formula>
    </cfRule>
  </conditionalFormatting>
  <conditionalFormatting sqref="H10:H1048576">
    <cfRule type="cellIs" dxfId="955" priority="3180" operator="lessThan">
      <formula>0</formula>
    </cfRule>
  </conditionalFormatting>
  <conditionalFormatting sqref="H10:H1048576">
    <cfRule type="cellIs" dxfId="954" priority="3179" operator="lessThan">
      <formula>0</formula>
    </cfRule>
  </conditionalFormatting>
  <conditionalFormatting sqref="H10:H1048576">
    <cfRule type="cellIs" dxfId="953" priority="3178" operator="lessThan">
      <formula>0</formula>
    </cfRule>
  </conditionalFormatting>
  <conditionalFormatting sqref="H10:H1048576">
    <cfRule type="cellIs" dxfId="952" priority="3177" operator="lessThan">
      <formula>0</formula>
    </cfRule>
  </conditionalFormatting>
  <conditionalFormatting sqref="H10:H1048576">
    <cfRule type="cellIs" dxfId="951" priority="3176" operator="lessThan">
      <formula>0</formula>
    </cfRule>
  </conditionalFormatting>
  <conditionalFormatting sqref="H10:H1048576">
    <cfRule type="cellIs" dxfId="950" priority="3175" operator="lessThan">
      <formula>0</formula>
    </cfRule>
  </conditionalFormatting>
  <conditionalFormatting sqref="H10:H1048576">
    <cfRule type="cellIs" dxfId="949" priority="3174" operator="lessThan">
      <formula>0</formula>
    </cfRule>
  </conditionalFormatting>
  <conditionalFormatting sqref="H10:H1048576">
    <cfRule type="cellIs" dxfId="948" priority="3173" operator="lessThan">
      <formula>0</formula>
    </cfRule>
  </conditionalFormatting>
  <conditionalFormatting sqref="H10:H1048576">
    <cfRule type="cellIs" dxfId="947" priority="3172" operator="lessThan">
      <formula>0</formula>
    </cfRule>
  </conditionalFormatting>
  <conditionalFormatting sqref="H10:H1048576">
    <cfRule type="cellIs" dxfId="946" priority="3171" operator="lessThan">
      <formula>0</formula>
    </cfRule>
  </conditionalFormatting>
  <conditionalFormatting sqref="H10:H1048576">
    <cfRule type="cellIs" dxfId="945" priority="3170" operator="lessThan">
      <formula>0</formula>
    </cfRule>
  </conditionalFormatting>
  <conditionalFormatting sqref="H10:H1048576">
    <cfRule type="cellIs" dxfId="944" priority="3169" operator="lessThan">
      <formula>0</formula>
    </cfRule>
  </conditionalFormatting>
  <conditionalFormatting sqref="H10:H1048576">
    <cfRule type="cellIs" dxfId="943" priority="3168" operator="lessThan">
      <formula>0</formula>
    </cfRule>
  </conditionalFormatting>
  <conditionalFormatting sqref="H10:H1048576">
    <cfRule type="cellIs" dxfId="942" priority="3167" operator="lessThan">
      <formula>0</formula>
    </cfRule>
  </conditionalFormatting>
  <conditionalFormatting sqref="H10:H1048576">
    <cfRule type="cellIs" dxfId="941" priority="3166" operator="lessThan">
      <formula>0</formula>
    </cfRule>
  </conditionalFormatting>
  <conditionalFormatting sqref="H10:H1048576">
    <cfRule type="cellIs" dxfId="940" priority="3165" operator="lessThan">
      <formula>0</formula>
    </cfRule>
  </conditionalFormatting>
  <conditionalFormatting sqref="H10:H1048576">
    <cfRule type="cellIs" dxfId="939" priority="3164" operator="lessThan">
      <formula>0</formula>
    </cfRule>
  </conditionalFormatting>
  <conditionalFormatting sqref="H10:H1048576">
    <cfRule type="cellIs" dxfId="938" priority="3163" operator="lessThan">
      <formula>0</formula>
    </cfRule>
  </conditionalFormatting>
  <conditionalFormatting sqref="H10:H1048576">
    <cfRule type="cellIs" dxfId="937" priority="3162" operator="lessThan">
      <formula>0</formula>
    </cfRule>
  </conditionalFormatting>
  <conditionalFormatting sqref="H10:H1048576">
    <cfRule type="cellIs" dxfId="936" priority="3161" operator="lessThan">
      <formula>0</formula>
    </cfRule>
  </conditionalFormatting>
  <conditionalFormatting sqref="H10:H1048576">
    <cfRule type="cellIs" dxfId="935" priority="3160" operator="lessThan">
      <formula>0</formula>
    </cfRule>
  </conditionalFormatting>
  <conditionalFormatting sqref="H10:H1048576">
    <cfRule type="cellIs" dxfId="934" priority="3159" operator="lessThan">
      <formula>0</formula>
    </cfRule>
  </conditionalFormatting>
  <conditionalFormatting sqref="H10:H1048576">
    <cfRule type="cellIs" dxfId="933" priority="3158" operator="lessThan">
      <formula>0</formula>
    </cfRule>
  </conditionalFormatting>
  <conditionalFormatting sqref="H10:H1048576">
    <cfRule type="cellIs" dxfId="932" priority="3157" operator="lessThan">
      <formula>0</formula>
    </cfRule>
  </conditionalFormatting>
  <conditionalFormatting sqref="H10:H1048576">
    <cfRule type="cellIs" dxfId="931" priority="3156" operator="lessThan">
      <formula>0</formula>
    </cfRule>
  </conditionalFormatting>
  <conditionalFormatting sqref="H10:H1048576">
    <cfRule type="cellIs" dxfId="930" priority="3155" operator="lessThan">
      <formula>0</formula>
    </cfRule>
  </conditionalFormatting>
  <conditionalFormatting sqref="H10:H1048576">
    <cfRule type="cellIs" dxfId="929" priority="3154" operator="lessThan">
      <formula>0</formula>
    </cfRule>
  </conditionalFormatting>
  <conditionalFormatting sqref="H10:H1048576">
    <cfRule type="cellIs" dxfId="928" priority="3153" operator="lessThan">
      <formula>0</formula>
    </cfRule>
  </conditionalFormatting>
  <conditionalFormatting sqref="H10:H1048576">
    <cfRule type="cellIs" dxfId="927" priority="3152" operator="lessThan">
      <formula>0</formula>
    </cfRule>
  </conditionalFormatting>
  <conditionalFormatting sqref="H10:H1048576">
    <cfRule type="cellIs" dxfId="926" priority="3151" operator="lessThan">
      <formula>0</formula>
    </cfRule>
  </conditionalFormatting>
  <conditionalFormatting sqref="H10:H1048576">
    <cfRule type="cellIs" dxfId="925" priority="3150" operator="lessThan">
      <formula>0</formula>
    </cfRule>
  </conditionalFormatting>
  <conditionalFormatting sqref="H10:H1048576">
    <cfRule type="cellIs" dxfId="924" priority="3149" operator="lessThan">
      <formula>0</formula>
    </cfRule>
  </conditionalFormatting>
  <conditionalFormatting sqref="H10:H1048576">
    <cfRule type="cellIs" dxfId="923" priority="3148" operator="lessThan">
      <formula>0</formula>
    </cfRule>
  </conditionalFormatting>
  <conditionalFormatting sqref="H10:H1048576">
    <cfRule type="cellIs" dxfId="922" priority="3147" operator="lessThan">
      <formula>0</formula>
    </cfRule>
  </conditionalFormatting>
  <conditionalFormatting sqref="H10:H1048576">
    <cfRule type="cellIs" dxfId="921" priority="3146" operator="lessThan">
      <formula>0</formula>
    </cfRule>
  </conditionalFormatting>
  <conditionalFormatting sqref="H10:H1048576">
    <cfRule type="cellIs" dxfId="920" priority="3145" operator="lessThan">
      <formula>0</formula>
    </cfRule>
  </conditionalFormatting>
  <conditionalFormatting sqref="H10:H1048576">
    <cfRule type="cellIs" dxfId="919" priority="3144" operator="lessThan">
      <formula>0</formula>
    </cfRule>
  </conditionalFormatting>
  <conditionalFormatting sqref="H10:H1048576">
    <cfRule type="cellIs" dxfId="918" priority="3143" operator="lessThan">
      <formula>0</formula>
    </cfRule>
  </conditionalFormatting>
  <conditionalFormatting sqref="H10:H1048576">
    <cfRule type="cellIs" dxfId="917" priority="3142" operator="lessThan">
      <formula>0</formula>
    </cfRule>
  </conditionalFormatting>
  <conditionalFormatting sqref="H10:H1048576">
    <cfRule type="cellIs" dxfId="916" priority="3141" operator="lessThan">
      <formula>0</formula>
    </cfRule>
  </conditionalFormatting>
  <conditionalFormatting sqref="H10:H1048576">
    <cfRule type="cellIs" dxfId="915" priority="3140" operator="lessThan">
      <formula>0</formula>
    </cfRule>
  </conditionalFormatting>
  <conditionalFormatting sqref="H10:H1048576">
    <cfRule type="cellIs" dxfId="914" priority="3139" operator="lessThan">
      <formula>0</formula>
    </cfRule>
  </conditionalFormatting>
  <conditionalFormatting sqref="H10:H1048576">
    <cfRule type="cellIs" dxfId="913" priority="3138" operator="lessThan">
      <formula>0</formula>
    </cfRule>
  </conditionalFormatting>
  <conditionalFormatting sqref="H10:H1048576">
    <cfRule type="cellIs" dxfId="912" priority="3137" operator="lessThan">
      <formula>0</formula>
    </cfRule>
  </conditionalFormatting>
  <conditionalFormatting sqref="H10:H1048576">
    <cfRule type="cellIs" dxfId="911" priority="3136" operator="lessThan">
      <formula>0</formula>
    </cfRule>
  </conditionalFormatting>
  <conditionalFormatting sqref="H10:H1048576">
    <cfRule type="cellIs" dxfId="910" priority="3135" operator="lessThan">
      <formula>0</formula>
    </cfRule>
  </conditionalFormatting>
  <conditionalFormatting sqref="H10:H1048576">
    <cfRule type="cellIs" dxfId="909" priority="3134" operator="lessThan">
      <formula>0</formula>
    </cfRule>
  </conditionalFormatting>
  <conditionalFormatting sqref="H10:H1048576">
    <cfRule type="cellIs" dxfId="908" priority="3133" operator="lessThan">
      <formula>0</formula>
    </cfRule>
  </conditionalFormatting>
  <conditionalFormatting sqref="H10:H1048576">
    <cfRule type="cellIs" dxfId="907" priority="3132" operator="lessThan">
      <formula>0</formula>
    </cfRule>
  </conditionalFormatting>
  <conditionalFormatting sqref="H10:H1048576">
    <cfRule type="cellIs" dxfId="906" priority="3131" operator="lessThan">
      <formula>0</formula>
    </cfRule>
  </conditionalFormatting>
  <conditionalFormatting sqref="H10:H1048576">
    <cfRule type="cellIs" dxfId="905" priority="3130" operator="lessThan">
      <formula>0</formula>
    </cfRule>
  </conditionalFormatting>
  <conditionalFormatting sqref="H10:H1048576">
    <cfRule type="cellIs" dxfId="904" priority="3129" operator="lessThan">
      <formula>0</formula>
    </cfRule>
  </conditionalFormatting>
  <conditionalFormatting sqref="H10:H1048576">
    <cfRule type="cellIs" dxfId="903" priority="3128" operator="lessThan">
      <formula>0</formula>
    </cfRule>
  </conditionalFormatting>
  <conditionalFormatting sqref="H10:H1048576">
    <cfRule type="cellIs" dxfId="902" priority="3127" operator="lessThan">
      <formula>0</formula>
    </cfRule>
  </conditionalFormatting>
  <conditionalFormatting sqref="H10:H1048576">
    <cfRule type="cellIs" dxfId="901" priority="3126" operator="lessThan">
      <formula>0</formula>
    </cfRule>
  </conditionalFormatting>
  <conditionalFormatting sqref="H10:H1048576">
    <cfRule type="cellIs" dxfId="900" priority="3125" operator="lessThan">
      <formula>0</formula>
    </cfRule>
  </conditionalFormatting>
  <conditionalFormatting sqref="H10:H1048576">
    <cfRule type="cellIs" dxfId="899" priority="3124" operator="lessThan">
      <formula>0</formula>
    </cfRule>
  </conditionalFormatting>
  <conditionalFormatting sqref="H10:H1048576">
    <cfRule type="cellIs" dxfId="898" priority="3123" operator="lessThan">
      <formula>0</formula>
    </cfRule>
  </conditionalFormatting>
  <conditionalFormatting sqref="H10:H1048576">
    <cfRule type="cellIs" dxfId="897" priority="3122" operator="lessThan">
      <formula>0</formula>
    </cfRule>
  </conditionalFormatting>
  <conditionalFormatting sqref="H10:H1048576">
    <cfRule type="cellIs" dxfId="896" priority="3121" operator="lessThan">
      <formula>0</formula>
    </cfRule>
  </conditionalFormatting>
  <conditionalFormatting sqref="H10:H1048576">
    <cfRule type="cellIs" dxfId="895" priority="3120" operator="lessThan">
      <formula>0</formula>
    </cfRule>
  </conditionalFormatting>
  <conditionalFormatting sqref="H10:H1048576">
    <cfRule type="cellIs" dxfId="894" priority="3119" operator="lessThan">
      <formula>0</formula>
    </cfRule>
  </conditionalFormatting>
  <conditionalFormatting sqref="H10:H1048576">
    <cfRule type="cellIs" dxfId="893" priority="3118" operator="lessThan">
      <formula>0</formula>
    </cfRule>
  </conditionalFormatting>
  <conditionalFormatting sqref="H10:H1048576">
    <cfRule type="cellIs" dxfId="892" priority="3117" operator="lessThan">
      <formula>0</formula>
    </cfRule>
  </conditionalFormatting>
  <conditionalFormatting sqref="H10:H1048576">
    <cfRule type="cellIs" dxfId="891" priority="3116" operator="lessThan">
      <formula>0</formula>
    </cfRule>
  </conditionalFormatting>
  <conditionalFormatting sqref="H10:H1048576">
    <cfRule type="cellIs" dxfId="890" priority="3115" operator="lessThan">
      <formula>0</formula>
    </cfRule>
  </conditionalFormatting>
  <conditionalFormatting sqref="H10:H1048576">
    <cfRule type="cellIs" dxfId="889" priority="3114" operator="lessThan">
      <formula>0</formula>
    </cfRule>
  </conditionalFormatting>
  <conditionalFormatting sqref="H10:H1048576">
    <cfRule type="cellIs" dxfId="888" priority="3113" operator="lessThan">
      <formula>0</formula>
    </cfRule>
  </conditionalFormatting>
  <conditionalFormatting sqref="H10:H1048576">
    <cfRule type="cellIs" dxfId="887" priority="3112" operator="lessThan">
      <formula>0</formula>
    </cfRule>
  </conditionalFormatting>
  <conditionalFormatting sqref="H10:H1048576">
    <cfRule type="cellIs" dxfId="886" priority="3111" operator="lessThan">
      <formula>0</formula>
    </cfRule>
  </conditionalFormatting>
  <conditionalFormatting sqref="H10:H1048576">
    <cfRule type="cellIs" dxfId="885" priority="3110" operator="lessThan">
      <formula>0</formula>
    </cfRule>
  </conditionalFormatting>
  <conditionalFormatting sqref="H10:H1048576">
    <cfRule type="cellIs" dxfId="884" priority="3109" operator="lessThan">
      <formula>0</formula>
    </cfRule>
  </conditionalFormatting>
  <conditionalFormatting sqref="H10:H1048576">
    <cfRule type="cellIs" dxfId="883" priority="3108" operator="lessThan">
      <formula>0</formula>
    </cfRule>
  </conditionalFormatting>
  <conditionalFormatting sqref="H10:H1048576">
    <cfRule type="cellIs" dxfId="882" priority="3107" operator="lessThan">
      <formula>0</formula>
    </cfRule>
  </conditionalFormatting>
  <conditionalFormatting sqref="H10:H1048576">
    <cfRule type="cellIs" dxfId="881" priority="3106" operator="lessThan">
      <formula>0</formula>
    </cfRule>
  </conditionalFormatting>
  <conditionalFormatting sqref="H10:H1048576">
    <cfRule type="cellIs" dxfId="880" priority="3105" operator="lessThan">
      <formula>0</formula>
    </cfRule>
  </conditionalFormatting>
  <conditionalFormatting sqref="H10:H1048576">
    <cfRule type="cellIs" dxfId="879" priority="3104" operator="lessThan">
      <formula>0</formula>
    </cfRule>
  </conditionalFormatting>
  <conditionalFormatting sqref="H10:H1048576">
    <cfRule type="cellIs" dxfId="878" priority="3103" operator="lessThan">
      <formula>0</formula>
    </cfRule>
  </conditionalFormatting>
  <conditionalFormatting sqref="H10:H1048576">
    <cfRule type="cellIs" dxfId="877" priority="3102" operator="lessThan">
      <formula>0</formula>
    </cfRule>
  </conditionalFormatting>
  <conditionalFormatting sqref="H10:H1048576">
    <cfRule type="cellIs" dxfId="876" priority="3101" operator="lessThan">
      <formula>0</formula>
    </cfRule>
  </conditionalFormatting>
  <conditionalFormatting sqref="H10:H1048576">
    <cfRule type="cellIs" dxfId="875" priority="3100" operator="lessThan">
      <formula>0</formula>
    </cfRule>
  </conditionalFormatting>
  <conditionalFormatting sqref="H10:H1048576">
    <cfRule type="cellIs" dxfId="874" priority="3099" operator="lessThan">
      <formula>0</formula>
    </cfRule>
  </conditionalFormatting>
  <conditionalFormatting sqref="H10:H1048576">
    <cfRule type="cellIs" dxfId="873" priority="3098" operator="lessThan">
      <formula>0</formula>
    </cfRule>
  </conditionalFormatting>
  <conditionalFormatting sqref="H10:H1048576">
    <cfRule type="cellIs" dxfId="872" priority="3097" operator="lessThan">
      <formula>0</formula>
    </cfRule>
  </conditionalFormatting>
  <conditionalFormatting sqref="H10:H1048576">
    <cfRule type="cellIs" dxfId="871" priority="3096" operator="lessThan">
      <formula>0</formula>
    </cfRule>
  </conditionalFormatting>
  <conditionalFormatting sqref="H10:H1048576">
    <cfRule type="cellIs" dxfId="870" priority="3095" operator="lessThan">
      <formula>0</formula>
    </cfRule>
  </conditionalFormatting>
  <conditionalFormatting sqref="H10:H1048576">
    <cfRule type="cellIs" dxfId="869" priority="3094" operator="lessThan">
      <formula>0</formula>
    </cfRule>
  </conditionalFormatting>
  <conditionalFormatting sqref="H10:H1048576">
    <cfRule type="cellIs" dxfId="868" priority="3093" operator="lessThan">
      <formula>0</formula>
    </cfRule>
  </conditionalFormatting>
  <conditionalFormatting sqref="H10:H1048576">
    <cfRule type="cellIs" dxfId="867" priority="3092" operator="lessThan">
      <formula>0</formula>
    </cfRule>
  </conditionalFormatting>
  <conditionalFormatting sqref="H10:H1048576">
    <cfRule type="cellIs" dxfId="866" priority="3091" operator="lessThan">
      <formula>0</formula>
    </cfRule>
  </conditionalFormatting>
  <conditionalFormatting sqref="H10:H1048576">
    <cfRule type="cellIs" dxfId="865" priority="3090" operator="lessThan">
      <formula>0</formula>
    </cfRule>
  </conditionalFormatting>
  <conditionalFormatting sqref="H10:H1048576">
    <cfRule type="cellIs" dxfId="864" priority="3089" operator="lessThan">
      <formula>0</formula>
    </cfRule>
  </conditionalFormatting>
  <conditionalFormatting sqref="H10:H1048576">
    <cfRule type="cellIs" dxfId="863" priority="3088" operator="lessThan">
      <formula>0</formula>
    </cfRule>
  </conditionalFormatting>
  <conditionalFormatting sqref="H10:H1048576">
    <cfRule type="cellIs" dxfId="862" priority="3087" operator="lessThan">
      <formula>0</formula>
    </cfRule>
  </conditionalFormatting>
  <conditionalFormatting sqref="H10:H1048576">
    <cfRule type="cellIs" dxfId="861" priority="3086" operator="lessThan">
      <formula>0</formula>
    </cfRule>
  </conditionalFormatting>
  <conditionalFormatting sqref="H10:H1048576">
    <cfRule type="cellIs" dxfId="860" priority="3085" operator="lessThan">
      <formula>0</formula>
    </cfRule>
  </conditionalFormatting>
  <conditionalFormatting sqref="H10:H1048576">
    <cfRule type="cellIs" dxfId="859" priority="3084" operator="lessThan">
      <formula>0</formula>
    </cfRule>
  </conditionalFormatting>
  <conditionalFormatting sqref="H10:H1048576">
    <cfRule type="cellIs" dxfId="858" priority="3083" operator="lessThan">
      <formula>0</formula>
    </cfRule>
  </conditionalFormatting>
  <conditionalFormatting sqref="H10:H1048576">
    <cfRule type="cellIs" dxfId="857" priority="3082" operator="lessThan">
      <formula>0</formula>
    </cfRule>
  </conditionalFormatting>
  <conditionalFormatting sqref="H10:H1048576">
    <cfRule type="cellIs" dxfId="856" priority="3081" operator="lessThan">
      <formula>0</formula>
    </cfRule>
  </conditionalFormatting>
  <conditionalFormatting sqref="H10:H1048576">
    <cfRule type="cellIs" dxfId="855" priority="3080" operator="lessThan">
      <formula>0</formula>
    </cfRule>
  </conditionalFormatting>
  <conditionalFormatting sqref="H10:H1048576">
    <cfRule type="cellIs" dxfId="854" priority="3079" operator="lessThan">
      <formula>0</formula>
    </cfRule>
  </conditionalFormatting>
  <conditionalFormatting sqref="H10:H1048576">
    <cfRule type="cellIs" dxfId="853" priority="3078" operator="lessThan">
      <formula>0</formula>
    </cfRule>
  </conditionalFormatting>
  <conditionalFormatting sqref="H10:H1048576">
    <cfRule type="cellIs" dxfId="852" priority="3077" operator="lessThan">
      <formula>0</formula>
    </cfRule>
  </conditionalFormatting>
  <conditionalFormatting sqref="H10:H1048576">
    <cfRule type="cellIs" dxfId="851" priority="3076" operator="lessThan">
      <formula>0</formula>
    </cfRule>
  </conditionalFormatting>
  <conditionalFormatting sqref="H10:H1048576">
    <cfRule type="cellIs" dxfId="850" priority="3075" operator="lessThan">
      <formula>0</formula>
    </cfRule>
  </conditionalFormatting>
  <conditionalFormatting sqref="H10:H1048576">
    <cfRule type="cellIs" dxfId="849" priority="3074" operator="lessThan">
      <formula>0</formula>
    </cfRule>
  </conditionalFormatting>
  <conditionalFormatting sqref="H10:H1048576">
    <cfRule type="cellIs" dxfId="848" priority="3073" operator="lessThan">
      <formula>0</formula>
    </cfRule>
  </conditionalFormatting>
  <conditionalFormatting sqref="H10:H1048576">
    <cfRule type="cellIs" dxfId="847" priority="3072" operator="lessThan">
      <formula>0</formula>
    </cfRule>
  </conditionalFormatting>
  <conditionalFormatting sqref="H10:H1048576">
    <cfRule type="cellIs" dxfId="846" priority="3071" operator="lessThan">
      <formula>0</formula>
    </cfRule>
  </conditionalFormatting>
  <conditionalFormatting sqref="H10:H1048576">
    <cfRule type="cellIs" dxfId="845" priority="3070" operator="lessThan">
      <formula>0</formula>
    </cfRule>
  </conditionalFormatting>
  <conditionalFormatting sqref="H10:H1048576">
    <cfRule type="cellIs" dxfId="844" priority="3069" operator="lessThan">
      <formula>0</formula>
    </cfRule>
  </conditionalFormatting>
  <conditionalFormatting sqref="H10:H1048576">
    <cfRule type="cellIs" dxfId="843" priority="3068" operator="lessThan">
      <formula>0</formula>
    </cfRule>
  </conditionalFormatting>
  <conditionalFormatting sqref="H10:H1048576">
    <cfRule type="cellIs" dxfId="842" priority="3067" operator="lessThan">
      <formula>0</formula>
    </cfRule>
  </conditionalFormatting>
  <conditionalFormatting sqref="H10:H1048576">
    <cfRule type="cellIs" dxfId="841" priority="3066" operator="lessThan">
      <formula>0</formula>
    </cfRule>
  </conditionalFormatting>
  <conditionalFormatting sqref="H10:H1048576">
    <cfRule type="cellIs" dxfId="840" priority="3065" operator="lessThan">
      <formula>0</formula>
    </cfRule>
  </conditionalFormatting>
  <conditionalFormatting sqref="H10:H1048576">
    <cfRule type="cellIs" dxfId="839" priority="3064" operator="lessThan">
      <formula>0</formula>
    </cfRule>
  </conditionalFormatting>
  <conditionalFormatting sqref="H10:H1048576">
    <cfRule type="cellIs" dxfId="838" priority="3063" operator="lessThan">
      <formula>0</formula>
    </cfRule>
  </conditionalFormatting>
  <conditionalFormatting sqref="H10:H1048576">
    <cfRule type="cellIs" dxfId="837" priority="3062" operator="lessThan">
      <formula>0</formula>
    </cfRule>
  </conditionalFormatting>
  <conditionalFormatting sqref="H10:H1048576">
    <cfRule type="cellIs" dxfId="836" priority="3061" operator="lessThan">
      <formula>0</formula>
    </cfRule>
  </conditionalFormatting>
  <conditionalFormatting sqref="H10:H1048576">
    <cfRule type="cellIs" dxfId="835" priority="3060" operator="lessThan">
      <formula>0</formula>
    </cfRule>
  </conditionalFormatting>
  <conditionalFormatting sqref="H10:H1048576">
    <cfRule type="cellIs" dxfId="834" priority="3059" operator="lessThan">
      <formula>0</formula>
    </cfRule>
  </conditionalFormatting>
  <conditionalFormatting sqref="H10:H1048576">
    <cfRule type="cellIs" dxfId="833" priority="3058" operator="lessThan">
      <formula>0</formula>
    </cfRule>
  </conditionalFormatting>
  <conditionalFormatting sqref="H10:H1048576">
    <cfRule type="cellIs" dxfId="832" priority="3057" operator="lessThan">
      <formula>0</formula>
    </cfRule>
  </conditionalFormatting>
  <conditionalFormatting sqref="H10:H1048576">
    <cfRule type="cellIs" dxfId="831" priority="3056" operator="lessThan">
      <formula>0</formula>
    </cfRule>
  </conditionalFormatting>
  <conditionalFormatting sqref="H10:H1048576">
    <cfRule type="cellIs" dxfId="830" priority="3055" operator="lessThan">
      <formula>0</formula>
    </cfRule>
  </conditionalFormatting>
  <conditionalFormatting sqref="H10:H1048576">
    <cfRule type="cellIs" dxfId="829" priority="3054" operator="lessThan">
      <formula>0</formula>
    </cfRule>
  </conditionalFormatting>
  <conditionalFormatting sqref="H10:H1048576">
    <cfRule type="cellIs" dxfId="828" priority="3053" operator="lessThan">
      <formula>0</formula>
    </cfRule>
  </conditionalFormatting>
  <conditionalFormatting sqref="H10:H1048576">
    <cfRule type="cellIs" dxfId="827" priority="3052" operator="lessThan">
      <formula>0</formula>
    </cfRule>
  </conditionalFormatting>
  <conditionalFormatting sqref="H10:H1048576">
    <cfRule type="cellIs" dxfId="826" priority="3051" operator="lessThan">
      <formula>0</formula>
    </cfRule>
  </conditionalFormatting>
  <conditionalFormatting sqref="H10:H1048576">
    <cfRule type="cellIs" dxfId="825" priority="3050" operator="lessThan">
      <formula>0</formula>
    </cfRule>
  </conditionalFormatting>
  <conditionalFormatting sqref="H10:H1048576">
    <cfRule type="cellIs" dxfId="824" priority="3049" operator="lessThan">
      <formula>0</formula>
    </cfRule>
  </conditionalFormatting>
  <conditionalFormatting sqref="H10:H1048576">
    <cfRule type="cellIs" dxfId="823" priority="3048" operator="lessThan">
      <formula>0</formula>
    </cfRule>
  </conditionalFormatting>
  <conditionalFormatting sqref="H10:H1048576">
    <cfRule type="cellIs" dxfId="822" priority="3047" operator="lessThan">
      <formula>0</formula>
    </cfRule>
  </conditionalFormatting>
  <conditionalFormatting sqref="H10:H1048576">
    <cfRule type="cellIs" dxfId="821" priority="3046" operator="lessThan">
      <formula>0</formula>
    </cfRule>
  </conditionalFormatting>
  <conditionalFormatting sqref="H10:H1048576">
    <cfRule type="cellIs" dxfId="820" priority="3045" operator="lessThan">
      <formula>0</formula>
    </cfRule>
  </conditionalFormatting>
  <conditionalFormatting sqref="H10:H1048576">
    <cfRule type="cellIs" dxfId="819" priority="3044" operator="lessThan">
      <formula>0</formula>
    </cfRule>
  </conditionalFormatting>
  <conditionalFormatting sqref="H10:H1048576">
    <cfRule type="cellIs" dxfId="818" priority="3043" operator="lessThan">
      <formula>0</formula>
    </cfRule>
  </conditionalFormatting>
  <conditionalFormatting sqref="H10:H1048576">
    <cfRule type="cellIs" dxfId="817" priority="3042" operator="lessThan">
      <formula>0</formula>
    </cfRule>
  </conditionalFormatting>
  <conditionalFormatting sqref="H10:H1048576">
    <cfRule type="cellIs" dxfId="816" priority="3041" operator="lessThan">
      <formula>0</formula>
    </cfRule>
  </conditionalFormatting>
  <conditionalFormatting sqref="H10:H1048576">
    <cfRule type="cellIs" dxfId="815" priority="3040" operator="lessThan">
      <formula>0</formula>
    </cfRule>
  </conditionalFormatting>
  <conditionalFormatting sqref="H10:H1048576">
    <cfRule type="cellIs" dxfId="814" priority="3039" operator="lessThan">
      <formula>0</formula>
    </cfRule>
  </conditionalFormatting>
  <conditionalFormatting sqref="H10:H1048576">
    <cfRule type="cellIs" dxfId="813" priority="3038" operator="lessThan">
      <formula>0</formula>
    </cfRule>
  </conditionalFormatting>
  <conditionalFormatting sqref="H10:H1048576">
    <cfRule type="cellIs" dxfId="812" priority="3037" operator="lessThan">
      <formula>0</formula>
    </cfRule>
  </conditionalFormatting>
  <conditionalFormatting sqref="H10:H1048576">
    <cfRule type="cellIs" dxfId="811" priority="3036" operator="lessThan">
      <formula>0</formula>
    </cfRule>
  </conditionalFormatting>
  <conditionalFormatting sqref="H10:H1048576">
    <cfRule type="cellIs" dxfId="810" priority="3035" operator="lessThan">
      <formula>0</formula>
    </cfRule>
  </conditionalFormatting>
  <conditionalFormatting sqref="H10:H1048576">
    <cfRule type="cellIs" dxfId="809" priority="3034" operator="lessThan">
      <formula>0</formula>
    </cfRule>
  </conditionalFormatting>
  <conditionalFormatting sqref="H10:H1048576">
    <cfRule type="cellIs" dxfId="808" priority="3033" operator="lessThan">
      <formula>0</formula>
    </cfRule>
  </conditionalFormatting>
  <conditionalFormatting sqref="H10:H1048576">
    <cfRule type="cellIs" dxfId="807" priority="3032" operator="lessThan">
      <formula>0</formula>
    </cfRule>
  </conditionalFormatting>
  <conditionalFormatting sqref="H10:H1048576">
    <cfRule type="cellIs" dxfId="806" priority="3031" operator="lessThan">
      <formula>0</formula>
    </cfRule>
  </conditionalFormatting>
  <conditionalFormatting sqref="H10:H1048576">
    <cfRule type="cellIs" dxfId="805" priority="3030" operator="lessThan">
      <formula>0</formula>
    </cfRule>
  </conditionalFormatting>
  <conditionalFormatting sqref="H10:H1048576">
    <cfRule type="cellIs" dxfId="804" priority="3029" operator="lessThan">
      <formula>0</formula>
    </cfRule>
  </conditionalFormatting>
  <conditionalFormatting sqref="H10:H1048576">
    <cfRule type="cellIs" dxfId="803" priority="3028" operator="lessThan">
      <formula>0</formula>
    </cfRule>
  </conditionalFormatting>
  <conditionalFormatting sqref="H10:H1048576">
    <cfRule type="cellIs" dxfId="802" priority="3027" operator="lessThan">
      <formula>0</formula>
    </cfRule>
  </conditionalFormatting>
  <conditionalFormatting sqref="H10:H1048576">
    <cfRule type="cellIs" dxfId="801" priority="3026" operator="lessThan">
      <formula>0</formula>
    </cfRule>
  </conditionalFormatting>
  <conditionalFormatting sqref="H10:H1048576">
    <cfRule type="cellIs" dxfId="800" priority="3025" operator="lessThan">
      <formula>0</formula>
    </cfRule>
  </conditionalFormatting>
  <conditionalFormatting sqref="H10:H1048576">
    <cfRule type="cellIs" dxfId="799" priority="3024" operator="lessThan">
      <formula>0</formula>
    </cfRule>
  </conditionalFormatting>
  <conditionalFormatting sqref="H10:H1048576">
    <cfRule type="cellIs" dxfId="798" priority="3023" operator="lessThan">
      <formula>0</formula>
    </cfRule>
  </conditionalFormatting>
  <conditionalFormatting sqref="H10:H1048576">
    <cfRule type="cellIs" dxfId="797" priority="3022" operator="lessThan">
      <formula>0</formula>
    </cfRule>
  </conditionalFormatting>
  <conditionalFormatting sqref="H10:H1048576">
    <cfRule type="cellIs" dxfId="796" priority="3021" operator="lessThan">
      <formula>0</formula>
    </cfRule>
  </conditionalFormatting>
  <conditionalFormatting sqref="H10:H1048576">
    <cfRule type="cellIs" dxfId="795" priority="3020" operator="lessThan">
      <formula>0</formula>
    </cfRule>
  </conditionalFormatting>
  <conditionalFormatting sqref="H10:H1048576">
    <cfRule type="cellIs" dxfId="794" priority="3019" operator="lessThan">
      <formula>0</formula>
    </cfRule>
  </conditionalFormatting>
  <conditionalFormatting sqref="H10:H1048576">
    <cfRule type="cellIs" dxfId="793" priority="3018" operator="lessThan">
      <formula>0</formula>
    </cfRule>
  </conditionalFormatting>
  <conditionalFormatting sqref="H10:H1048576">
    <cfRule type="cellIs" dxfId="792" priority="3017" operator="lessThan">
      <formula>0</formula>
    </cfRule>
  </conditionalFormatting>
  <conditionalFormatting sqref="H10:H1048576">
    <cfRule type="cellIs" dxfId="791" priority="3016" operator="lessThan">
      <formula>0</formula>
    </cfRule>
  </conditionalFormatting>
  <conditionalFormatting sqref="H10:H1048576">
    <cfRule type="cellIs" dxfId="790" priority="3015" operator="lessThan">
      <formula>0</formula>
    </cfRule>
  </conditionalFormatting>
  <conditionalFormatting sqref="H10:H1048576">
    <cfRule type="cellIs" dxfId="789" priority="3014" operator="lessThan">
      <formula>0</formula>
    </cfRule>
  </conditionalFormatting>
  <conditionalFormatting sqref="H10:H1048576">
    <cfRule type="cellIs" dxfId="788" priority="3013" operator="lessThan">
      <formula>0</formula>
    </cfRule>
  </conditionalFormatting>
  <conditionalFormatting sqref="H10:H1048576">
    <cfRule type="cellIs" dxfId="787" priority="3012" operator="lessThan">
      <formula>0</formula>
    </cfRule>
  </conditionalFormatting>
  <conditionalFormatting sqref="H10:H1048576">
    <cfRule type="cellIs" dxfId="786" priority="3011" operator="lessThan">
      <formula>0</formula>
    </cfRule>
  </conditionalFormatting>
  <conditionalFormatting sqref="H10:H1048576">
    <cfRule type="cellIs" dxfId="785" priority="3010" operator="lessThan">
      <formula>0</formula>
    </cfRule>
  </conditionalFormatting>
  <conditionalFormatting sqref="H10:H1048576">
    <cfRule type="cellIs" dxfId="784" priority="3009" operator="lessThan">
      <formula>0</formula>
    </cfRule>
  </conditionalFormatting>
  <conditionalFormatting sqref="H10:H1048576">
    <cfRule type="cellIs" dxfId="783" priority="3008" operator="lessThan">
      <formula>0</formula>
    </cfRule>
  </conditionalFormatting>
  <conditionalFormatting sqref="H10:H1048576">
    <cfRule type="cellIs" dxfId="782" priority="3007" operator="lessThan">
      <formula>0</formula>
    </cfRule>
  </conditionalFormatting>
  <conditionalFormatting sqref="H10:H1048576">
    <cfRule type="cellIs" dxfId="781" priority="3006" operator="lessThan">
      <formula>0</formula>
    </cfRule>
  </conditionalFormatting>
  <conditionalFormatting sqref="H10:H1048576">
    <cfRule type="cellIs" dxfId="780" priority="3005" operator="lessThan">
      <formula>0</formula>
    </cfRule>
  </conditionalFormatting>
  <conditionalFormatting sqref="H10:H1048576">
    <cfRule type="cellIs" dxfId="779" priority="3004" operator="lessThan">
      <formula>0</formula>
    </cfRule>
  </conditionalFormatting>
  <conditionalFormatting sqref="H10:H1048576">
    <cfRule type="cellIs" dxfId="778" priority="3003" operator="lessThan">
      <formula>0</formula>
    </cfRule>
  </conditionalFormatting>
  <conditionalFormatting sqref="H10:H1048576">
    <cfRule type="cellIs" dxfId="777" priority="3002" operator="lessThan">
      <formula>0</formula>
    </cfRule>
  </conditionalFormatting>
  <conditionalFormatting sqref="H10:H1048576">
    <cfRule type="cellIs" dxfId="776" priority="3001" operator="lessThan">
      <formula>0</formula>
    </cfRule>
  </conditionalFormatting>
  <conditionalFormatting sqref="H10:H1048576">
    <cfRule type="cellIs" dxfId="775" priority="3000" operator="lessThan">
      <formula>0</formula>
    </cfRule>
  </conditionalFormatting>
  <conditionalFormatting sqref="H10:H1048576">
    <cfRule type="cellIs" dxfId="774" priority="2999" operator="lessThan">
      <formula>0</formula>
    </cfRule>
  </conditionalFormatting>
  <conditionalFormatting sqref="H10:H1048576">
    <cfRule type="cellIs" dxfId="773" priority="2998" operator="lessThan">
      <formula>0</formula>
    </cfRule>
  </conditionalFormatting>
  <conditionalFormatting sqref="H10:H1048576">
    <cfRule type="cellIs" dxfId="772" priority="2997" operator="lessThan">
      <formula>0</formula>
    </cfRule>
  </conditionalFormatting>
  <conditionalFormatting sqref="H10:H1048576">
    <cfRule type="cellIs" dxfId="771" priority="2996" operator="lessThan">
      <formula>0</formula>
    </cfRule>
  </conditionalFormatting>
  <conditionalFormatting sqref="H10:H1048576">
    <cfRule type="cellIs" dxfId="770" priority="2995" operator="lessThan">
      <formula>0</formula>
    </cfRule>
  </conditionalFormatting>
  <conditionalFormatting sqref="H10:H1048576">
    <cfRule type="cellIs" dxfId="769" priority="2994" operator="lessThan">
      <formula>0</formula>
    </cfRule>
  </conditionalFormatting>
  <conditionalFormatting sqref="H10:H1048576">
    <cfRule type="cellIs" dxfId="768" priority="2993" operator="lessThan">
      <formula>0</formula>
    </cfRule>
  </conditionalFormatting>
  <conditionalFormatting sqref="H10:H1048576">
    <cfRule type="cellIs" dxfId="767" priority="2992" operator="lessThan">
      <formula>0</formula>
    </cfRule>
  </conditionalFormatting>
  <conditionalFormatting sqref="H10:H1048576">
    <cfRule type="cellIs" dxfId="766" priority="2991" operator="lessThan">
      <formula>0</formula>
    </cfRule>
  </conditionalFormatting>
  <conditionalFormatting sqref="H10:H1048576">
    <cfRule type="cellIs" dxfId="765" priority="2990" operator="lessThan">
      <formula>0</formula>
    </cfRule>
  </conditionalFormatting>
  <conditionalFormatting sqref="H10:H1048576">
    <cfRule type="cellIs" dxfId="764" priority="2989" operator="lessThan">
      <formula>0</formula>
    </cfRule>
  </conditionalFormatting>
  <conditionalFormatting sqref="H10:H1048576">
    <cfRule type="cellIs" dxfId="763" priority="2988" operator="lessThan">
      <formula>0</formula>
    </cfRule>
  </conditionalFormatting>
  <conditionalFormatting sqref="H10:H1048576">
    <cfRule type="cellIs" dxfId="762" priority="2987" operator="lessThan">
      <formula>0</formula>
    </cfRule>
  </conditionalFormatting>
  <conditionalFormatting sqref="H10:H1048576">
    <cfRule type="cellIs" dxfId="761" priority="2986" operator="lessThan">
      <formula>0</formula>
    </cfRule>
  </conditionalFormatting>
  <conditionalFormatting sqref="H10:H1048576">
    <cfRule type="cellIs" dxfId="760" priority="2985" operator="lessThan">
      <formula>0</formula>
    </cfRule>
  </conditionalFormatting>
  <conditionalFormatting sqref="H10:H1048576">
    <cfRule type="cellIs" dxfId="759" priority="2984" operator="lessThan">
      <formula>0</formula>
    </cfRule>
  </conditionalFormatting>
  <conditionalFormatting sqref="H10:H1048576">
    <cfRule type="cellIs" dxfId="758" priority="2983" operator="lessThan">
      <formula>0</formula>
    </cfRule>
  </conditionalFormatting>
  <conditionalFormatting sqref="H10:H1048576">
    <cfRule type="cellIs" dxfId="757" priority="2982" operator="lessThan">
      <formula>0</formula>
    </cfRule>
  </conditionalFormatting>
  <conditionalFormatting sqref="H10:H1048576">
    <cfRule type="cellIs" dxfId="756" priority="2981" operator="lessThan">
      <formula>0</formula>
    </cfRule>
  </conditionalFormatting>
  <conditionalFormatting sqref="H10:H1048576">
    <cfRule type="cellIs" dxfId="755" priority="2980" operator="lessThan">
      <formula>0</formula>
    </cfRule>
  </conditionalFormatting>
  <conditionalFormatting sqref="H10:H1048576">
    <cfRule type="cellIs" dxfId="754" priority="2979" operator="lessThan">
      <formula>0</formula>
    </cfRule>
  </conditionalFormatting>
  <conditionalFormatting sqref="H10:H1048576">
    <cfRule type="cellIs" dxfId="753" priority="2978" operator="lessThan">
      <formula>0</formula>
    </cfRule>
  </conditionalFormatting>
  <conditionalFormatting sqref="H10:H1048576">
    <cfRule type="cellIs" dxfId="752" priority="2977" operator="lessThan">
      <formula>0</formula>
    </cfRule>
  </conditionalFormatting>
  <conditionalFormatting sqref="H10:H1048576">
    <cfRule type="cellIs" dxfId="751" priority="2976" operator="lessThan">
      <formula>0</formula>
    </cfRule>
  </conditionalFormatting>
  <conditionalFormatting sqref="H10:H1048576">
    <cfRule type="cellIs" dxfId="750" priority="2975" operator="lessThan">
      <formula>0</formula>
    </cfRule>
  </conditionalFormatting>
  <conditionalFormatting sqref="H10:H1048576">
    <cfRule type="cellIs" dxfId="749" priority="2974" operator="lessThan">
      <formula>0</formula>
    </cfRule>
  </conditionalFormatting>
  <conditionalFormatting sqref="H10:H1048576">
    <cfRule type="cellIs" dxfId="748" priority="2973" operator="lessThan">
      <formula>0</formula>
    </cfRule>
  </conditionalFormatting>
  <conditionalFormatting sqref="H10:H1048576">
    <cfRule type="cellIs" dxfId="747" priority="2972" operator="lessThan">
      <formula>0</formula>
    </cfRule>
  </conditionalFormatting>
  <conditionalFormatting sqref="H10:H1048576">
    <cfRule type="cellIs" dxfId="746" priority="2971" operator="lessThan">
      <formula>0</formula>
    </cfRule>
  </conditionalFormatting>
  <conditionalFormatting sqref="H10:H1048576">
    <cfRule type="cellIs" dxfId="745" priority="2970" operator="lessThan">
      <formula>0</formula>
    </cfRule>
  </conditionalFormatting>
  <conditionalFormatting sqref="H10:H1048576">
    <cfRule type="cellIs" dxfId="744" priority="2969" operator="lessThan">
      <formula>0</formula>
    </cfRule>
  </conditionalFormatting>
  <conditionalFormatting sqref="H10:H1048576">
    <cfRule type="cellIs" dxfId="743" priority="2968" operator="lessThan">
      <formula>0</formula>
    </cfRule>
  </conditionalFormatting>
  <conditionalFormatting sqref="H10:H1048576">
    <cfRule type="cellIs" dxfId="742" priority="2967" operator="lessThan">
      <formula>0</formula>
    </cfRule>
  </conditionalFormatting>
  <conditionalFormatting sqref="H10:H1048576">
    <cfRule type="cellIs" dxfId="741" priority="2966" operator="lessThan">
      <formula>0</formula>
    </cfRule>
  </conditionalFormatting>
  <conditionalFormatting sqref="H10:H1048576">
    <cfRule type="cellIs" dxfId="740" priority="2965" operator="lessThan">
      <formula>0</formula>
    </cfRule>
  </conditionalFormatting>
  <conditionalFormatting sqref="H10:H1048576">
    <cfRule type="cellIs" dxfId="739" priority="2964" operator="lessThan">
      <formula>0</formula>
    </cfRule>
  </conditionalFormatting>
  <conditionalFormatting sqref="H10:H1048576">
    <cfRule type="cellIs" dxfId="738" priority="2963" operator="lessThan">
      <formula>0</formula>
    </cfRule>
  </conditionalFormatting>
  <conditionalFormatting sqref="H10:H1048576">
    <cfRule type="cellIs" dxfId="737" priority="2962" operator="lessThan">
      <formula>0</formula>
    </cfRule>
  </conditionalFormatting>
  <conditionalFormatting sqref="H10:H1048576">
    <cfRule type="cellIs" dxfId="736" priority="2961" operator="lessThan">
      <formula>0</formula>
    </cfRule>
  </conditionalFormatting>
  <conditionalFormatting sqref="H10:H1048576">
    <cfRule type="cellIs" dxfId="735" priority="2960" operator="lessThan">
      <formula>0</formula>
    </cfRule>
  </conditionalFormatting>
  <conditionalFormatting sqref="H10:H1048576">
    <cfRule type="cellIs" dxfId="734" priority="2959" operator="lessThan">
      <formula>0</formula>
    </cfRule>
  </conditionalFormatting>
  <conditionalFormatting sqref="H10:H1048576">
    <cfRule type="cellIs" dxfId="733" priority="2958" operator="lessThan">
      <formula>0</formula>
    </cfRule>
  </conditionalFormatting>
  <conditionalFormatting sqref="H10:H1048576">
    <cfRule type="cellIs" dxfId="732" priority="2957" operator="lessThan">
      <formula>0</formula>
    </cfRule>
  </conditionalFormatting>
  <conditionalFormatting sqref="H10:H1048576">
    <cfRule type="cellIs" dxfId="731" priority="2956" operator="lessThan">
      <formula>0</formula>
    </cfRule>
  </conditionalFormatting>
  <conditionalFormatting sqref="H10:H1048576">
    <cfRule type="cellIs" dxfId="730" priority="2955" operator="lessThan">
      <formula>0</formula>
    </cfRule>
  </conditionalFormatting>
  <conditionalFormatting sqref="H10:H1048576">
    <cfRule type="cellIs" dxfId="729" priority="2954" operator="lessThan">
      <formula>0</formula>
    </cfRule>
  </conditionalFormatting>
  <conditionalFormatting sqref="H10:H1048576">
    <cfRule type="cellIs" dxfId="728" priority="2953" operator="lessThan">
      <formula>0</formula>
    </cfRule>
  </conditionalFormatting>
  <conditionalFormatting sqref="H10:H1048576">
    <cfRule type="cellIs" dxfId="727" priority="2952" operator="lessThan">
      <formula>0</formula>
    </cfRule>
  </conditionalFormatting>
  <conditionalFormatting sqref="H10:H1048576">
    <cfRule type="cellIs" dxfId="726" priority="2951" operator="lessThan">
      <formula>0</formula>
    </cfRule>
  </conditionalFormatting>
  <conditionalFormatting sqref="H10:H1048576">
    <cfRule type="cellIs" dxfId="725" priority="2950" operator="lessThan">
      <formula>0</formula>
    </cfRule>
  </conditionalFormatting>
  <conditionalFormatting sqref="H10:H1048576">
    <cfRule type="cellIs" dxfId="724" priority="2949" operator="lessThan">
      <formula>0</formula>
    </cfRule>
  </conditionalFormatting>
  <conditionalFormatting sqref="H10:H1048576">
    <cfRule type="cellIs" dxfId="723" priority="2948" operator="lessThan">
      <formula>0</formula>
    </cfRule>
  </conditionalFormatting>
  <conditionalFormatting sqref="H10:H1048576">
    <cfRule type="cellIs" dxfId="722" priority="2947" operator="lessThan">
      <formula>0</formula>
    </cfRule>
  </conditionalFormatting>
  <conditionalFormatting sqref="H10:H1048576">
    <cfRule type="cellIs" dxfId="721" priority="2946" operator="lessThan">
      <formula>0</formula>
    </cfRule>
  </conditionalFormatting>
  <conditionalFormatting sqref="H10:H1048576">
    <cfRule type="cellIs" dxfId="720" priority="2945" operator="lessThan">
      <formula>0</formula>
    </cfRule>
  </conditionalFormatting>
  <conditionalFormatting sqref="H10:H1048576">
    <cfRule type="cellIs" dxfId="719" priority="2944" operator="lessThan">
      <formula>0</formula>
    </cfRule>
  </conditionalFormatting>
  <conditionalFormatting sqref="H10:H1048576">
    <cfRule type="cellIs" dxfId="718" priority="2943" operator="lessThan">
      <formula>0</formula>
    </cfRule>
  </conditionalFormatting>
  <conditionalFormatting sqref="H10:H1048576">
    <cfRule type="cellIs" dxfId="717" priority="2942" operator="lessThan">
      <formula>0</formula>
    </cfRule>
  </conditionalFormatting>
  <conditionalFormatting sqref="H10:H1048576">
    <cfRule type="cellIs" dxfId="716" priority="2941" operator="lessThan">
      <formula>0</formula>
    </cfRule>
  </conditionalFormatting>
  <conditionalFormatting sqref="H10:H1048576">
    <cfRule type="cellIs" dxfId="715" priority="2940" operator="lessThan">
      <formula>0</formula>
    </cfRule>
  </conditionalFormatting>
  <conditionalFormatting sqref="H10:H1048576">
    <cfRule type="cellIs" dxfId="714" priority="2939" operator="lessThan">
      <formula>0</formula>
    </cfRule>
  </conditionalFormatting>
  <conditionalFormatting sqref="H10:H1048576">
    <cfRule type="cellIs" dxfId="713" priority="2938" operator="lessThan">
      <formula>0</formula>
    </cfRule>
  </conditionalFormatting>
  <conditionalFormatting sqref="H10:H1048576">
    <cfRule type="cellIs" dxfId="712" priority="2937" operator="lessThan">
      <formula>0</formula>
    </cfRule>
  </conditionalFormatting>
  <conditionalFormatting sqref="H10:H1048576">
    <cfRule type="cellIs" dxfId="711" priority="2936" operator="lessThan">
      <formula>0</formula>
    </cfRule>
  </conditionalFormatting>
  <conditionalFormatting sqref="H10:H1048576">
    <cfRule type="cellIs" dxfId="710" priority="2935" operator="lessThan">
      <formula>0</formula>
    </cfRule>
  </conditionalFormatting>
  <conditionalFormatting sqref="H10:H1048576">
    <cfRule type="cellIs" dxfId="709" priority="2934" operator="lessThan">
      <formula>0</formula>
    </cfRule>
  </conditionalFormatting>
  <conditionalFormatting sqref="H10:H1048576">
    <cfRule type="cellIs" dxfId="708" priority="2933" operator="lessThan">
      <formula>0</formula>
    </cfRule>
  </conditionalFormatting>
  <conditionalFormatting sqref="H10:H1048576">
    <cfRule type="cellIs" dxfId="707" priority="2932" operator="lessThan">
      <formula>0</formula>
    </cfRule>
  </conditionalFormatting>
  <conditionalFormatting sqref="H10:H1048576">
    <cfRule type="cellIs" dxfId="706" priority="2931" operator="lessThan">
      <formula>0</formula>
    </cfRule>
  </conditionalFormatting>
  <conditionalFormatting sqref="H10:H1048576">
    <cfRule type="cellIs" dxfId="705" priority="2930" operator="lessThan">
      <formula>0</formula>
    </cfRule>
  </conditionalFormatting>
  <conditionalFormatting sqref="H10:H1048576">
    <cfRule type="cellIs" dxfId="704" priority="2929" operator="lessThan">
      <formula>0</formula>
    </cfRule>
  </conditionalFormatting>
  <conditionalFormatting sqref="H10:H1048576">
    <cfRule type="cellIs" dxfId="703" priority="2928" operator="lessThan">
      <formula>0</formula>
    </cfRule>
  </conditionalFormatting>
  <conditionalFormatting sqref="H10:H1048576">
    <cfRule type="cellIs" dxfId="702" priority="2927" operator="lessThan">
      <formula>0</formula>
    </cfRule>
  </conditionalFormatting>
  <conditionalFormatting sqref="H10:H1048576">
    <cfRule type="cellIs" dxfId="701" priority="2926" operator="lessThan">
      <formula>0</formula>
    </cfRule>
  </conditionalFormatting>
  <conditionalFormatting sqref="H10:H1048576">
    <cfRule type="cellIs" dxfId="700" priority="2925" operator="lessThan">
      <formula>0</formula>
    </cfRule>
  </conditionalFormatting>
  <conditionalFormatting sqref="H10:H1048576">
    <cfRule type="cellIs" dxfId="699" priority="2924" operator="lessThan">
      <formula>0</formula>
    </cfRule>
  </conditionalFormatting>
  <conditionalFormatting sqref="H10:H1048576">
    <cfRule type="cellIs" dxfId="698" priority="2923" operator="lessThan">
      <formula>0</formula>
    </cfRule>
  </conditionalFormatting>
  <conditionalFormatting sqref="H10:H1048576">
    <cfRule type="cellIs" dxfId="697" priority="2922" operator="lessThan">
      <formula>0</formula>
    </cfRule>
  </conditionalFormatting>
  <conditionalFormatting sqref="H10:H1048576">
    <cfRule type="cellIs" dxfId="696" priority="2921" operator="lessThan">
      <formula>0</formula>
    </cfRule>
  </conditionalFormatting>
  <conditionalFormatting sqref="H10:H1048576">
    <cfRule type="cellIs" dxfId="695" priority="2920" operator="lessThan">
      <formula>0</formula>
    </cfRule>
  </conditionalFormatting>
  <conditionalFormatting sqref="H10:H1048576">
    <cfRule type="cellIs" dxfId="694" priority="2919" operator="lessThan">
      <formula>0</formula>
    </cfRule>
  </conditionalFormatting>
  <conditionalFormatting sqref="H10:H1048576">
    <cfRule type="cellIs" dxfId="693" priority="2918" operator="lessThan">
      <formula>0</formula>
    </cfRule>
  </conditionalFormatting>
  <conditionalFormatting sqref="H10:H1048576">
    <cfRule type="cellIs" dxfId="692" priority="2917" operator="lessThan">
      <formula>0</formula>
    </cfRule>
  </conditionalFormatting>
  <conditionalFormatting sqref="H10:H1048576">
    <cfRule type="cellIs" dxfId="691" priority="2916" operator="lessThan">
      <formula>0</formula>
    </cfRule>
  </conditionalFormatting>
  <conditionalFormatting sqref="H10:H1048576">
    <cfRule type="cellIs" dxfId="690" priority="2915" operator="lessThan">
      <formula>0</formula>
    </cfRule>
  </conditionalFormatting>
  <conditionalFormatting sqref="H10:H1048576">
    <cfRule type="cellIs" dxfId="689" priority="2914" operator="lessThan">
      <formula>0</formula>
    </cfRule>
  </conditionalFormatting>
  <conditionalFormatting sqref="H10:H1048576">
    <cfRule type="cellIs" dxfId="688" priority="2913" operator="lessThan">
      <formula>0</formula>
    </cfRule>
  </conditionalFormatting>
  <conditionalFormatting sqref="H10:H1048576">
    <cfRule type="cellIs" dxfId="687" priority="2912" operator="lessThan">
      <formula>0</formula>
    </cfRule>
  </conditionalFormatting>
  <conditionalFormatting sqref="H10:H1048576">
    <cfRule type="cellIs" dxfId="686" priority="2911" operator="lessThan">
      <formula>0</formula>
    </cfRule>
  </conditionalFormatting>
  <conditionalFormatting sqref="H10:H1048576">
    <cfRule type="cellIs" dxfId="685" priority="2910" operator="lessThan">
      <formula>0</formula>
    </cfRule>
  </conditionalFormatting>
  <conditionalFormatting sqref="H10:H1048576">
    <cfRule type="cellIs" dxfId="684" priority="2909" operator="lessThan">
      <formula>0</formula>
    </cfRule>
  </conditionalFormatting>
  <conditionalFormatting sqref="H10:H1048576">
    <cfRule type="cellIs" dxfId="683" priority="2908" operator="lessThan">
      <formula>0</formula>
    </cfRule>
  </conditionalFormatting>
  <conditionalFormatting sqref="H10:H1048576">
    <cfRule type="cellIs" dxfId="682" priority="2907" operator="lessThan">
      <formula>0</formula>
    </cfRule>
  </conditionalFormatting>
  <conditionalFormatting sqref="H10:H1048576">
    <cfRule type="cellIs" dxfId="681" priority="2906" operator="lessThan">
      <formula>0</formula>
    </cfRule>
  </conditionalFormatting>
  <conditionalFormatting sqref="H10:H1048576">
    <cfRule type="cellIs" dxfId="680" priority="2905" operator="lessThan">
      <formula>0</formula>
    </cfRule>
  </conditionalFormatting>
  <conditionalFormatting sqref="H10:H1048576">
    <cfRule type="cellIs" dxfId="679" priority="2904" operator="lessThan">
      <formula>0</formula>
    </cfRule>
  </conditionalFormatting>
  <conditionalFormatting sqref="H10:H1048576">
    <cfRule type="cellIs" dxfId="678" priority="2903" operator="lessThan">
      <formula>0</formula>
    </cfRule>
  </conditionalFormatting>
  <conditionalFormatting sqref="H10:H1048576">
    <cfRule type="cellIs" dxfId="677" priority="2902" operator="lessThan">
      <formula>0</formula>
    </cfRule>
  </conditionalFormatting>
  <conditionalFormatting sqref="H10:H1048576">
    <cfRule type="cellIs" dxfId="676" priority="2901" operator="lessThan">
      <formula>0</formula>
    </cfRule>
  </conditionalFormatting>
  <conditionalFormatting sqref="H10:H1048576">
    <cfRule type="cellIs" dxfId="675" priority="2900" operator="lessThan">
      <formula>0</formula>
    </cfRule>
  </conditionalFormatting>
  <conditionalFormatting sqref="H10:H1048576">
    <cfRule type="cellIs" dxfId="674" priority="2899" operator="lessThan">
      <formula>0</formula>
    </cfRule>
  </conditionalFormatting>
  <conditionalFormatting sqref="H10:H1048576">
    <cfRule type="cellIs" dxfId="673" priority="2898" operator="lessThan">
      <formula>0</formula>
    </cfRule>
  </conditionalFormatting>
  <conditionalFormatting sqref="H10:H1048576">
    <cfRule type="cellIs" dxfId="672" priority="2897" operator="lessThan">
      <formula>0</formula>
    </cfRule>
  </conditionalFormatting>
  <conditionalFormatting sqref="H10:H1048576">
    <cfRule type="cellIs" dxfId="671" priority="2896" operator="lessThan">
      <formula>0</formula>
    </cfRule>
  </conditionalFormatting>
  <conditionalFormatting sqref="H10:H1048576">
    <cfRule type="cellIs" dxfId="670" priority="2895" operator="lessThan">
      <formula>0</formula>
    </cfRule>
  </conditionalFormatting>
  <conditionalFormatting sqref="H10:H1048576">
    <cfRule type="cellIs" dxfId="669" priority="2894" operator="lessThan">
      <formula>0</formula>
    </cfRule>
  </conditionalFormatting>
  <conditionalFormatting sqref="H10:H1048576">
    <cfRule type="cellIs" dxfId="668" priority="2893" operator="lessThan">
      <formula>0</formula>
    </cfRule>
  </conditionalFormatting>
  <conditionalFormatting sqref="H10:H1048576">
    <cfRule type="cellIs" dxfId="667" priority="2892" operator="lessThan">
      <formula>0</formula>
    </cfRule>
  </conditionalFormatting>
  <conditionalFormatting sqref="H10:H1048576">
    <cfRule type="cellIs" dxfId="666" priority="2891" operator="lessThan">
      <formula>0</formula>
    </cfRule>
  </conditionalFormatting>
  <conditionalFormatting sqref="H10:H1048576">
    <cfRule type="cellIs" dxfId="665" priority="2890" operator="lessThan">
      <formula>0</formula>
    </cfRule>
  </conditionalFormatting>
  <conditionalFormatting sqref="H10:H1048576">
    <cfRule type="cellIs" dxfId="664" priority="2889" operator="lessThan">
      <formula>0</formula>
    </cfRule>
  </conditionalFormatting>
  <conditionalFormatting sqref="H10:H1048576">
    <cfRule type="cellIs" dxfId="663" priority="2888" operator="lessThan">
      <formula>0</formula>
    </cfRule>
  </conditionalFormatting>
  <conditionalFormatting sqref="H10:H1048576">
    <cfRule type="cellIs" dxfId="662" priority="2887" operator="lessThan">
      <formula>0</formula>
    </cfRule>
  </conditionalFormatting>
  <conditionalFormatting sqref="H10:H1048576">
    <cfRule type="cellIs" dxfId="661" priority="2886" operator="lessThan">
      <formula>0</formula>
    </cfRule>
  </conditionalFormatting>
  <conditionalFormatting sqref="H10:H1048576">
    <cfRule type="cellIs" dxfId="660" priority="2885" operator="lessThan">
      <formula>0</formula>
    </cfRule>
  </conditionalFormatting>
  <conditionalFormatting sqref="H10:H1048576">
    <cfRule type="cellIs" dxfId="659" priority="2884" operator="lessThan">
      <formula>0</formula>
    </cfRule>
  </conditionalFormatting>
  <conditionalFormatting sqref="H10:H1048576">
    <cfRule type="cellIs" dxfId="658" priority="2883" operator="lessThan">
      <formula>0</formula>
    </cfRule>
  </conditionalFormatting>
  <conditionalFormatting sqref="H10:H1048576">
    <cfRule type="cellIs" dxfId="657" priority="2882" operator="lessThan">
      <formula>0</formula>
    </cfRule>
  </conditionalFormatting>
  <conditionalFormatting sqref="H10:H1048576">
    <cfRule type="cellIs" dxfId="656" priority="2881" operator="lessThan">
      <formula>0</formula>
    </cfRule>
  </conditionalFormatting>
  <conditionalFormatting sqref="H10:H1048576">
    <cfRule type="cellIs" dxfId="655" priority="2880" operator="lessThan">
      <formula>0</formula>
    </cfRule>
  </conditionalFormatting>
  <conditionalFormatting sqref="H10:H1048576">
    <cfRule type="cellIs" dxfId="654" priority="2879" operator="lessThan">
      <formula>0</formula>
    </cfRule>
  </conditionalFormatting>
  <conditionalFormatting sqref="H10:H1048576">
    <cfRule type="cellIs" dxfId="653" priority="2878" operator="lessThan">
      <formula>0</formula>
    </cfRule>
  </conditionalFormatting>
  <conditionalFormatting sqref="H10:H1048576">
    <cfRule type="cellIs" dxfId="652" priority="2877" operator="lessThan">
      <formula>0</formula>
    </cfRule>
  </conditionalFormatting>
  <conditionalFormatting sqref="H10:H1048576">
    <cfRule type="cellIs" dxfId="651" priority="2876" operator="lessThan">
      <formula>0</formula>
    </cfRule>
  </conditionalFormatting>
  <conditionalFormatting sqref="H10:H1048576">
    <cfRule type="cellIs" dxfId="650" priority="2875" operator="lessThan">
      <formula>0</formula>
    </cfRule>
  </conditionalFormatting>
  <conditionalFormatting sqref="H10:H1048576">
    <cfRule type="cellIs" dxfId="649" priority="2874" operator="lessThan">
      <formula>0</formula>
    </cfRule>
  </conditionalFormatting>
  <conditionalFormatting sqref="H10:H1048576">
    <cfRule type="cellIs" dxfId="648" priority="2873" operator="lessThan">
      <formula>0</formula>
    </cfRule>
  </conditionalFormatting>
  <conditionalFormatting sqref="H10:H1048576">
    <cfRule type="cellIs" dxfId="647" priority="2872" operator="lessThan">
      <formula>0</formula>
    </cfRule>
  </conditionalFormatting>
  <conditionalFormatting sqref="H10:H1048576">
    <cfRule type="cellIs" dxfId="646" priority="2871" operator="lessThan">
      <formula>0</formula>
    </cfRule>
  </conditionalFormatting>
  <conditionalFormatting sqref="H10:H1048576">
    <cfRule type="cellIs" dxfId="645" priority="2870" operator="lessThan">
      <formula>0</formula>
    </cfRule>
  </conditionalFormatting>
  <conditionalFormatting sqref="H10:H1048576">
    <cfRule type="cellIs" dxfId="644" priority="2869" operator="lessThan">
      <formula>0</formula>
    </cfRule>
  </conditionalFormatting>
  <conditionalFormatting sqref="H10:H1048576">
    <cfRule type="cellIs" dxfId="643" priority="2868" operator="lessThan">
      <formula>0</formula>
    </cfRule>
  </conditionalFormatting>
  <conditionalFormatting sqref="H10:H1048576">
    <cfRule type="cellIs" dxfId="642" priority="2867" operator="lessThan">
      <formula>0</formula>
    </cfRule>
  </conditionalFormatting>
  <conditionalFormatting sqref="H10:H1048576">
    <cfRule type="cellIs" dxfId="641" priority="2866" operator="lessThan">
      <formula>0</formula>
    </cfRule>
  </conditionalFormatting>
  <conditionalFormatting sqref="H10:H1048576">
    <cfRule type="cellIs" dxfId="640" priority="2865" operator="lessThan">
      <formula>0</formula>
    </cfRule>
  </conditionalFormatting>
  <conditionalFormatting sqref="H10:H1048576">
    <cfRule type="cellIs" dxfId="639" priority="2864" operator="lessThan">
      <formula>0</formula>
    </cfRule>
  </conditionalFormatting>
  <conditionalFormatting sqref="H10:H1048576">
    <cfRule type="cellIs" dxfId="638" priority="2863" operator="lessThan">
      <formula>0</formula>
    </cfRule>
  </conditionalFormatting>
  <conditionalFormatting sqref="H10:H1048576">
    <cfRule type="cellIs" dxfId="637" priority="2862" operator="lessThan">
      <formula>0</formula>
    </cfRule>
  </conditionalFormatting>
  <conditionalFormatting sqref="H10:H1048576">
    <cfRule type="cellIs" dxfId="636" priority="2861" operator="lessThan">
      <formula>0</formula>
    </cfRule>
  </conditionalFormatting>
  <conditionalFormatting sqref="H10:H1048576">
    <cfRule type="cellIs" dxfId="635" priority="2860" operator="lessThan">
      <formula>0</formula>
    </cfRule>
  </conditionalFormatting>
  <conditionalFormatting sqref="H10:H1048576">
    <cfRule type="cellIs" dxfId="634" priority="2859" operator="lessThan">
      <formula>0</formula>
    </cfRule>
  </conditionalFormatting>
  <conditionalFormatting sqref="H10:H1048576">
    <cfRule type="cellIs" dxfId="633" priority="2858" operator="lessThan">
      <formula>0</formula>
    </cfRule>
  </conditionalFormatting>
  <conditionalFormatting sqref="H10:H1048576">
    <cfRule type="cellIs" dxfId="632" priority="2857" operator="lessThan">
      <formula>0</formula>
    </cfRule>
  </conditionalFormatting>
  <conditionalFormatting sqref="H10:H1048576">
    <cfRule type="cellIs" dxfId="631" priority="2856" operator="lessThan">
      <formula>0</formula>
    </cfRule>
  </conditionalFormatting>
  <conditionalFormatting sqref="H10:H1048576">
    <cfRule type="cellIs" dxfId="630" priority="2855" operator="lessThan">
      <formula>0</formula>
    </cfRule>
  </conditionalFormatting>
  <conditionalFormatting sqref="H10:H1048576">
    <cfRule type="cellIs" dxfId="629" priority="2854" operator="lessThan">
      <formula>0</formula>
    </cfRule>
  </conditionalFormatting>
  <conditionalFormatting sqref="H10:H1048576">
    <cfRule type="cellIs" dxfId="628" priority="2853" operator="lessThan">
      <formula>0</formula>
    </cfRule>
  </conditionalFormatting>
  <conditionalFormatting sqref="H10:H1048576">
    <cfRule type="cellIs" dxfId="627" priority="2852" operator="lessThan">
      <formula>0</formula>
    </cfRule>
  </conditionalFormatting>
  <conditionalFormatting sqref="H10:H1048576">
    <cfRule type="cellIs" dxfId="626" priority="2851" operator="lessThan">
      <formula>0</formula>
    </cfRule>
  </conditionalFormatting>
  <conditionalFormatting sqref="H10:H1048576">
    <cfRule type="cellIs" dxfId="625" priority="2850" operator="lessThan">
      <formula>0</formula>
    </cfRule>
  </conditionalFormatting>
  <conditionalFormatting sqref="H10:H1048576">
    <cfRule type="cellIs" dxfId="624" priority="2849" operator="lessThan">
      <formula>0</formula>
    </cfRule>
  </conditionalFormatting>
  <conditionalFormatting sqref="H10:H1048576">
    <cfRule type="cellIs" dxfId="623" priority="2848" operator="lessThan">
      <formula>0</formula>
    </cfRule>
  </conditionalFormatting>
  <conditionalFormatting sqref="H10:H1048576">
    <cfRule type="cellIs" dxfId="622" priority="2847" operator="lessThan">
      <formula>0</formula>
    </cfRule>
  </conditionalFormatting>
  <conditionalFormatting sqref="H10:H1048576">
    <cfRule type="cellIs" dxfId="621" priority="2846" operator="lessThan">
      <formula>0</formula>
    </cfRule>
  </conditionalFormatting>
  <conditionalFormatting sqref="H10:H1048576">
    <cfRule type="cellIs" dxfId="620" priority="2845" operator="lessThan">
      <formula>0</formula>
    </cfRule>
  </conditionalFormatting>
  <conditionalFormatting sqref="H10:H1048576">
    <cfRule type="cellIs" dxfId="619" priority="2844" operator="lessThan">
      <formula>0</formula>
    </cfRule>
  </conditionalFormatting>
  <conditionalFormatting sqref="H10:H1048576">
    <cfRule type="cellIs" dxfId="618" priority="2843" operator="lessThan">
      <formula>0</formula>
    </cfRule>
  </conditionalFormatting>
  <conditionalFormatting sqref="H10:H1048576">
    <cfRule type="cellIs" dxfId="617" priority="2842" operator="lessThan">
      <formula>0</formula>
    </cfRule>
  </conditionalFormatting>
  <conditionalFormatting sqref="H10:H1048576">
    <cfRule type="cellIs" dxfId="616" priority="2841" operator="lessThan">
      <formula>0</formula>
    </cfRule>
  </conditionalFormatting>
  <conditionalFormatting sqref="H10:H1048576">
    <cfRule type="cellIs" dxfId="615" priority="2840" operator="lessThan">
      <formula>0</formula>
    </cfRule>
  </conditionalFormatting>
  <conditionalFormatting sqref="H10:H1048576">
    <cfRule type="cellIs" dxfId="614" priority="2839" operator="lessThan">
      <formula>0</formula>
    </cfRule>
  </conditionalFormatting>
  <conditionalFormatting sqref="H10:H1048576">
    <cfRule type="cellIs" dxfId="613" priority="2838" operator="lessThan">
      <formula>0</formula>
    </cfRule>
  </conditionalFormatting>
  <conditionalFormatting sqref="H10:H1048576">
    <cfRule type="cellIs" dxfId="612" priority="2837" operator="lessThan">
      <formula>0</formula>
    </cfRule>
  </conditionalFormatting>
  <conditionalFormatting sqref="H10:H1048576">
    <cfRule type="cellIs" dxfId="611" priority="2836" operator="lessThan">
      <formula>0</formula>
    </cfRule>
  </conditionalFormatting>
  <conditionalFormatting sqref="H10:H1048576">
    <cfRule type="cellIs" dxfId="610" priority="2835" operator="lessThan">
      <formula>0</formula>
    </cfRule>
  </conditionalFormatting>
  <conditionalFormatting sqref="H10:H1048576">
    <cfRule type="cellIs" dxfId="609" priority="2834" operator="lessThan">
      <formula>0</formula>
    </cfRule>
  </conditionalFormatting>
  <conditionalFormatting sqref="H10:H1048576">
    <cfRule type="cellIs" dxfId="608" priority="2833" operator="lessThan">
      <formula>0</formula>
    </cfRule>
  </conditionalFormatting>
  <conditionalFormatting sqref="H10:H1048576">
    <cfRule type="cellIs" dxfId="607" priority="2832" operator="lessThan">
      <formula>0</formula>
    </cfRule>
  </conditionalFormatting>
  <conditionalFormatting sqref="H10:H1048576">
    <cfRule type="cellIs" dxfId="606" priority="2831" operator="lessThan">
      <formula>0</formula>
    </cfRule>
  </conditionalFormatting>
  <conditionalFormatting sqref="H10:H1048576">
    <cfRule type="cellIs" dxfId="605" priority="2830" operator="lessThan">
      <formula>0</formula>
    </cfRule>
  </conditionalFormatting>
  <conditionalFormatting sqref="H10:H1048576">
    <cfRule type="cellIs" dxfId="604" priority="2829" operator="lessThan">
      <formula>0</formula>
    </cfRule>
  </conditionalFormatting>
  <conditionalFormatting sqref="H10:H1048576">
    <cfRule type="cellIs" dxfId="603" priority="2828" operator="lessThan">
      <formula>0</formula>
    </cfRule>
  </conditionalFormatting>
  <conditionalFormatting sqref="H10:H1048576">
    <cfRule type="cellIs" dxfId="602" priority="2827" operator="lessThan">
      <formula>0</formula>
    </cfRule>
  </conditionalFormatting>
  <conditionalFormatting sqref="H10:H1048576">
    <cfRule type="cellIs" dxfId="601" priority="2826" operator="lessThan">
      <formula>0</formula>
    </cfRule>
  </conditionalFormatting>
  <conditionalFormatting sqref="H10:H1048576">
    <cfRule type="cellIs" dxfId="600" priority="2825" operator="lessThan">
      <formula>0</formula>
    </cfRule>
  </conditionalFormatting>
  <conditionalFormatting sqref="H10:H1048576">
    <cfRule type="cellIs" dxfId="599" priority="2824" operator="lessThan">
      <formula>0</formula>
    </cfRule>
  </conditionalFormatting>
  <conditionalFormatting sqref="H10:H1048576">
    <cfRule type="cellIs" dxfId="598" priority="2823" operator="lessThan">
      <formula>0</formula>
    </cfRule>
  </conditionalFormatting>
  <conditionalFormatting sqref="H10:H1048576">
    <cfRule type="cellIs" dxfId="597" priority="2822" operator="lessThan">
      <formula>0</formula>
    </cfRule>
  </conditionalFormatting>
  <conditionalFormatting sqref="H10:H1048576">
    <cfRule type="cellIs" dxfId="596" priority="2821" operator="lessThan">
      <formula>0</formula>
    </cfRule>
  </conditionalFormatting>
  <conditionalFormatting sqref="H10:H1048576">
    <cfRule type="cellIs" dxfId="595" priority="2820" operator="lessThan">
      <formula>0</formula>
    </cfRule>
  </conditionalFormatting>
  <conditionalFormatting sqref="H10:H1048576">
    <cfRule type="cellIs" dxfId="594" priority="2819" operator="lessThan">
      <formula>0</formula>
    </cfRule>
  </conditionalFormatting>
  <conditionalFormatting sqref="H10:H1048576">
    <cfRule type="cellIs" dxfId="593" priority="2818" operator="lessThan">
      <formula>0</formula>
    </cfRule>
  </conditionalFormatting>
  <conditionalFormatting sqref="H10:H1048576">
    <cfRule type="cellIs" dxfId="592" priority="2817" operator="lessThan">
      <formula>0</formula>
    </cfRule>
  </conditionalFormatting>
  <conditionalFormatting sqref="H10:H1048576">
    <cfRule type="cellIs" dxfId="591" priority="2816" operator="lessThan">
      <formula>0</formula>
    </cfRule>
  </conditionalFormatting>
  <conditionalFormatting sqref="H10:H1048576">
    <cfRule type="cellIs" dxfId="590" priority="2815" operator="lessThan">
      <formula>0</formula>
    </cfRule>
  </conditionalFormatting>
  <conditionalFormatting sqref="H10:H1048576">
    <cfRule type="cellIs" dxfId="589" priority="2814" operator="lessThan">
      <formula>0</formula>
    </cfRule>
  </conditionalFormatting>
  <conditionalFormatting sqref="H10:H1048576">
    <cfRule type="cellIs" dxfId="588" priority="2813" operator="lessThan">
      <formula>0</formula>
    </cfRule>
  </conditionalFormatting>
  <conditionalFormatting sqref="H10:H1048576">
    <cfRule type="cellIs" dxfId="587" priority="2812" operator="lessThan">
      <formula>0</formula>
    </cfRule>
  </conditionalFormatting>
  <conditionalFormatting sqref="H10:H1048576">
    <cfRule type="cellIs" dxfId="586" priority="2811" operator="lessThan">
      <formula>0</formula>
    </cfRule>
  </conditionalFormatting>
  <conditionalFormatting sqref="H10:H1048576">
    <cfRule type="cellIs" dxfId="585" priority="2810" operator="lessThan">
      <formula>0</formula>
    </cfRule>
  </conditionalFormatting>
  <conditionalFormatting sqref="H10:H1048576">
    <cfRule type="cellIs" dxfId="584" priority="2809" operator="lessThan">
      <formula>0</formula>
    </cfRule>
  </conditionalFormatting>
  <conditionalFormatting sqref="H10:H1048576">
    <cfRule type="cellIs" dxfId="583" priority="2808" operator="lessThan">
      <formula>0</formula>
    </cfRule>
  </conditionalFormatting>
  <conditionalFormatting sqref="H10:H1048576">
    <cfRule type="cellIs" dxfId="582" priority="2807" operator="lessThan">
      <formula>0</formula>
    </cfRule>
  </conditionalFormatting>
  <conditionalFormatting sqref="H10:H1048576">
    <cfRule type="cellIs" dxfId="581" priority="2806" operator="lessThan">
      <formula>0</formula>
    </cfRule>
  </conditionalFormatting>
  <conditionalFormatting sqref="H10:H1048576">
    <cfRule type="cellIs" dxfId="580" priority="2805" operator="lessThan">
      <formula>0</formula>
    </cfRule>
  </conditionalFormatting>
  <conditionalFormatting sqref="H10:H1048576">
    <cfRule type="cellIs" dxfId="579" priority="2804" operator="lessThan">
      <formula>0</formula>
    </cfRule>
  </conditionalFormatting>
  <conditionalFormatting sqref="H10:H1048576">
    <cfRule type="cellIs" dxfId="578" priority="2803" operator="lessThan">
      <formula>0</formula>
    </cfRule>
  </conditionalFormatting>
  <conditionalFormatting sqref="H10:H1048576">
    <cfRule type="cellIs" dxfId="577" priority="2802" operator="lessThan">
      <formula>0</formula>
    </cfRule>
  </conditionalFormatting>
  <conditionalFormatting sqref="H10:H1048576">
    <cfRule type="cellIs" dxfId="576" priority="2801" operator="lessThan">
      <formula>0</formula>
    </cfRule>
  </conditionalFormatting>
  <conditionalFormatting sqref="H10:H1048576">
    <cfRule type="cellIs" dxfId="575" priority="2800" operator="lessThan">
      <formula>0</formula>
    </cfRule>
  </conditionalFormatting>
  <conditionalFormatting sqref="H10:H1048576">
    <cfRule type="cellIs" dxfId="574" priority="2799" operator="lessThan">
      <formula>0</formula>
    </cfRule>
  </conditionalFormatting>
  <conditionalFormatting sqref="H10:H1048576">
    <cfRule type="cellIs" dxfId="573" priority="2798" operator="lessThan">
      <formula>0</formula>
    </cfRule>
  </conditionalFormatting>
  <conditionalFormatting sqref="H10:H1048576">
    <cfRule type="cellIs" dxfId="572" priority="2797" operator="lessThan">
      <formula>0</formula>
    </cfRule>
  </conditionalFormatting>
  <conditionalFormatting sqref="H10:H1048576">
    <cfRule type="cellIs" dxfId="571" priority="2796" operator="lessThan">
      <formula>0</formula>
    </cfRule>
  </conditionalFormatting>
  <conditionalFormatting sqref="H10:H1048576">
    <cfRule type="cellIs" dxfId="570" priority="2795" operator="lessThan">
      <formula>0</formula>
    </cfRule>
  </conditionalFormatting>
  <conditionalFormatting sqref="H10:H1048576">
    <cfRule type="cellIs" dxfId="569" priority="2794" operator="lessThan">
      <formula>0</formula>
    </cfRule>
  </conditionalFormatting>
  <conditionalFormatting sqref="H10:H1048576">
    <cfRule type="cellIs" dxfId="568" priority="2793" operator="lessThan">
      <formula>0</formula>
    </cfRule>
  </conditionalFormatting>
  <conditionalFormatting sqref="H10:H1048576">
    <cfRule type="cellIs" dxfId="567" priority="2792" operator="lessThan">
      <formula>0</formula>
    </cfRule>
  </conditionalFormatting>
  <conditionalFormatting sqref="H10:H1048576">
    <cfRule type="cellIs" dxfId="566" priority="2791" operator="lessThan">
      <formula>0</formula>
    </cfRule>
  </conditionalFormatting>
  <conditionalFormatting sqref="H10:H1048576">
    <cfRule type="cellIs" dxfId="565" priority="2790" operator="lessThan">
      <formula>0</formula>
    </cfRule>
  </conditionalFormatting>
  <conditionalFormatting sqref="H10:H1048576">
    <cfRule type="cellIs" dxfId="564" priority="2789" operator="lessThan">
      <formula>0</formula>
    </cfRule>
  </conditionalFormatting>
  <conditionalFormatting sqref="H10:H1048576">
    <cfRule type="cellIs" dxfId="563" priority="2788" operator="lessThan">
      <formula>0</formula>
    </cfRule>
  </conditionalFormatting>
  <conditionalFormatting sqref="H10:H1048576">
    <cfRule type="cellIs" dxfId="562" priority="2787" operator="lessThan">
      <formula>0</formula>
    </cfRule>
  </conditionalFormatting>
  <conditionalFormatting sqref="H10:H1048576">
    <cfRule type="cellIs" dxfId="561" priority="2786" operator="lessThan">
      <formula>0</formula>
    </cfRule>
  </conditionalFormatting>
  <conditionalFormatting sqref="H10:H1048576">
    <cfRule type="cellIs" dxfId="560" priority="2785" operator="lessThan">
      <formula>0</formula>
    </cfRule>
  </conditionalFormatting>
  <conditionalFormatting sqref="H10:H1048576">
    <cfRule type="cellIs" dxfId="559" priority="2784" operator="lessThan">
      <formula>0</formula>
    </cfRule>
  </conditionalFormatting>
  <conditionalFormatting sqref="H10:H1048576">
    <cfRule type="cellIs" dxfId="558" priority="2783" operator="lessThan">
      <formula>0</formula>
    </cfRule>
  </conditionalFormatting>
  <conditionalFormatting sqref="H10:H1048576">
    <cfRule type="cellIs" dxfId="557" priority="2782" operator="lessThan">
      <formula>0</formula>
    </cfRule>
  </conditionalFormatting>
  <conditionalFormatting sqref="H10:H1048576">
    <cfRule type="cellIs" dxfId="556" priority="2781" operator="lessThan">
      <formula>0</formula>
    </cfRule>
  </conditionalFormatting>
  <conditionalFormatting sqref="H10:H1048576">
    <cfRule type="cellIs" dxfId="555" priority="2780" operator="lessThan">
      <formula>0</formula>
    </cfRule>
  </conditionalFormatting>
  <conditionalFormatting sqref="H10:H1048576">
    <cfRule type="cellIs" dxfId="554" priority="2779" operator="lessThan">
      <formula>0</formula>
    </cfRule>
  </conditionalFormatting>
  <conditionalFormatting sqref="H10:H1048576">
    <cfRule type="cellIs" dxfId="553" priority="2778" operator="lessThan">
      <formula>0</formula>
    </cfRule>
  </conditionalFormatting>
  <conditionalFormatting sqref="H10:H1048576">
    <cfRule type="cellIs" dxfId="552" priority="2777" operator="lessThan">
      <formula>0</formula>
    </cfRule>
  </conditionalFormatting>
  <conditionalFormatting sqref="H10:H1048576">
    <cfRule type="cellIs" dxfId="551" priority="2776" operator="lessThan">
      <formula>0</formula>
    </cfRule>
  </conditionalFormatting>
  <conditionalFormatting sqref="H10:H1048576">
    <cfRule type="cellIs" dxfId="550" priority="2775" operator="lessThan">
      <formula>0</formula>
    </cfRule>
  </conditionalFormatting>
  <conditionalFormatting sqref="H10:H1048576">
    <cfRule type="cellIs" dxfId="549" priority="2774" operator="lessThan">
      <formula>0</formula>
    </cfRule>
  </conditionalFormatting>
  <conditionalFormatting sqref="H10:H1048576">
    <cfRule type="cellIs" dxfId="548" priority="2773" operator="lessThan">
      <formula>0</formula>
    </cfRule>
  </conditionalFormatting>
  <conditionalFormatting sqref="H10:H1048576">
    <cfRule type="cellIs" dxfId="547" priority="2772" operator="lessThan">
      <formula>0</formula>
    </cfRule>
  </conditionalFormatting>
  <conditionalFormatting sqref="H10:H1048576">
    <cfRule type="cellIs" dxfId="546" priority="2771" operator="lessThan">
      <formula>0</formula>
    </cfRule>
  </conditionalFormatting>
  <conditionalFormatting sqref="H10:H1048576">
    <cfRule type="cellIs" dxfId="545" priority="2770" operator="lessThan">
      <formula>0</formula>
    </cfRule>
  </conditionalFormatting>
  <conditionalFormatting sqref="H10:H1048576">
    <cfRule type="cellIs" dxfId="544" priority="2769" operator="lessThan">
      <formula>0</formula>
    </cfRule>
  </conditionalFormatting>
  <conditionalFormatting sqref="H10:H1048576">
    <cfRule type="cellIs" dxfId="543" priority="2768" operator="lessThan">
      <formula>0</formula>
    </cfRule>
  </conditionalFormatting>
  <conditionalFormatting sqref="H10:H1048576">
    <cfRule type="cellIs" dxfId="542" priority="2767" operator="lessThan">
      <formula>0</formula>
    </cfRule>
  </conditionalFormatting>
  <conditionalFormatting sqref="H10:H1048576">
    <cfRule type="cellIs" dxfId="541" priority="2766" operator="lessThan">
      <formula>0</formula>
    </cfRule>
  </conditionalFormatting>
  <conditionalFormatting sqref="H10:H1048576">
    <cfRule type="cellIs" dxfId="540" priority="2765" operator="lessThan">
      <formula>0</formula>
    </cfRule>
  </conditionalFormatting>
  <conditionalFormatting sqref="H10:H1048576">
    <cfRule type="cellIs" dxfId="539" priority="2764" operator="lessThan">
      <formula>0</formula>
    </cfRule>
  </conditionalFormatting>
  <conditionalFormatting sqref="H10:H1048576">
    <cfRule type="cellIs" dxfId="538" priority="2763" operator="lessThan">
      <formula>0</formula>
    </cfRule>
  </conditionalFormatting>
  <conditionalFormatting sqref="H10:H1048576">
    <cfRule type="cellIs" dxfId="537" priority="2762" operator="lessThan">
      <formula>0</formula>
    </cfRule>
  </conditionalFormatting>
  <conditionalFormatting sqref="H10:H1048576">
    <cfRule type="cellIs" dxfId="536" priority="2761" operator="lessThan">
      <formula>0</formula>
    </cfRule>
  </conditionalFormatting>
  <conditionalFormatting sqref="H10:H1048576">
    <cfRule type="cellIs" dxfId="535" priority="2760" operator="lessThan">
      <formula>0</formula>
    </cfRule>
  </conditionalFormatting>
  <conditionalFormatting sqref="H10:H1048576">
    <cfRule type="cellIs" dxfId="534" priority="2759" operator="lessThan">
      <formula>0</formula>
    </cfRule>
  </conditionalFormatting>
  <conditionalFormatting sqref="H10:H1048576">
    <cfRule type="cellIs" dxfId="533" priority="2758" operator="lessThan">
      <formula>0</formula>
    </cfRule>
  </conditionalFormatting>
  <conditionalFormatting sqref="H10:H1048576">
    <cfRule type="cellIs" dxfId="532" priority="2757" operator="lessThan">
      <formula>0</formula>
    </cfRule>
  </conditionalFormatting>
  <conditionalFormatting sqref="H10:H1048576">
    <cfRule type="cellIs" dxfId="531" priority="2756" operator="lessThan">
      <formula>0</formula>
    </cfRule>
  </conditionalFormatting>
  <conditionalFormatting sqref="H10:H1048576">
    <cfRule type="cellIs" dxfId="530" priority="2755" operator="lessThan">
      <formula>0</formula>
    </cfRule>
  </conditionalFormatting>
  <conditionalFormatting sqref="H10:H1048576">
    <cfRule type="cellIs" dxfId="529" priority="2754" operator="lessThan">
      <formula>0</formula>
    </cfRule>
  </conditionalFormatting>
  <conditionalFormatting sqref="H10:H1048576">
    <cfRule type="cellIs" dxfId="528" priority="2753" operator="lessThan">
      <formula>0</formula>
    </cfRule>
  </conditionalFormatting>
  <conditionalFormatting sqref="H10:H1048576">
    <cfRule type="cellIs" dxfId="527" priority="2752" operator="lessThan">
      <formula>0</formula>
    </cfRule>
  </conditionalFormatting>
  <conditionalFormatting sqref="H10:H1048576">
    <cfRule type="cellIs" dxfId="526" priority="2751" operator="lessThan">
      <formula>0</formula>
    </cfRule>
  </conditionalFormatting>
  <conditionalFormatting sqref="H10:H1048576">
    <cfRule type="cellIs" dxfId="525" priority="2750" operator="lessThan">
      <formula>0</formula>
    </cfRule>
  </conditionalFormatting>
  <conditionalFormatting sqref="H10:H1048576">
    <cfRule type="cellIs" dxfId="524" priority="2749" operator="lessThan">
      <formula>0</formula>
    </cfRule>
  </conditionalFormatting>
  <conditionalFormatting sqref="H10:H1048576">
    <cfRule type="cellIs" dxfId="523" priority="2748" operator="lessThan">
      <formula>0</formula>
    </cfRule>
  </conditionalFormatting>
  <conditionalFormatting sqref="H10:H1048576">
    <cfRule type="cellIs" dxfId="522" priority="2747" operator="lessThan">
      <formula>0</formula>
    </cfRule>
  </conditionalFormatting>
  <conditionalFormatting sqref="H10:H1048576">
    <cfRule type="cellIs" dxfId="521" priority="2746" operator="lessThan">
      <formula>0</formula>
    </cfRule>
  </conditionalFormatting>
  <conditionalFormatting sqref="H10:H1048576">
    <cfRule type="cellIs" dxfId="520" priority="2745" operator="lessThan">
      <formula>0</formula>
    </cfRule>
  </conditionalFormatting>
  <conditionalFormatting sqref="H10:H1048576">
    <cfRule type="cellIs" dxfId="519" priority="2744" operator="lessThan">
      <formula>0</formula>
    </cfRule>
  </conditionalFormatting>
  <conditionalFormatting sqref="H10:H1048576">
    <cfRule type="cellIs" dxfId="518" priority="2743" operator="lessThan">
      <formula>0</formula>
    </cfRule>
  </conditionalFormatting>
  <conditionalFormatting sqref="H10:H1048576">
    <cfRule type="cellIs" dxfId="517" priority="2742" operator="lessThan">
      <formula>0</formula>
    </cfRule>
  </conditionalFormatting>
  <conditionalFormatting sqref="H10:H1048576">
    <cfRule type="cellIs" dxfId="516" priority="2741" operator="lessThan">
      <formula>0</formula>
    </cfRule>
  </conditionalFormatting>
  <conditionalFormatting sqref="H10:H1048576">
    <cfRule type="cellIs" dxfId="515" priority="2740" operator="lessThan">
      <formula>0</formula>
    </cfRule>
  </conditionalFormatting>
  <conditionalFormatting sqref="H10:H1048576">
    <cfRule type="cellIs" dxfId="514" priority="2739" operator="lessThan">
      <formula>0</formula>
    </cfRule>
  </conditionalFormatting>
  <conditionalFormatting sqref="H10:H1048576">
    <cfRule type="cellIs" dxfId="513" priority="2738" operator="lessThan">
      <formula>0</formula>
    </cfRule>
  </conditionalFormatting>
  <conditionalFormatting sqref="H10:H1048576">
    <cfRule type="cellIs" dxfId="512" priority="2737" operator="lessThan">
      <formula>0</formula>
    </cfRule>
  </conditionalFormatting>
  <conditionalFormatting sqref="H10:H1048576">
    <cfRule type="cellIs" dxfId="511" priority="2736" operator="lessThan">
      <formula>0</formula>
    </cfRule>
  </conditionalFormatting>
  <conditionalFormatting sqref="H10:H1048576">
    <cfRule type="cellIs" dxfId="510" priority="2735" operator="lessThan">
      <formula>0</formula>
    </cfRule>
  </conditionalFormatting>
  <conditionalFormatting sqref="H10:H1048576">
    <cfRule type="cellIs" dxfId="509" priority="2734" operator="lessThan">
      <formula>0</formula>
    </cfRule>
  </conditionalFormatting>
  <conditionalFormatting sqref="H10:H1048576">
    <cfRule type="cellIs" dxfId="508" priority="2733" operator="lessThan">
      <formula>0</formula>
    </cfRule>
  </conditionalFormatting>
  <conditionalFormatting sqref="H10:H1048576">
    <cfRule type="cellIs" dxfId="507" priority="2732" operator="lessThan">
      <formula>0</formula>
    </cfRule>
  </conditionalFormatting>
  <conditionalFormatting sqref="H10:H1048576">
    <cfRule type="cellIs" dxfId="506" priority="2731" operator="lessThan">
      <formula>0</formula>
    </cfRule>
  </conditionalFormatting>
  <conditionalFormatting sqref="H10:H1048576">
    <cfRule type="cellIs" dxfId="505" priority="2730" operator="lessThan">
      <formula>0</formula>
    </cfRule>
  </conditionalFormatting>
  <conditionalFormatting sqref="H10:H1048576">
    <cfRule type="cellIs" dxfId="504" priority="2729" operator="lessThan">
      <formula>0</formula>
    </cfRule>
  </conditionalFormatting>
  <conditionalFormatting sqref="H10:H1048576">
    <cfRule type="cellIs" dxfId="503" priority="2728" operator="lessThan">
      <formula>0</formula>
    </cfRule>
  </conditionalFormatting>
  <conditionalFormatting sqref="H10:H1048576">
    <cfRule type="cellIs" dxfId="502" priority="2727" operator="lessThan">
      <formula>0</formula>
    </cfRule>
  </conditionalFormatting>
  <conditionalFormatting sqref="H10:H1048576">
    <cfRule type="cellIs" dxfId="501" priority="2726" operator="lessThan">
      <formula>0</formula>
    </cfRule>
  </conditionalFormatting>
  <conditionalFormatting sqref="H10:H1048576">
    <cfRule type="cellIs" dxfId="500" priority="2725" operator="lessThan">
      <formula>0</formula>
    </cfRule>
  </conditionalFormatting>
  <conditionalFormatting sqref="H10:H1048576">
    <cfRule type="cellIs" dxfId="499" priority="2724" operator="lessThan">
      <formula>0</formula>
    </cfRule>
  </conditionalFormatting>
  <conditionalFormatting sqref="H10:H1048576">
    <cfRule type="cellIs" dxfId="498" priority="2723" operator="lessThan">
      <formula>0</formula>
    </cfRule>
  </conditionalFormatting>
  <conditionalFormatting sqref="H10:H1048576">
    <cfRule type="cellIs" dxfId="497" priority="2722" operator="lessThan">
      <formula>0</formula>
    </cfRule>
  </conditionalFormatting>
  <conditionalFormatting sqref="H10:H1048576">
    <cfRule type="cellIs" dxfId="496" priority="2721" operator="lessThan">
      <formula>0</formula>
    </cfRule>
  </conditionalFormatting>
  <conditionalFormatting sqref="H10:H1048576">
    <cfRule type="cellIs" dxfId="495" priority="2720" operator="lessThan">
      <formula>0</formula>
    </cfRule>
  </conditionalFormatting>
  <conditionalFormatting sqref="H10:H1048576">
    <cfRule type="cellIs" dxfId="494" priority="2719" operator="lessThan">
      <formula>0</formula>
    </cfRule>
  </conditionalFormatting>
  <conditionalFormatting sqref="H10:H1048576">
    <cfRule type="cellIs" dxfId="493" priority="2718" operator="lessThan">
      <formula>0</formula>
    </cfRule>
  </conditionalFormatting>
  <conditionalFormatting sqref="H10:H1048576">
    <cfRule type="cellIs" dxfId="492" priority="2717" operator="lessThan">
      <formula>0</formula>
    </cfRule>
  </conditionalFormatting>
  <conditionalFormatting sqref="H10:H1048576">
    <cfRule type="cellIs" dxfId="491" priority="2716" operator="lessThan">
      <formula>0</formula>
    </cfRule>
  </conditionalFormatting>
  <conditionalFormatting sqref="H10:H1048576">
    <cfRule type="cellIs" dxfId="490" priority="2715" operator="lessThan">
      <formula>0</formula>
    </cfRule>
  </conditionalFormatting>
  <conditionalFormatting sqref="H10:H1048576">
    <cfRule type="cellIs" dxfId="489" priority="2714" operator="lessThan">
      <formula>0</formula>
    </cfRule>
  </conditionalFormatting>
  <conditionalFormatting sqref="H10:H1048576">
    <cfRule type="cellIs" dxfId="488" priority="2713" operator="lessThan">
      <formula>0</formula>
    </cfRule>
  </conditionalFormatting>
  <conditionalFormatting sqref="H10:H1048576">
    <cfRule type="cellIs" dxfId="487" priority="2712" operator="lessThan">
      <formula>0</formula>
    </cfRule>
  </conditionalFormatting>
  <conditionalFormatting sqref="H10:H1048576">
    <cfRule type="cellIs" dxfId="486" priority="2711" operator="lessThan">
      <formula>0</formula>
    </cfRule>
  </conditionalFormatting>
  <conditionalFormatting sqref="H10:H1048576">
    <cfRule type="cellIs" dxfId="485" priority="2710" operator="lessThan">
      <formula>0</formula>
    </cfRule>
  </conditionalFormatting>
  <conditionalFormatting sqref="H10:H1048576">
    <cfRule type="cellIs" dxfId="484" priority="2709" operator="lessThan">
      <formula>0</formula>
    </cfRule>
  </conditionalFormatting>
  <conditionalFormatting sqref="H10:H1048576">
    <cfRule type="cellIs" dxfId="483" priority="2708" operator="lessThan">
      <formula>0</formula>
    </cfRule>
  </conditionalFormatting>
  <conditionalFormatting sqref="H10:H1048576">
    <cfRule type="cellIs" dxfId="482" priority="2707" operator="lessThan">
      <formula>0</formula>
    </cfRule>
  </conditionalFormatting>
  <conditionalFormatting sqref="H10:H1048576">
    <cfRule type="cellIs" dxfId="481" priority="2706" operator="lessThan">
      <formula>0</formula>
    </cfRule>
  </conditionalFormatting>
  <conditionalFormatting sqref="H10:H1048576">
    <cfRule type="cellIs" dxfId="480" priority="2705" operator="lessThan">
      <formula>0</formula>
    </cfRule>
  </conditionalFormatting>
  <conditionalFormatting sqref="H10:H1048576">
    <cfRule type="cellIs" dxfId="479" priority="2704" operator="lessThan">
      <formula>0</formula>
    </cfRule>
  </conditionalFormatting>
  <conditionalFormatting sqref="H10:H1048576">
    <cfRule type="cellIs" dxfId="478" priority="2703" operator="lessThan">
      <formula>0</formula>
    </cfRule>
  </conditionalFormatting>
  <conditionalFormatting sqref="H10:H1048576">
    <cfRule type="cellIs" dxfId="477" priority="2702" operator="lessThan">
      <formula>0</formula>
    </cfRule>
  </conditionalFormatting>
  <conditionalFormatting sqref="H10:H1048576">
    <cfRule type="cellIs" dxfId="476" priority="2701" operator="lessThan">
      <formula>0</formula>
    </cfRule>
  </conditionalFormatting>
  <conditionalFormatting sqref="H10:H1048576">
    <cfRule type="cellIs" dxfId="475" priority="2700" operator="lessThan">
      <formula>0</formula>
    </cfRule>
  </conditionalFormatting>
  <conditionalFormatting sqref="H10:H1048576">
    <cfRule type="cellIs" dxfId="474" priority="2699" operator="lessThan">
      <formula>0</formula>
    </cfRule>
  </conditionalFormatting>
  <conditionalFormatting sqref="H10:H1048576">
    <cfRule type="cellIs" dxfId="473" priority="2698" operator="lessThan">
      <formula>0</formula>
    </cfRule>
  </conditionalFormatting>
  <conditionalFormatting sqref="H10:H1048576">
    <cfRule type="cellIs" dxfId="472" priority="2697" operator="lessThan">
      <formula>0</formula>
    </cfRule>
  </conditionalFormatting>
  <conditionalFormatting sqref="H10:H1048576">
    <cfRule type="cellIs" dxfId="471" priority="2696" operator="lessThan">
      <formula>0</formula>
    </cfRule>
  </conditionalFormatting>
  <conditionalFormatting sqref="H10:H1048576">
    <cfRule type="cellIs" dxfId="470" priority="2695" operator="lessThan">
      <formula>0</formula>
    </cfRule>
  </conditionalFormatting>
  <conditionalFormatting sqref="H10:H1048576">
    <cfRule type="cellIs" dxfId="469" priority="2694" operator="lessThan">
      <formula>0</formula>
    </cfRule>
  </conditionalFormatting>
  <conditionalFormatting sqref="H10:H1048576">
    <cfRule type="cellIs" dxfId="468" priority="2693" operator="lessThan">
      <formula>0</formula>
    </cfRule>
  </conditionalFormatting>
  <conditionalFormatting sqref="H10:H1048576">
    <cfRule type="cellIs" dxfId="467" priority="2692" operator="lessThan">
      <formula>0</formula>
    </cfRule>
  </conditionalFormatting>
  <conditionalFormatting sqref="H10:H1048576">
    <cfRule type="cellIs" dxfId="466" priority="2691" operator="lessThan">
      <formula>0</formula>
    </cfRule>
  </conditionalFormatting>
  <conditionalFormatting sqref="H10:H1048576">
    <cfRule type="cellIs" dxfId="465" priority="2690" operator="lessThan">
      <formula>0</formula>
    </cfRule>
  </conditionalFormatting>
  <conditionalFormatting sqref="H10:H1048576">
    <cfRule type="cellIs" dxfId="464" priority="2689" operator="lessThan">
      <formula>0</formula>
    </cfRule>
  </conditionalFormatting>
  <conditionalFormatting sqref="H10:H1048576">
    <cfRule type="cellIs" dxfId="463" priority="2688" operator="lessThan">
      <formula>0</formula>
    </cfRule>
  </conditionalFormatting>
  <conditionalFormatting sqref="H10:H1048576">
    <cfRule type="cellIs" dxfId="462" priority="2687" operator="lessThan">
      <formula>0</formula>
    </cfRule>
  </conditionalFormatting>
  <conditionalFormatting sqref="H10:H1048576">
    <cfRule type="cellIs" dxfId="461" priority="2686" operator="lessThan">
      <formula>0</formula>
    </cfRule>
  </conditionalFormatting>
  <conditionalFormatting sqref="H10:H1048576">
    <cfRule type="cellIs" dxfId="460" priority="2685" operator="lessThan">
      <formula>0</formula>
    </cfRule>
  </conditionalFormatting>
  <conditionalFormatting sqref="H10:H1048576">
    <cfRule type="cellIs" dxfId="459" priority="2684" operator="lessThan">
      <formula>0</formula>
    </cfRule>
  </conditionalFormatting>
  <conditionalFormatting sqref="H10:H1048576">
    <cfRule type="cellIs" dxfId="458" priority="2683" operator="lessThan">
      <formula>0</formula>
    </cfRule>
  </conditionalFormatting>
  <conditionalFormatting sqref="H10:H1048576">
    <cfRule type="cellIs" dxfId="457" priority="2682" operator="lessThan">
      <formula>0</formula>
    </cfRule>
  </conditionalFormatting>
  <conditionalFormatting sqref="H10:H1048576">
    <cfRule type="cellIs" dxfId="456" priority="2681" operator="lessThan">
      <formula>0</formula>
    </cfRule>
  </conditionalFormatting>
  <conditionalFormatting sqref="H10:H1048576">
    <cfRule type="cellIs" dxfId="455" priority="2680" operator="lessThan">
      <formula>0</formula>
    </cfRule>
  </conditionalFormatting>
  <conditionalFormatting sqref="H10:H1048576">
    <cfRule type="cellIs" dxfId="454" priority="2679" operator="lessThan">
      <formula>0</formula>
    </cfRule>
  </conditionalFormatting>
  <conditionalFormatting sqref="H10:H1048576">
    <cfRule type="cellIs" dxfId="453" priority="2678" operator="lessThan">
      <formula>0</formula>
    </cfRule>
  </conditionalFormatting>
  <conditionalFormatting sqref="H10:H1048576">
    <cfRule type="cellIs" dxfId="452" priority="2677" operator="lessThan">
      <formula>0</formula>
    </cfRule>
  </conditionalFormatting>
  <conditionalFormatting sqref="H10:H1048576">
    <cfRule type="cellIs" dxfId="451" priority="2676" operator="lessThan">
      <formula>0</formula>
    </cfRule>
  </conditionalFormatting>
  <conditionalFormatting sqref="H10:H1048576">
    <cfRule type="cellIs" dxfId="450" priority="2675" operator="lessThan">
      <formula>0</formula>
    </cfRule>
  </conditionalFormatting>
  <conditionalFormatting sqref="H10:H1048576">
    <cfRule type="cellIs" dxfId="449" priority="2674" operator="lessThan">
      <formula>0</formula>
    </cfRule>
  </conditionalFormatting>
  <conditionalFormatting sqref="H10:H1048576">
    <cfRule type="cellIs" dxfId="448" priority="2673" operator="lessThan">
      <formula>0</formula>
    </cfRule>
  </conditionalFormatting>
  <conditionalFormatting sqref="H10:H1048576">
    <cfRule type="cellIs" dxfId="447" priority="2672" operator="lessThan">
      <formula>0</formula>
    </cfRule>
  </conditionalFormatting>
  <conditionalFormatting sqref="H10:H1048576">
    <cfRule type="cellIs" dxfId="446" priority="2671" operator="lessThan">
      <formula>0</formula>
    </cfRule>
  </conditionalFormatting>
  <conditionalFormatting sqref="H10:H1048576">
    <cfRule type="cellIs" dxfId="445" priority="2670" operator="lessThan">
      <formula>0</formula>
    </cfRule>
  </conditionalFormatting>
  <conditionalFormatting sqref="H10:H1048576">
    <cfRule type="cellIs" dxfId="444" priority="2669" operator="lessThan">
      <formula>0</formula>
    </cfRule>
  </conditionalFormatting>
  <conditionalFormatting sqref="H10:H1048576">
    <cfRule type="cellIs" dxfId="443" priority="2668" operator="lessThan">
      <formula>0</formula>
    </cfRule>
  </conditionalFormatting>
  <conditionalFormatting sqref="H10:H1048576">
    <cfRule type="cellIs" dxfId="442" priority="2667" operator="lessThan">
      <formula>0</formula>
    </cfRule>
  </conditionalFormatting>
  <conditionalFormatting sqref="H10:H1048576">
    <cfRule type="cellIs" dxfId="441" priority="2666" operator="lessThan">
      <formula>0</formula>
    </cfRule>
  </conditionalFormatting>
  <conditionalFormatting sqref="H10:H1048576">
    <cfRule type="cellIs" dxfId="440" priority="2665" operator="lessThan">
      <formula>0</formula>
    </cfRule>
  </conditionalFormatting>
  <conditionalFormatting sqref="H10:H1048576">
    <cfRule type="cellIs" dxfId="439" priority="2664" operator="lessThan">
      <formula>0</formula>
    </cfRule>
  </conditionalFormatting>
  <conditionalFormatting sqref="H10:H1048576">
    <cfRule type="cellIs" dxfId="438" priority="2663" operator="lessThan">
      <formula>0</formula>
    </cfRule>
  </conditionalFormatting>
  <conditionalFormatting sqref="H10:H1048576">
    <cfRule type="cellIs" dxfId="437" priority="2662" operator="lessThan">
      <formula>0</formula>
    </cfRule>
  </conditionalFormatting>
  <conditionalFormatting sqref="H10:H1048576">
    <cfRule type="cellIs" dxfId="436" priority="2661" operator="lessThan">
      <formula>0</formula>
    </cfRule>
  </conditionalFormatting>
  <conditionalFormatting sqref="H10:H1048576">
    <cfRule type="cellIs" dxfId="435" priority="2660" operator="lessThan">
      <formula>0</formula>
    </cfRule>
  </conditionalFormatting>
  <conditionalFormatting sqref="H10:H1048576">
    <cfRule type="cellIs" dxfId="434" priority="2659" operator="lessThan">
      <formula>0</formula>
    </cfRule>
  </conditionalFormatting>
  <conditionalFormatting sqref="H10:H1048576">
    <cfRule type="cellIs" dxfId="433" priority="2658" operator="lessThan">
      <formula>0</formula>
    </cfRule>
  </conditionalFormatting>
  <conditionalFormatting sqref="H10:H1048576">
    <cfRule type="cellIs" dxfId="432" priority="2657" operator="lessThan">
      <formula>0</formula>
    </cfRule>
  </conditionalFormatting>
  <conditionalFormatting sqref="H10:H1048576">
    <cfRule type="cellIs" dxfId="431" priority="2656" operator="lessThan">
      <formula>0</formula>
    </cfRule>
  </conditionalFormatting>
  <conditionalFormatting sqref="H10:H1048576">
    <cfRule type="cellIs" dxfId="430" priority="2655" operator="lessThan">
      <formula>0</formula>
    </cfRule>
  </conditionalFormatting>
  <conditionalFormatting sqref="H10:H1048576">
    <cfRule type="cellIs" dxfId="429" priority="2654" operator="lessThan">
      <formula>0</formula>
    </cfRule>
  </conditionalFormatting>
  <conditionalFormatting sqref="H10:H1048576">
    <cfRule type="cellIs" dxfId="428" priority="2653" operator="lessThan">
      <formula>0</formula>
    </cfRule>
  </conditionalFormatting>
  <conditionalFormatting sqref="H10:H1048576">
    <cfRule type="cellIs" dxfId="427" priority="2652" operator="lessThan">
      <formula>0</formula>
    </cfRule>
  </conditionalFormatting>
  <conditionalFormatting sqref="H10:H1048576">
    <cfRule type="cellIs" dxfId="426" priority="2651" operator="lessThan">
      <formula>0</formula>
    </cfRule>
  </conditionalFormatting>
  <conditionalFormatting sqref="H10:H1048576">
    <cfRule type="cellIs" dxfId="425" priority="2650" operator="lessThan">
      <formula>0</formula>
    </cfRule>
  </conditionalFormatting>
  <conditionalFormatting sqref="H10:H1048576">
    <cfRule type="cellIs" dxfId="424" priority="2649" operator="lessThan">
      <formula>0</formula>
    </cfRule>
  </conditionalFormatting>
  <conditionalFormatting sqref="H10:H1048576">
    <cfRule type="cellIs" dxfId="423" priority="2648" operator="lessThan">
      <formula>0</formula>
    </cfRule>
  </conditionalFormatting>
  <conditionalFormatting sqref="H10:H1048576">
    <cfRule type="cellIs" dxfId="422" priority="2647" operator="lessThan">
      <formula>0</formula>
    </cfRule>
  </conditionalFormatting>
  <conditionalFormatting sqref="H10:H1048576">
    <cfRule type="cellIs" dxfId="421" priority="2646" operator="lessThan">
      <formula>0</formula>
    </cfRule>
  </conditionalFormatting>
  <conditionalFormatting sqref="H10:H1048576">
    <cfRule type="cellIs" dxfId="420" priority="2645" operator="lessThan">
      <formula>0</formula>
    </cfRule>
  </conditionalFormatting>
  <conditionalFormatting sqref="H10:H1048576">
    <cfRule type="cellIs" dxfId="419" priority="2644" operator="lessThan">
      <formula>0</formula>
    </cfRule>
  </conditionalFormatting>
  <conditionalFormatting sqref="H10:H1048576">
    <cfRule type="cellIs" dxfId="418" priority="2643" operator="lessThan">
      <formula>0</formula>
    </cfRule>
  </conditionalFormatting>
  <conditionalFormatting sqref="H10:H1048576">
    <cfRule type="cellIs" dxfId="417" priority="2642" operator="lessThan">
      <formula>0</formula>
    </cfRule>
  </conditionalFormatting>
  <conditionalFormatting sqref="H10:H1048576">
    <cfRule type="cellIs" dxfId="416" priority="2641" operator="lessThan">
      <formula>0</formula>
    </cfRule>
  </conditionalFormatting>
  <conditionalFormatting sqref="H10:H1048576">
    <cfRule type="cellIs" dxfId="415" priority="2640" operator="lessThan">
      <formula>0</formula>
    </cfRule>
  </conditionalFormatting>
  <conditionalFormatting sqref="H10:H1048576">
    <cfRule type="cellIs" dxfId="414" priority="2639" operator="lessThan">
      <formula>0</formula>
    </cfRule>
  </conditionalFormatting>
  <conditionalFormatting sqref="H10:H1048576">
    <cfRule type="cellIs" dxfId="413" priority="2638" operator="lessThan">
      <formula>0</formula>
    </cfRule>
  </conditionalFormatting>
  <conditionalFormatting sqref="H10:H1048576">
    <cfRule type="cellIs" dxfId="412" priority="2637" operator="lessThan">
      <formula>0</formula>
    </cfRule>
  </conditionalFormatting>
  <conditionalFormatting sqref="H10:H1048576">
    <cfRule type="cellIs" dxfId="411" priority="2636" operator="lessThan">
      <formula>0</formula>
    </cfRule>
  </conditionalFormatting>
  <conditionalFormatting sqref="H10:H1048576">
    <cfRule type="cellIs" dxfId="410" priority="2635" operator="lessThan">
      <formula>0</formula>
    </cfRule>
  </conditionalFormatting>
  <conditionalFormatting sqref="H10:H1048576">
    <cfRule type="cellIs" dxfId="409" priority="2634" operator="lessThan">
      <formula>0</formula>
    </cfRule>
  </conditionalFormatting>
  <conditionalFormatting sqref="H10:H1048576">
    <cfRule type="cellIs" dxfId="408" priority="2633" operator="lessThan">
      <formula>0</formula>
    </cfRule>
  </conditionalFormatting>
  <conditionalFormatting sqref="H10:H1048576">
    <cfRule type="cellIs" dxfId="407" priority="2632" operator="lessThan">
      <formula>0</formula>
    </cfRule>
  </conditionalFormatting>
  <conditionalFormatting sqref="H10:H1048576">
    <cfRule type="cellIs" dxfId="406" priority="2631" operator="lessThan">
      <formula>0</formula>
    </cfRule>
  </conditionalFormatting>
  <conditionalFormatting sqref="H10:H1048576">
    <cfRule type="cellIs" dxfId="405" priority="2630" operator="lessThan">
      <formula>0</formula>
    </cfRule>
  </conditionalFormatting>
  <conditionalFormatting sqref="H10:H1048576">
    <cfRule type="cellIs" dxfId="404" priority="2629" operator="lessThan">
      <formula>0</formula>
    </cfRule>
  </conditionalFormatting>
  <conditionalFormatting sqref="H10:H1048576">
    <cfRule type="cellIs" dxfId="403" priority="2628" operator="lessThan">
      <formula>0</formula>
    </cfRule>
  </conditionalFormatting>
  <conditionalFormatting sqref="H10:H1048576">
    <cfRule type="cellIs" dxfId="402" priority="2627" operator="lessThan">
      <formula>0</formula>
    </cfRule>
  </conditionalFormatting>
  <conditionalFormatting sqref="H10:H1048576">
    <cfRule type="cellIs" dxfId="401" priority="2626" operator="lessThan">
      <formula>0</formula>
    </cfRule>
  </conditionalFormatting>
  <conditionalFormatting sqref="H10:H1048576">
    <cfRule type="cellIs" dxfId="400" priority="2625" operator="lessThan">
      <formula>0</formula>
    </cfRule>
  </conditionalFormatting>
  <conditionalFormatting sqref="H10:H1048576">
    <cfRule type="cellIs" dxfId="399" priority="2624" operator="lessThan">
      <formula>0</formula>
    </cfRule>
  </conditionalFormatting>
  <conditionalFormatting sqref="H10:H1048576">
    <cfRule type="cellIs" dxfId="398" priority="2623" operator="lessThan">
      <formula>0</formula>
    </cfRule>
  </conditionalFormatting>
  <conditionalFormatting sqref="H10:H1048576">
    <cfRule type="cellIs" dxfId="397" priority="2622" operator="lessThan">
      <formula>0</formula>
    </cfRule>
  </conditionalFormatting>
  <conditionalFormatting sqref="H10:H1048576">
    <cfRule type="cellIs" dxfId="396" priority="2621" operator="lessThan">
      <formula>0</formula>
    </cfRule>
  </conditionalFormatting>
  <conditionalFormatting sqref="H10:H1048576">
    <cfRule type="cellIs" dxfId="395" priority="2620" operator="lessThan">
      <formula>0</formula>
    </cfRule>
  </conditionalFormatting>
  <conditionalFormatting sqref="H10:H1048576">
    <cfRule type="cellIs" dxfId="394" priority="2619" operator="lessThan">
      <formula>0</formula>
    </cfRule>
  </conditionalFormatting>
  <conditionalFormatting sqref="H10:H1048576">
    <cfRule type="cellIs" dxfId="393" priority="2618" operator="lessThan">
      <formula>0</formula>
    </cfRule>
  </conditionalFormatting>
  <conditionalFormatting sqref="H10:H1048576">
    <cfRule type="cellIs" dxfId="392" priority="2617" operator="lessThan">
      <formula>0</formula>
    </cfRule>
  </conditionalFormatting>
  <conditionalFormatting sqref="H10:H1048576">
    <cfRule type="cellIs" dxfId="391" priority="2616" operator="lessThan">
      <formula>0</formula>
    </cfRule>
  </conditionalFormatting>
  <conditionalFormatting sqref="H10:H1048576">
    <cfRule type="cellIs" dxfId="390" priority="2615" operator="lessThan">
      <formula>0</formula>
    </cfRule>
  </conditionalFormatting>
  <conditionalFormatting sqref="H10:H1048576">
    <cfRule type="cellIs" dxfId="389" priority="2614" operator="lessThan">
      <formula>0</formula>
    </cfRule>
  </conditionalFormatting>
  <conditionalFormatting sqref="H10:H1048576">
    <cfRule type="cellIs" dxfId="388" priority="2613" operator="lessThan">
      <formula>0</formula>
    </cfRule>
  </conditionalFormatting>
  <conditionalFormatting sqref="H10:H1048576">
    <cfRule type="cellIs" dxfId="387" priority="2612" operator="lessThan">
      <formula>0</formula>
    </cfRule>
  </conditionalFormatting>
  <conditionalFormatting sqref="H10:H1048576">
    <cfRule type="cellIs" dxfId="386" priority="2611" operator="lessThan">
      <formula>0</formula>
    </cfRule>
  </conditionalFormatting>
  <conditionalFormatting sqref="H10:H1048576">
    <cfRule type="cellIs" dxfId="385" priority="2610" operator="lessThan">
      <formula>0</formula>
    </cfRule>
  </conditionalFormatting>
  <conditionalFormatting sqref="H10:H1048576">
    <cfRule type="cellIs" dxfId="384" priority="2609" operator="lessThan">
      <formula>0</formula>
    </cfRule>
  </conditionalFormatting>
  <conditionalFormatting sqref="H10:H1048576">
    <cfRule type="cellIs" dxfId="383" priority="2608" operator="lessThan">
      <formula>0</formula>
    </cfRule>
  </conditionalFormatting>
  <conditionalFormatting sqref="H10:H1048576">
    <cfRule type="cellIs" dxfId="382" priority="2607" operator="lessThan">
      <formula>0</formula>
    </cfRule>
  </conditionalFormatting>
  <conditionalFormatting sqref="H10:H1048576">
    <cfRule type="cellIs" dxfId="381" priority="2606" operator="lessThan">
      <formula>0</formula>
    </cfRule>
  </conditionalFormatting>
  <conditionalFormatting sqref="H10:H1048576">
    <cfRule type="cellIs" dxfId="380" priority="2605" operator="lessThan">
      <formula>0</formula>
    </cfRule>
  </conditionalFormatting>
  <conditionalFormatting sqref="H10:H1048576">
    <cfRule type="cellIs" dxfId="379" priority="2604" operator="lessThan">
      <formula>0</formula>
    </cfRule>
  </conditionalFormatting>
  <conditionalFormatting sqref="H10:H1048576">
    <cfRule type="cellIs" dxfId="378" priority="2603" operator="lessThan">
      <formula>0</formula>
    </cfRule>
  </conditionalFormatting>
  <conditionalFormatting sqref="H10:H1048576">
    <cfRule type="cellIs" dxfId="377" priority="2602" operator="lessThan">
      <formula>0</formula>
    </cfRule>
  </conditionalFormatting>
  <conditionalFormatting sqref="H10:H1048576">
    <cfRule type="cellIs" dxfId="376" priority="2601" operator="lessThan">
      <formula>0</formula>
    </cfRule>
  </conditionalFormatting>
  <conditionalFormatting sqref="H10:H1048576">
    <cfRule type="cellIs" dxfId="375" priority="2600" operator="lessThan">
      <formula>0</formula>
    </cfRule>
  </conditionalFormatting>
  <conditionalFormatting sqref="H10:H1048576">
    <cfRule type="cellIs" dxfId="374" priority="2599" operator="lessThan">
      <formula>0</formula>
    </cfRule>
  </conditionalFormatting>
  <conditionalFormatting sqref="H10:H1048576">
    <cfRule type="cellIs" dxfId="373" priority="2598" operator="lessThan">
      <formula>0</formula>
    </cfRule>
  </conditionalFormatting>
  <conditionalFormatting sqref="H10:H1048576">
    <cfRule type="cellIs" dxfId="372" priority="2597" operator="lessThan">
      <formula>0</formula>
    </cfRule>
  </conditionalFormatting>
  <conditionalFormatting sqref="H10:H1048576">
    <cfRule type="cellIs" dxfId="371" priority="2596" operator="lessThan">
      <formula>0</formula>
    </cfRule>
  </conditionalFormatting>
  <conditionalFormatting sqref="H10:H1048576">
    <cfRule type="cellIs" dxfId="370" priority="2595" operator="lessThan">
      <formula>0</formula>
    </cfRule>
  </conditionalFormatting>
  <conditionalFormatting sqref="H10:H1048576">
    <cfRule type="cellIs" dxfId="369" priority="2594" operator="lessThan">
      <formula>0</formula>
    </cfRule>
  </conditionalFormatting>
  <conditionalFormatting sqref="H10:H1048576">
    <cfRule type="cellIs" dxfId="368" priority="2593" operator="lessThan">
      <formula>0</formula>
    </cfRule>
  </conditionalFormatting>
  <conditionalFormatting sqref="H10:H1048576">
    <cfRule type="cellIs" dxfId="367" priority="2592" operator="lessThan">
      <formula>0</formula>
    </cfRule>
  </conditionalFormatting>
  <conditionalFormatting sqref="H10:H1048576">
    <cfRule type="cellIs" dxfId="366" priority="2591" operator="lessThan">
      <formula>0</formula>
    </cfRule>
  </conditionalFormatting>
  <conditionalFormatting sqref="H10:H1048576">
    <cfRule type="cellIs" dxfId="365" priority="2590" operator="lessThan">
      <formula>0</formula>
    </cfRule>
  </conditionalFormatting>
  <conditionalFormatting sqref="H10:H1048576">
    <cfRule type="cellIs" dxfId="364" priority="2589" operator="lessThan">
      <formula>0</formula>
    </cfRule>
  </conditionalFormatting>
  <conditionalFormatting sqref="H10:H1048576">
    <cfRule type="cellIs" dxfId="363" priority="2588" operator="lessThan">
      <formula>0</formula>
    </cfRule>
  </conditionalFormatting>
  <conditionalFormatting sqref="H10:H1048576">
    <cfRule type="cellIs" dxfId="362" priority="2587" operator="lessThan">
      <formula>0</formula>
    </cfRule>
  </conditionalFormatting>
  <conditionalFormatting sqref="H10:H1048576">
    <cfRule type="cellIs" dxfId="361" priority="2586" operator="lessThan">
      <formula>0</formula>
    </cfRule>
  </conditionalFormatting>
  <conditionalFormatting sqref="H10:H1048576">
    <cfRule type="cellIs" dxfId="360" priority="2585" operator="lessThan">
      <formula>0</formula>
    </cfRule>
  </conditionalFormatting>
  <conditionalFormatting sqref="H10:H1048576">
    <cfRule type="cellIs" dxfId="359" priority="2584" operator="lessThan">
      <formula>0</formula>
    </cfRule>
  </conditionalFormatting>
  <conditionalFormatting sqref="H10:H1048576">
    <cfRule type="cellIs" dxfId="358" priority="2583" operator="lessThan">
      <formula>0</formula>
    </cfRule>
  </conditionalFormatting>
  <conditionalFormatting sqref="H10:H1048576">
    <cfRule type="cellIs" dxfId="357" priority="2582" operator="lessThan">
      <formula>0</formula>
    </cfRule>
  </conditionalFormatting>
  <conditionalFormatting sqref="H10:H1048576">
    <cfRule type="cellIs" dxfId="356" priority="2581" operator="lessThan">
      <formula>0</formula>
    </cfRule>
  </conditionalFormatting>
  <conditionalFormatting sqref="H10:H1048576">
    <cfRule type="cellIs" dxfId="355" priority="2580" operator="lessThan">
      <formula>0</formula>
    </cfRule>
  </conditionalFormatting>
  <conditionalFormatting sqref="H10:H1048576">
    <cfRule type="cellIs" dxfId="354" priority="2579" operator="lessThan">
      <formula>0</formula>
    </cfRule>
  </conditionalFormatting>
  <conditionalFormatting sqref="H10:H1048576">
    <cfRule type="cellIs" dxfId="353" priority="2578" operator="lessThan">
      <formula>0</formula>
    </cfRule>
  </conditionalFormatting>
  <conditionalFormatting sqref="H10:H1048576">
    <cfRule type="cellIs" dxfId="352" priority="2577" operator="lessThan">
      <formula>0</formula>
    </cfRule>
  </conditionalFormatting>
  <conditionalFormatting sqref="H10:H1048576">
    <cfRule type="cellIs" dxfId="351" priority="2576" operator="lessThan">
      <formula>0</formula>
    </cfRule>
  </conditionalFormatting>
  <conditionalFormatting sqref="H10:H1048576">
    <cfRule type="cellIs" dxfId="350" priority="2575" operator="lessThan">
      <formula>0</formula>
    </cfRule>
  </conditionalFormatting>
  <conditionalFormatting sqref="H10:H1048576">
    <cfRule type="cellIs" dxfId="349" priority="2574" operator="lessThan">
      <formula>0</formula>
    </cfRule>
  </conditionalFormatting>
  <conditionalFormatting sqref="H10:H1048576">
    <cfRule type="cellIs" dxfId="348" priority="2573" operator="lessThan">
      <formula>0</formula>
    </cfRule>
  </conditionalFormatting>
  <conditionalFormatting sqref="H10:H1048576">
    <cfRule type="cellIs" dxfId="347" priority="2572" operator="lessThan">
      <formula>0</formula>
    </cfRule>
  </conditionalFormatting>
  <conditionalFormatting sqref="H10:H1048576">
    <cfRule type="cellIs" dxfId="346" priority="2571" operator="lessThan">
      <formula>0</formula>
    </cfRule>
  </conditionalFormatting>
  <conditionalFormatting sqref="H10:H1048576">
    <cfRule type="cellIs" dxfId="345" priority="2570" operator="lessThan">
      <formula>0</formula>
    </cfRule>
  </conditionalFormatting>
  <conditionalFormatting sqref="H10:H1048576">
    <cfRule type="cellIs" dxfId="344" priority="2569" operator="lessThan">
      <formula>0</formula>
    </cfRule>
  </conditionalFormatting>
  <conditionalFormatting sqref="H10:H1048576">
    <cfRule type="cellIs" dxfId="343" priority="2568" operator="lessThan">
      <formula>0</formula>
    </cfRule>
  </conditionalFormatting>
  <conditionalFormatting sqref="H10:H1048576">
    <cfRule type="cellIs" dxfId="342" priority="2567" operator="lessThan">
      <formula>0</formula>
    </cfRule>
  </conditionalFormatting>
  <conditionalFormatting sqref="H10:H1048576">
    <cfRule type="cellIs" dxfId="341" priority="2566" operator="lessThan">
      <formula>0</formula>
    </cfRule>
  </conditionalFormatting>
  <conditionalFormatting sqref="H10:H1048576">
    <cfRule type="cellIs" dxfId="340" priority="2565" operator="lessThan">
      <formula>0</formula>
    </cfRule>
  </conditionalFormatting>
  <conditionalFormatting sqref="H10:H1048576">
    <cfRule type="cellIs" dxfId="339" priority="2564" operator="lessThan">
      <formula>0</formula>
    </cfRule>
  </conditionalFormatting>
  <conditionalFormatting sqref="H10:H1048576">
    <cfRule type="cellIs" dxfId="338" priority="2563" operator="lessThan">
      <formula>0</formula>
    </cfRule>
  </conditionalFormatting>
  <conditionalFormatting sqref="H10:H1048576">
    <cfRule type="cellIs" dxfId="337" priority="2562" operator="lessThan">
      <formula>0</formula>
    </cfRule>
  </conditionalFormatting>
  <conditionalFormatting sqref="H10:H1048576">
    <cfRule type="cellIs" dxfId="336" priority="2561" operator="lessThan">
      <formula>0</formula>
    </cfRule>
  </conditionalFormatting>
  <conditionalFormatting sqref="H10:H1048576">
    <cfRule type="cellIs" dxfId="335" priority="2560" operator="lessThan">
      <formula>0</formula>
    </cfRule>
  </conditionalFormatting>
  <conditionalFormatting sqref="H10:H1048576">
    <cfRule type="cellIs" dxfId="334" priority="2559" operator="lessThan">
      <formula>0</formula>
    </cfRule>
  </conditionalFormatting>
  <conditionalFormatting sqref="H10:H1048576">
    <cfRule type="cellIs" dxfId="333" priority="2558" operator="lessThan">
      <formula>0</formula>
    </cfRule>
  </conditionalFormatting>
  <conditionalFormatting sqref="H10:H1048576">
    <cfRule type="cellIs" dxfId="332" priority="2557" operator="lessThan">
      <formula>0</formula>
    </cfRule>
  </conditionalFormatting>
  <conditionalFormatting sqref="H10:H1048576">
    <cfRule type="cellIs" dxfId="331" priority="2556" operator="lessThan">
      <formula>0</formula>
    </cfRule>
  </conditionalFormatting>
  <conditionalFormatting sqref="H10:H1048576">
    <cfRule type="cellIs" dxfId="330" priority="2555" operator="lessThan">
      <formula>0</formula>
    </cfRule>
  </conditionalFormatting>
  <conditionalFormatting sqref="H10:H1048576">
    <cfRule type="cellIs" dxfId="329" priority="2554" operator="lessThan">
      <formula>0</formula>
    </cfRule>
  </conditionalFormatting>
  <conditionalFormatting sqref="H10:H1048576">
    <cfRule type="cellIs" dxfId="328" priority="2553" operator="lessThan">
      <formula>0</formula>
    </cfRule>
  </conditionalFormatting>
  <conditionalFormatting sqref="H10:H1048576">
    <cfRule type="cellIs" dxfId="327" priority="2552" operator="lessThan">
      <formula>0</formula>
    </cfRule>
  </conditionalFormatting>
  <conditionalFormatting sqref="H10:H1048576">
    <cfRule type="cellIs" dxfId="326" priority="2551" operator="lessThan">
      <formula>0</formula>
    </cfRule>
  </conditionalFormatting>
  <conditionalFormatting sqref="H10:H1048576">
    <cfRule type="cellIs" dxfId="325" priority="2550" operator="lessThan">
      <formula>0</formula>
    </cfRule>
  </conditionalFormatting>
  <conditionalFormatting sqref="H10:H1048576">
    <cfRule type="cellIs" dxfId="324" priority="2549" operator="lessThan">
      <formula>0</formula>
    </cfRule>
  </conditionalFormatting>
  <conditionalFormatting sqref="H10:H1048576">
    <cfRule type="cellIs" dxfId="323" priority="2548" operator="lessThan">
      <formula>0</formula>
    </cfRule>
  </conditionalFormatting>
  <conditionalFormatting sqref="H10:H1048576">
    <cfRule type="cellIs" dxfId="322" priority="2547" operator="lessThan">
      <formula>0</formula>
    </cfRule>
  </conditionalFormatting>
  <conditionalFormatting sqref="H10:H1048576">
    <cfRule type="cellIs" dxfId="321" priority="2546" operator="lessThan">
      <formula>0</formula>
    </cfRule>
  </conditionalFormatting>
  <conditionalFormatting sqref="H10:H1048576">
    <cfRule type="cellIs" dxfId="320" priority="2545" operator="lessThan">
      <formula>0</formula>
    </cfRule>
  </conditionalFormatting>
  <conditionalFormatting sqref="H10:H1048576">
    <cfRule type="cellIs" dxfId="319" priority="2544" operator="lessThan">
      <formula>0</formula>
    </cfRule>
  </conditionalFormatting>
  <conditionalFormatting sqref="H10:H1048576">
    <cfRule type="cellIs" dxfId="318" priority="2543" operator="lessThan">
      <formula>0</formula>
    </cfRule>
  </conditionalFormatting>
  <conditionalFormatting sqref="H10:H1048576">
    <cfRule type="cellIs" dxfId="317" priority="2542" operator="lessThan">
      <formula>0</formula>
    </cfRule>
  </conditionalFormatting>
  <conditionalFormatting sqref="H10:H1048576">
    <cfRule type="cellIs" dxfId="316" priority="2541" operator="lessThan">
      <formula>0</formula>
    </cfRule>
  </conditionalFormatting>
  <conditionalFormatting sqref="H10:H1048576">
    <cfRule type="cellIs" dxfId="315" priority="2540" operator="lessThan">
      <formula>0</formula>
    </cfRule>
  </conditionalFormatting>
  <conditionalFormatting sqref="H10:H1048576">
    <cfRule type="cellIs" dxfId="314" priority="2539" operator="lessThan">
      <formula>0</formula>
    </cfRule>
  </conditionalFormatting>
  <conditionalFormatting sqref="H10:H1048576">
    <cfRule type="cellIs" dxfId="313" priority="2538" operator="lessThan">
      <formula>0</formula>
    </cfRule>
  </conditionalFormatting>
  <conditionalFormatting sqref="H10:H1048576">
    <cfRule type="cellIs" dxfId="312" priority="2537" operator="lessThan">
      <formula>0</formula>
    </cfRule>
  </conditionalFormatting>
  <conditionalFormatting sqref="H10:H1048576">
    <cfRule type="cellIs" dxfId="311" priority="2536" operator="lessThan">
      <formula>0</formula>
    </cfRule>
  </conditionalFormatting>
  <conditionalFormatting sqref="H10:H1048576">
    <cfRule type="cellIs" dxfId="310" priority="2535" operator="lessThan">
      <formula>0</formula>
    </cfRule>
  </conditionalFormatting>
  <conditionalFormatting sqref="H10:H1048576">
    <cfRule type="cellIs" dxfId="309" priority="2534" operator="lessThan">
      <formula>0</formula>
    </cfRule>
  </conditionalFormatting>
  <conditionalFormatting sqref="H10:H1048576">
    <cfRule type="cellIs" dxfId="308" priority="2533" operator="lessThan">
      <formula>0</formula>
    </cfRule>
  </conditionalFormatting>
  <conditionalFormatting sqref="H10:H1048576">
    <cfRule type="cellIs" dxfId="307" priority="2532" operator="lessThan">
      <formula>0</formula>
    </cfRule>
  </conditionalFormatting>
  <conditionalFormatting sqref="H10:H1048576">
    <cfRule type="cellIs" dxfId="306" priority="2531" operator="lessThan">
      <formula>0</formula>
    </cfRule>
  </conditionalFormatting>
  <conditionalFormatting sqref="H10:H1048576">
    <cfRule type="cellIs" dxfId="305" priority="2530" operator="lessThan">
      <formula>0</formula>
    </cfRule>
  </conditionalFormatting>
  <conditionalFormatting sqref="H10:H1048576">
    <cfRule type="cellIs" dxfId="304" priority="2529" operator="lessThan">
      <formula>0</formula>
    </cfRule>
  </conditionalFormatting>
  <conditionalFormatting sqref="H10:H1048576">
    <cfRule type="cellIs" dxfId="303" priority="2528" operator="lessThan">
      <formula>0</formula>
    </cfRule>
  </conditionalFormatting>
  <conditionalFormatting sqref="H10:H1048576">
    <cfRule type="cellIs" dxfId="302" priority="2527" operator="lessThan">
      <formula>0</formula>
    </cfRule>
  </conditionalFormatting>
  <conditionalFormatting sqref="H10:H1048576">
    <cfRule type="cellIs" dxfId="301" priority="2526" operator="lessThan">
      <formula>0</formula>
    </cfRule>
  </conditionalFormatting>
  <conditionalFormatting sqref="H10:H1048576">
    <cfRule type="cellIs" dxfId="300" priority="2525" operator="lessThan">
      <formula>0</formula>
    </cfRule>
  </conditionalFormatting>
  <conditionalFormatting sqref="H10:H1048576">
    <cfRule type="cellIs" dxfId="299" priority="2524" operator="lessThan">
      <formula>0</formula>
    </cfRule>
  </conditionalFormatting>
  <conditionalFormatting sqref="H10:H1048576">
    <cfRule type="cellIs" dxfId="298" priority="2523" operator="lessThan">
      <formula>0</formula>
    </cfRule>
  </conditionalFormatting>
  <conditionalFormatting sqref="H10:H1048576">
    <cfRule type="cellIs" dxfId="297" priority="2522" operator="lessThan">
      <formula>0</formula>
    </cfRule>
  </conditionalFormatting>
  <conditionalFormatting sqref="H10:H1048576">
    <cfRule type="cellIs" dxfId="296" priority="2521" operator="lessThan">
      <formula>0</formula>
    </cfRule>
  </conditionalFormatting>
  <conditionalFormatting sqref="H10:H1048576">
    <cfRule type="cellIs" dxfId="295" priority="2520" operator="lessThan">
      <formula>0</formula>
    </cfRule>
  </conditionalFormatting>
  <conditionalFormatting sqref="H10:H1048576">
    <cfRule type="cellIs" dxfId="294" priority="2519" operator="lessThan">
      <formula>0</formula>
    </cfRule>
  </conditionalFormatting>
  <conditionalFormatting sqref="H10:H1048576">
    <cfRule type="cellIs" dxfId="293" priority="2518" operator="lessThan">
      <formula>0</formula>
    </cfRule>
  </conditionalFormatting>
  <conditionalFormatting sqref="H10:H1048576">
    <cfRule type="cellIs" dxfId="292" priority="2517" operator="lessThan">
      <formula>0</formula>
    </cfRule>
  </conditionalFormatting>
  <conditionalFormatting sqref="H10:H1048576">
    <cfRule type="cellIs" dxfId="291" priority="2516" operator="lessThan">
      <formula>0</formula>
    </cfRule>
  </conditionalFormatting>
  <conditionalFormatting sqref="H10:H1048576">
    <cfRule type="cellIs" dxfId="290" priority="2515" operator="lessThan">
      <formula>0</formula>
    </cfRule>
  </conditionalFormatting>
  <conditionalFormatting sqref="H10:H1048576">
    <cfRule type="cellIs" dxfId="289" priority="2514" operator="lessThan">
      <formula>0</formula>
    </cfRule>
  </conditionalFormatting>
  <conditionalFormatting sqref="H10:H1048576">
    <cfRule type="cellIs" dxfId="288" priority="2513" operator="lessThan">
      <formula>0</formula>
    </cfRule>
  </conditionalFormatting>
  <conditionalFormatting sqref="H10:H1048576">
    <cfRule type="cellIs" dxfId="287" priority="2512" operator="lessThan">
      <formula>0</formula>
    </cfRule>
  </conditionalFormatting>
  <conditionalFormatting sqref="H10:H1048576">
    <cfRule type="cellIs" dxfId="286" priority="2511" operator="lessThan">
      <formula>0</formula>
    </cfRule>
  </conditionalFormatting>
  <conditionalFormatting sqref="H10:H1048576">
    <cfRule type="cellIs" dxfId="285" priority="2510" operator="lessThan">
      <formula>0</formula>
    </cfRule>
  </conditionalFormatting>
  <conditionalFormatting sqref="H10:H1048576">
    <cfRule type="cellIs" dxfId="284" priority="2509" operator="lessThan">
      <formula>0</formula>
    </cfRule>
  </conditionalFormatting>
  <conditionalFormatting sqref="H10:H1048576">
    <cfRule type="cellIs" dxfId="283" priority="2508" operator="lessThan">
      <formula>0</formula>
    </cfRule>
  </conditionalFormatting>
  <conditionalFormatting sqref="H10:H1048576">
    <cfRule type="cellIs" dxfId="282" priority="2507" operator="lessThan">
      <formula>0</formula>
    </cfRule>
  </conditionalFormatting>
  <conditionalFormatting sqref="H10:H1048576">
    <cfRule type="cellIs" dxfId="281" priority="2506" operator="lessThan">
      <formula>0</formula>
    </cfRule>
  </conditionalFormatting>
  <conditionalFormatting sqref="H10:H1048576">
    <cfRule type="cellIs" dxfId="280" priority="2505" operator="lessThan">
      <formula>0</formula>
    </cfRule>
  </conditionalFormatting>
  <conditionalFormatting sqref="H10:H1048576">
    <cfRule type="cellIs" dxfId="279" priority="2504" operator="lessThan">
      <formula>0</formula>
    </cfRule>
  </conditionalFormatting>
  <conditionalFormatting sqref="H10:H1048576">
    <cfRule type="cellIs" dxfId="278" priority="2503" operator="lessThan">
      <formula>0</formula>
    </cfRule>
  </conditionalFormatting>
  <conditionalFormatting sqref="H10:H1048576">
    <cfRule type="cellIs" dxfId="277" priority="2502" operator="lessThan">
      <formula>0</formula>
    </cfRule>
  </conditionalFormatting>
  <conditionalFormatting sqref="H10:H1048576">
    <cfRule type="cellIs" dxfId="276" priority="2501" operator="lessThan">
      <formula>0</formula>
    </cfRule>
  </conditionalFormatting>
  <conditionalFormatting sqref="H10:H1048576">
    <cfRule type="cellIs" dxfId="275" priority="2500" operator="lessThan">
      <formula>0</formula>
    </cfRule>
  </conditionalFormatting>
  <conditionalFormatting sqref="H10:H1048576">
    <cfRule type="cellIs" dxfId="274" priority="2499" operator="lessThan">
      <formula>0</formula>
    </cfRule>
  </conditionalFormatting>
  <conditionalFormatting sqref="H10:H1048576">
    <cfRule type="cellIs" dxfId="273" priority="2498" operator="lessThan">
      <formula>0</formula>
    </cfRule>
  </conditionalFormatting>
  <conditionalFormatting sqref="H10:H1048576">
    <cfRule type="cellIs" dxfId="272" priority="2497" operator="lessThan">
      <formula>0</formula>
    </cfRule>
  </conditionalFormatting>
  <conditionalFormatting sqref="H10:H1048576">
    <cfRule type="cellIs" dxfId="271" priority="2496" operator="lessThan">
      <formula>0</formula>
    </cfRule>
  </conditionalFormatting>
  <conditionalFormatting sqref="H10:H1048576">
    <cfRule type="cellIs" dxfId="270" priority="2495" operator="lessThan">
      <formula>0</formula>
    </cfRule>
  </conditionalFormatting>
  <conditionalFormatting sqref="H10:H1048576">
    <cfRule type="cellIs" dxfId="269" priority="2494" operator="lessThan">
      <formula>0</formula>
    </cfRule>
  </conditionalFormatting>
  <conditionalFormatting sqref="H10:H1048576">
    <cfRule type="cellIs" dxfId="268" priority="2493" operator="lessThan">
      <formula>0</formula>
    </cfRule>
  </conditionalFormatting>
  <conditionalFormatting sqref="H10:H1048576">
    <cfRule type="cellIs" dxfId="267" priority="2492" operator="lessThan">
      <formula>0</formula>
    </cfRule>
  </conditionalFormatting>
  <conditionalFormatting sqref="H10:H1048576">
    <cfRule type="cellIs" dxfId="266" priority="2491" operator="lessThan">
      <formula>0</formula>
    </cfRule>
  </conditionalFormatting>
  <conditionalFormatting sqref="H10:H1048576">
    <cfRule type="cellIs" dxfId="265" priority="2490" operator="lessThan">
      <formula>0</formula>
    </cfRule>
  </conditionalFormatting>
  <conditionalFormatting sqref="H10:H1048576">
    <cfRule type="cellIs" dxfId="264" priority="2489" operator="lessThan">
      <formula>0</formula>
    </cfRule>
  </conditionalFormatting>
  <conditionalFormatting sqref="H10:H1048576">
    <cfRule type="cellIs" dxfId="263" priority="2488" operator="lessThan">
      <formula>0</formula>
    </cfRule>
  </conditionalFormatting>
  <conditionalFormatting sqref="H10:H1048576">
    <cfRule type="cellIs" dxfId="262" priority="2487" operator="lessThan">
      <formula>0</formula>
    </cfRule>
  </conditionalFormatting>
  <conditionalFormatting sqref="H10:H1048576">
    <cfRule type="cellIs" dxfId="261" priority="2486" operator="lessThan">
      <formula>0</formula>
    </cfRule>
  </conditionalFormatting>
  <conditionalFormatting sqref="H10:H1048576">
    <cfRule type="cellIs" dxfId="260" priority="2485" operator="lessThan">
      <formula>0</formula>
    </cfRule>
  </conditionalFormatting>
  <conditionalFormatting sqref="H10:H1048576">
    <cfRule type="cellIs" dxfId="259" priority="2484" operator="lessThan">
      <formula>0</formula>
    </cfRule>
  </conditionalFormatting>
  <conditionalFormatting sqref="H10:H1048576">
    <cfRule type="cellIs" dxfId="258" priority="2483" operator="lessThan">
      <formula>0</formula>
    </cfRule>
  </conditionalFormatting>
  <conditionalFormatting sqref="H10:H1048576">
    <cfRule type="cellIs" dxfId="257" priority="2482" operator="lessThan">
      <formula>0</formula>
    </cfRule>
  </conditionalFormatting>
  <conditionalFormatting sqref="H10:H1048576">
    <cfRule type="cellIs" dxfId="256" priority="2481" operator="lessThan">
      <formula>0</formula>
    </cfRule>
  </conditionalFormatting>
  <conditionalFormatting sqref="H10:H1048576">
    <cfRule type="cellIs" dxfId="255" priority="2480" operator="lessThan">
      <formula>0</formula>
    </cfRule>
  </conditionalFormatting>
  <conditionalFormatting sqref="H10:H1048576">
    <cfRule type="cellIs" dxfId="254" priority="2479" operator="lessThan">
      <formula>0</formula>
    </cfRule>
  </conditionalFormatting>
  <conditionalFormatting sqref="H10:H1048576">
    <cfRule type="cellIs" dxfId="253" priority="2478" operator="lessThan">
      <formula>0</formula>
    </cfRule>
  </conditionalFormatting>
  <conditionalFormatting sqref="H10:H1048576">
    <cfRule type="cellIs" dxfId="252" priority="2477" operator="lessThan">
      <formula>0</formula>
    </cfRule>
  </conditionalFormatting>
  <conditionalFormatting sqref="H10:H1048576">
    <cfRule type="cellIs" dxfId="251" priority="2476" operator="lessThan">
      <formula>0</formula>
    </cfRule>
  </conditionalFormatting>
  <conditionalFormatting sqref="H10:H1048576">
    <cfRule type="cellIs" dxfId="250" priority="2475" operator="lessThan">
      <formula>0</formula>
    </cfRule>
  </conditionalFormatting>
  <conditionalFormatting sqref="H10:H1048576">
    <cfRule type="cellIs" dxfId="249" priority="2474" operator="lessThan">
      <formula>0</formula>
    </cfRule>
  </conditionalFormatting>
  <conditionalFormatting sqref="H10:H1048576">
    <cfRule type="cellIs" dxfId="248" priority="2473" operator="lessThan">
      <formula>0</formula>
    </cfRule>
  </conditionalFormatting>
  <conditionalFormatting sqref="H10:H1048576">
    <cfRule type="cellIs" dxfId="247" priority="2472" operator="lessThan">
      <formula>0</formula>
    </cfRule>
  </conditionalFormatting>
  <conditionalFormatting sqref="H10:H1048576">
    <cfRule type="cellIs" dxfId="246" priority="2471" operator="lessThan">
      <formula>0</formula>
    </cfRule>
  </conditionalFormatting>
  <conditionalFormatting sqref="H10:H1048576">
    <cfRule type="cellIs" dxfId="245" priority="2470" operator="lessThan">
      <formula>0</formula>
    </cfRule>
  </conditionalFormatting>
  <conditionalFormatting sqref="H10:H1048576">
    <cfRule type="cellIs" dxfId="244" priority="2469" operator="lessThan">
      <formula>0</formula>
    </cfRule>
  </conditionalFormatting>
  <conditionalFormatting sqref="H10:H1048576">
    <cfRule type="cellIs" dxfId="243" priority="2468" operator="lessThan">
      <formula>0</formula>
    </cfRule>
  </conditionalFormatting>
  <conditionalFormatting sqref="H10:H1048576">
    <cfRule type="cellIs" dxfId="242" priority="2467" operator="lessThan">
      <formula>0</formula>
    </cfRule>
  </conditionalFormatting>
  <conditionalFormatting sqref="H10:H1048576">
    <cfRule type="cellIs" dxfId="241" priority="2466" operator="lessThan">
      <formula>0</formula>
    </cfRule>
  </conditionalFormatting>
  <conditionalFormatting sqref="H10:H1048576">
    <cfRule type="cellIs" dxfId="240" priority="2465" operator="lessThan">
      <formula>0</formula>
    </cfRule>
  </conditionalFormatting>
  <conditionalFormatting sqref="H10:H1048576">
    <cfRule type="cellIs" dxfId="239" priority="2464" operator="lessThan">
      <formula>0</formula>
    </cfRule>
  </conditionalFormatting>
  <conditionalFormatting sqref="H10:H1048576">
    <cfRule type="cellIs" dxfId="238" priority="2463" operator="lessThan">
      <formula>0</formula>
    </cfRule>
  </conditionalFormatting>
  <conditionalFormatting sqref="H10:H1048576">
    <cfRule type="cellIs" dxfId="237" priority="2462" operator="lessThan">
      <formula>0</formula>
    </cfRule>
  </conditionalFormatting>
  <conditionalFormatting sqref="H10:H1048576">
    <cfRule type="cellIs" dxfId="236" priority="2461" operator="lessThan">
      <formula>0</formula>
    </cfRule>
  </conditionalFormatting>
  <conditionalFormatting sqref="H10:H1048576">
    <cfRule type="cellIs" dxfId="235" priority="2460" operator="lessThan">
      <formula>0</formula>
    </cfRule>
  </conditionalFormatting>
  <conditionalFormatting sqref="H10:H1048576">
    <cfRule type="cellIs" dxfId="234" priority="2459" operator="lessThan">
      <formula>0</formula>
    </cfRule>
  </conditionalFormatting>
  <conditionalFormatting sqref="H10:H1048576">
    <cfRule type="cellIs" dxfId="233" priority="2458" operator="lessThan">
      <formula>0</formula>
    </cfRule>
  </conditionalFormatting>
  <conditionalFormatting sqref="H10:H1048576">
    <cfRule type="cellIs" dxfId="232" priority="2457" operator="lessThan">
      <formula>0</formula>
    </cfRule>
  </conditionalFormatting>
  <conditionalFormatting sqref="H10:H1048576">
    <cfRule type="cellIs" dxfId="231" priority="2456" operator="lessThan">
      <formula>0</formula>
    </cfRule>
  </conditionalFormatting>
  <conditionalFormatting sqref="H10:H1048576">
    <cfRule type="cellIs" dxfId="230" priority="2455" operator="lessThan">
      <formula>0</formula>
    </cfRule>
  </conditionalFormatting>
  <conditionalFormatting sqref="H10:H1048576">
    <cfRule type="cellIs" dxfId="229" priority="2454" operator="lessThan">
      <formula>0</formula>
    </cfRule>
  </conditionalFormatting>
  <conditionalFormatting sqref="H10:H1048576">
    <cfRule type="cellIs" dxfId="228" priority="2453" operator="lessThan">
      <formula>0</formula>
    </cfRule>
  </conditionalFormatting>
  <conditionalFormatting sqref="H10:H1048576">
    <cfRule type="cellIs" dxfId="227" priority="2452" operator="lessThan">
      <formula>0</formula>
    </cfRule>
  </conditionalFormatting>
  <conditionalFormatting sqref="H10:H1048576">
    <cfRule type="cellIs" dxfId="226" priority="2451" operator="lessThan">
      <formula>0</formula>
    </cfRule>
  </conditionalFormatting>
  <conditionalFormatting sqref="H10:H1048576">
    <cfRule type="cellIs" dxfId="225" priority="2450" operator="lessThan">
      <formula>0</formula>
    </cfRule>
  </conditionalFormatting>
  <conditionalFormatting sqref="H10:H1048576">
    <cfRule type="cellIs" dxfId="224" priority="2449" operator="lessThan">
      <formula>0</formula>
    </cfRule>
  </conditionalFormatting>
  <conditionalFormatting sqref="H10:H1048576">
    <cfRule type="cellIs" dxfId="223" priority="2448" operator="lessThan">
      <formula>0</formula>
    </cfRule>
  </conditionalFormatting>
  <conditionalFormatting sqref="H10:H1048576">
    <cfRule type="cellIs" dxfId="222" priority="2447" operator="lessThan">
      <formula>0</formula>
    </cfRule>
  </conditionalFormatting>
  <conditionalFormatting sqref="H10:H1048576">
    <cfRule type="cellIs" dxfId="221" priority="2446" operator="lessThan">
      <formula>0</formula>
    </cfRule>
  </conditionalFormatting>
  <conditionalFormatting sqref="H10:H1048576">
    <cfRule type="cellIs" dxfId="220" priority="2445" operator="lessThan">
      <formula>0</formula>
    </cfRule>
  </conditionalFormatting>
  <conditionalFormatting sqref="H10:H1048576">
    <cfRule type="cellIs" dxfId="219" priority="2444" operator="lessThan">
      <formula>0</formula>
    </cfRule>
  </conditionalFormatting>
  <conditionalFormatting sqref="H1:H1048576">
    <cfRule type="cellIs" dxfId="218" priority="2443" operator="lessThan">
      <formula>0</formula>
    </cfRule>
  </conditionalFormatting>
  <conditionalFormatting sqref="H1:H1048576">
    <cfRule type="cellIs" dxfId="217" priority="2442" operator="lessThan">
      <formula>0</formula>
    </cfRule>
  </conditionalFormatting>
  <conditionalFormatting sqref="H1:H1048576">
    <cfRule type="cellIs" dxfId="216" priority="2441" operator="lessThan">
      <formula>0</formula>
    </cfRule>
  </conditionalFormatting>
  <conditionalFormatting sqref="H1:H1048576">
    <cfRule type="cellIs" dxfId="215" priority="2440" operator="lessThan">
      <formula>0</formula>
    </cfRule>
  </conditionalFormatting>
  <conditionalFormatting sqref="H1:H1048576">
    <cfRule type="cellIs" dxfId="214" priority="2439" operator="lessThan">
      <formula>0</formula>
    </cfRule>
  </conditionalFormatting>
  <conditionalFormatting sqref="H1:H1048576">
    <cfRule type="cellIs" dxfId="213" priority="2438" operator="lessThan">
      <formula>0</formula>
    </cfRule>
  </conditionalFormatting>
  <conditionalFormatting sqref="H1:H1048576">
    <cfRule type="cellIs" dxfId="212" priority="2437" operator="lessThan">
      <formula>0</formula>
    </cfRule>
  </conditionalFormatting>
  <conditionalFormatting sqref="H1:H1048576">
    <cfRule type="cellIs" dxfId="211" priority="2436" operator="lessThan">
      <formula>0</formula>
    </cfRule>
  </conditionalFormatting>
  <conditionalFormatting sqref="H1:H1048576">
    <cfRule type="cellIs" dxfId="210" priority="2435" operator="lessThan">
      <formula>0</formula>
    </cfRule>
  </conditionalFormatting>
  <conditionalFormatting sqref="H1:H1048576">
    <cfRule type="cellIs" dxfId="209" priority="2434" operator="lessThan">
      <formula>0</formula>
    </cfRule>
  </conditionalFormatting>
  <conditionalFormatting sqref="H1:H1048576">
    <cfRule type="cellIs" dxfId="208" priority="2433" operator="lessThan">
      <formula>0</formula>
    </cfRule>
  </conditionalFormatting>
  <conditionalFormatting sqref="H1:H1048576">
    <cfRule type="cellIs" dxfId="207" priority="2432" operator="lessThan">
      <formula>0</formula>
    </cfRule>
  </conditionalFormatting>
  <conditionalFormatting sqref="H1:H1048576">
    <cfRule type="cellIs" dxfId="206" priority="2431" operator="lessThan">
      <formula>0</formula>
    </cfRule>
  </conditionalFormatting>
  <conditionalFormatting sqref="H1:H1048576">
    <cfRule type="cellIs" dxfId="205" priority="2430" operator="lessThan">
      <formula>0</formula>
    </cfRule>
  </conditionalFormatting>
  <conditionalFormatting sqref="H1:H1048576">
    <cfRule type="cellIs" dxfId="204" priority="2429" operator="lessThan">
      <formula>0</formula>
    </cfRule>
  </conditionalFormatting>
  <conditionalFormatting sqref="H1:H1048576">
    <cfRule type="cellIs" dxfId="203" priority="2428" operator="lessThan">
      <formula>0</formula>
    </cfRule>
  </conditionalFormatting>
  <conditionalFormatting sqref="H1:H1048576">
    <cfRule type="cellIs" dxfId="202" priority="2427" operator="lessThan">
      <formula>0</formula>
    </cfRule>
  </conditionalFormatting>
  <conditionalFormatting sqref="H1:H1048576">
    <cfRule type="cellIs" dxfId="201" priority="2426" operator="lessThan">
      <formula>0</formula>
    </cfRule>
  </conditionalFormatting>
  <conditionalFormatting sqref="H1:H1048576">
    <cfRule type="cellIs" dxfId="200" priority="2425" operator="lessThan">
      <formula>0</formula>
    </cfRule>
  </conditionalFormatting>
  <conditionalFormatting sqref="H1:H1048576">
    <cfRule type="cellIs" dxfId="199" priority="2424" operator="lessThan">
      <formula>0</formula>
    </cfRule>
  </conditionalFormatting>
  <conditionalFormatting sqref="H1:H1048576">
    <cfRule type="cellIs" dxfId="198" priority="2423" operator="lessThan">
      <formula>0</formula>
    </cfRule>
  </conditionalFormatting>
  <conditionalFormatting sqref="H1:H1048576">
    <cfRule type="cellIs" dxfId="197" priority="2422" operator="lessThan">
      <formula>0</formula>
    </cfRule>
  </conditionalFormatting>
  <conditionalFormatting sqref="H1:H1048576">
    <cfRule type="cellIs" dxfId="196" priority="2421" operator="lessThan">
      <formula>0</formula>
    </cfRule>
  </conditionalFormatting>
  <conditionalFormatting sqref="H1:H1048576">
    <cfRule type="cellIs" dxfId="195" priority="2420" operator="lessThan">
      <formula>0</formula>
    </cfRule>
  </conditionalFormatting>
  <conditionalFormatting sqref="H1:H1048576">
    <cfRule type="cellIs" dxfId="194" priority="2419" operator="lessThan">
      <formula>0</formula>
    </cfRule>
  </conditionalFormatting>
  <conditionalFormatting sqref="H1:H1048576">
    <cfRule type="cellIs" dxfId="193" priority="2418" operator="lessThan">
      <formula>0</formula>
    </cfRule>
  </conditionalFormatting>
  <conditionalFormatting sqref="H1:H1048576">
    <cfRule type="cellIs" dxfId="192" priority="2417" operator="lessThan">
      <formula>0</formula>
    </cfRule>
  </conditionalFormatting>
  <conditionalFormatting sqref="H1:H1048576">
    <cfRule type="cellIs" dxfId="191" priority="2416" operator="lessThan">
      <formula>0</formula>
    </cfRule>
  </conditionalFormatting>
  <conditionalFormatting sqref="H1:H1048576">
    <cfRule type="cellIs" dxfId="190" priority="2415" operator="lessThan">
      <formula>0</formula>
    </cfRule>
  </conditionalFormatting>
  <conditionalFormatting sqref="H1:H1048576">
    <cfRule type="cellIs" dxfId="189" priority="2414" operator="lessThan">
      <formula>0</formula>
    </cfRule>
  </conditionalFormatting>
  <conditionalFormatting sqref="H1:H1048576">
    <cfRule type="cellIs" dxfId="188" priority="2413" operator="lessThan">
      <formula>0</formula>
    </cfRule>
  </conditionalFormatting>
  <conditionalFormatting sqref="H1:H1048576">
    <cfRule type="cellIs" dxfId="187" priority="2412" operator="lessThan">
      <formula>0</formula>
    </cfRule>
  </conditionalFormatting>
  <conditionalFormatting sqref="H1:H1048576">
    <cfRule type="cellIs" dxfId="186" priority="2411" operator="lessThan">
      <formula>0</formula>
    </cfRule>
  </conditionalFormatting>
  <conditionalFormatting sqref="H1:H1048576">
    <cfRule type="cellIs" dxfId="185" priority="2410" operator="lessThan">
      <formula>0</formula>
    </cfRule>
  </conditionalFormatting>
  <conditionalFormatting sqref="H1:H1048576">
    <cfRule type="cellIs" dxfId="184" priority="2409" operator="lessThan">
      <formula>0</formula>
    </cfRule>
  </conditionalFormatting>
  <conditionalFormatting sqref="H1:H1048576">
    <cfRule type="cellIs" dxfId="183" priority="2408" operator="lessThan">
      <formula>0</formula>
    </cfRule>
  </conditionalFormatting>
  <conditionalFormatting sqref="H1:H1048576">
    <cfRule type="cellIs" dxfId="182" priority="2407" operator="lessThan">
      <formula>0</formula>
    </cfRule>
  </conditionalFormatting>
  <conditionalFormatting sqref="H1:H1048576">
    <cfRule type="cellIs" dxfId="181" priority="2406" operator="lessThan">
      <formula>0</formula>
    </cfRule>
  </conditionalFormatting>
  <conditionalFormatting sqref="H1:H1048576">
    <cfRule type="cellIs" dxfId="180" priority="2405" operator="lessThan">
      <formula>0</formula>
    </cfRule>
  </conditionalFormatting>
  <conditionalFormatting sqref="H1:H1048576">
    <cfRule type="cellIs" dxfId="179" priority="2404" operator="lessThan">
      <formula>0</formula>
    </cfRule>
  </conditionalFormatting>
  <conditionalFormatting sqref="H1:H1048576">
    <cfRule type="cellIs" dxfId="178" priority="2403" operator="lessThan">
      <formula>0</formula>
    </cfRule>
  </conditionalFormatting>
  <conditionalFormatting sqref="H1:H1048576">
    <cfRule type="cellIs" dxfId="177" priority="2402" operator="lessThan">
      <formula>0</formula>
    </cfRule>
  </conditionalFormatting>
  <conditionalFormatting sqref="H1:H1048576">
    <cfRule type="cellIs" dxfId="176" priority="2401" operator="lessThan">
      <formula>0</formula>
    </cfRule>
  </conditionalFormatting>
  <conditionalFormatting sqref="H1:H1048576">
    <cfRule type="cellIs" dxfId="175" priority="2400" operator="lessThan">
      <formula>0</formula>
    </cfRule>
  </conditionalFormatting>
  <conditionalFormatting sqref="H1:H1048576">
    <cfRule type="cellIs" dxfId="174" priority="2399" operator="lessThan">
      <formula>0</formula>
    </cfRule>
  </conditionalFormatting>
  <conditionalFormatting sqref="H1:H1048576">
    <cfRule type="cellIs" dxfId="173" priority="2398" operator="lessThan">
      <formula>0</formula>
    </cfRule>
  </conditionalFormatting>
  <conditionalFormatting sqref="H1:H1048576">
    <cfRule type="cellIs" dxfId="172" priority="2397" operator="lessThan">
      <formula>0</formula>
    </cfRule>
  </conditionalFormatting>
  <conditionalFormatting sqref="H1:H1048576">
    <cfRule type="cellIs" dxfId="171" priority="2396" operator="lessThan">
      <formula>0</formula>
    </cfRule>
  </conditionalFormatting>
  <conditionalFormatting sqref="H1:H1048576">
    <cfRule type="cellIs" dxfId="170" priority="2395" operator="lessThan">
      <formula>0</formula>
    </cfRule>
  </conditionalFormatting>
  <conditionalFormatting sqref="H1:H1048576">
    <cfRule type="cellIs" dxfId="169" priority="2394" operator="lessThan">
      <formula>0</formula>
    </cfRule>
  </conditionalFormatting>
  <conditionalFormatting sqref="H1:H1048576">
    <cfRule type="cellIs" dxfId="168" priority="2393" operator="lessThan">
      <formula>0</formula>
    </cfRule>
  </conditionalFormatting>
  <conditionalFormatting sqref="H1:H1048576">
    <cfRule type="cellIs" dxfId="167" priority="2392" operator="lessThan">
      <formula>0</formula>
    </cfRule>
  </conditionalFormatting>
  <conditionalFormatting sqref="H1:H1048576">
    <cfRule type="cellIs" dxfId="166" priority="2391" operator="lessThan">
      <formula>0</formula>
    </cfRule>
  </conditionalFormatting>
  <conditionalFormatting sqref="H1:H1048576">
    <cfRule type="cellIs" dxfId="165" priority="2390" operator="lessThan">
      <formula>0</formula>
    </cfRule>
  </conditionalFormatting>
  <conditionalFormatting sqref="H1:H1048576">
    <cfRule type="cellIs" dxfId="164" priority="2389" operator="lessThan">
      <formula>0</formula>
    </cfRule>
  </conditionalFormatting>
  <conditionalFormatting sqref="H1:H1048576">
    <cfRule type="cellIs" dxfId="163" priority="2388" operator="lessThan">
      <formula>0</formula>
    </cfRule>
  </conditionalFormatting>
  <conditionalFormatting sqref="H1:H1048576">
    <cfRule type="cellIs" dxfId="162" priority="2387" operator="lessThan">
      <formula>0</formula>
    </cfRule>
  </conditionalFormatting>
  <conditionalFormatting sqref="H1:H1048576">
    <cfRule type="cellIs" dxfId="161" priority="2386" operator="lessThan">
      <formula>0</formula>
    </cfRule>
  </conditionalFormatting>
  <conditionalFormatting sqref="H1:H1048576">
    <cfRule type="cellIs" dxfId="160" priority="2385" operator="lessThan">
      <formula>0</formula>
    </cfRule>
  </conditionalFormatting>
  <conditionalFormatting sqref="H1:H1048576">
    <cfRule type="cellIs" dxfId="159" priority="2384" operator="lessThan">
      <formula>0</formula>
    </cfRule>
  </conditionalFormatting>
  <conditionalFormatting sqref="H1:H1048576">
    <cfRule type="cellIs" dxfId="158" priority="2383" operator="lessThan">
      <formula>0</formula>
    </cfRule>
  </conditionalFormatting>
  <conditionalFormatting sqref="H1:H1048576">
    <cfRule type="cellIs" dxfId="157" priority="2382" operator="lessThan">
      <formula>0</formula>
    </cfRule>
  </conditionalFormatting>
  <conditionalFormatting sqref="H1:H1048576">
    <cfRule type="cellIs" dxfId="156" priority="2381" operator="lessThan">
      <formula>0</formula>
    </cfRule>
  </conditionalFormatting>
  <conditionalFormatting sqref="H1:H1048576">
    <cfRule type="cellIs" dxfId="155" priority="2380" operator="lessThan">
      <formula>0</formula>
    </cfRule>
  </conditionalFormatting>
  <conditionalFormatting sqref="H1:H1048576">
    <cfRule type="cellIs" dxfId="154" priority="2379" operator="lessThan">
      <formula>0</formula>
    </cfRule>
  </conditionalFormatting>
  <conditionalFormatting sqref="H1:H1048576">
    <cfRule type="cellIs" dxfId="153" priority="2378" operator="lessThan">
      <formula>0</formula>
    </cfRule>
  </conditionalFormatting>
  <conditionalFormatting sqref="H1:H1048576">
    <cfRule type="cellIs" dxfId="152" priority="2377" operator="lessThan">
      <formula>0</formula>
    </cfRule>
  </conditionalFormatting>
  <conditionalFormatting sqref="H1:H1048576">
    <cfRule type="cellIs" dxfId="151" priority="2376" operator="lessThan">
      <formula>0</formula>
    </cfRule>
  </conditionalFormatting>
  <conditionalFormatting sqref="H1:H1048576">
    <cfRule type="cellIs" dxfId="150" priority="2375" operator="lessThan">
      <formula>0</formula>
    </cfRule>
  </conditionalFormatting>
  <conditionalFormatting sqref="H1:H1048576">
    <cfRule type="cellIs" dxfId="149" priority="2374" operator="lessThan">
      <formula>0</formula>
    </cfRule>
  </conditionalFormatting>
  <conditionalFormatting sqref="H1:H1048576">
    <cfRule type="cellIs" dxfId="148" priority="2373" operator="lessThan">
      <formula>0</formula>
    </cfRule>
  </conditionalFormatting>
  <conditionalFormatting sqref="H1:H1048576">
    <cfRule type="cellIs" dxfId="147" priority="2372" operator="lessThan">
      <formula>0</formula>
    </cfRule>
  </conditionalFormatting>
  <conditionalFormatting sqref="H1:H1048576">
    <cfRule type="cellIs" dxfId="146" priority="2371" operator="lessThan">
      <formula>0</formula>
    </cfRule>
  </conditionalFormatting>
  <conditionalFormatting sqref="H1:H1048576">
    <cfRule type="cellIs" dxfId="145" priority="2370" operator="lessThan">
      <formula>0</formula>
    </cfRule>
  </conditionalFormatting>
  <conditionalFormatting sqref="H1:H1048576">
    <cfRule type="cellIs" dxfId="144" priority="2369" operator="lessThan">
      <formula>0</formula>
    </cfRule>
  </conditionalFormatting>
  <conditionalFormatting sqref="H1:H1048576">
    <cfRule type="cellIs" dxfId="143" priority="2368" operator="lessThan">
      <formula>0</formula>
    </cfRule>
  </conditionalFormatting>
  <conditionalFormatting sqref="H1:H1048576">
    <cfRule type="cellIs" dxfId="142" priority="2367" operator="lessThan">
      <formula>0</formula>
    </cfRule>
  </conditionalFormatting>
  <conditionalFormatting sqref="H1:H1048576">
    <cfRule type="cellIs" dxfId="141" priority="2366" operator="lessThan">
      <formula>0</formula>
    </cfRule>
  </conditionalFormatting>
  <conditionalFormatting sqref="H1:H1048576">
    <cfRule type="cellIs" dxfId="140" priority="2365" operator="lessThan">
      <formula>0</formula>
    </cfRule>
  </conditionalFormatting>
  <conditionalFormatting sqref="H1:H1048576">
    <cfRule type="cellIs" dxfId="139" priority="2364" operator="lessThan">
      <formula>0</formula>
    </cfRule>
  </conditionalFormatting>
  <conditionalFormatting sqref="H1:H1048576">
    <cfRule type="cellIs" dxfId="138" priority="2363" operator="lessThan">
      <formula>0</formula>
    </cfRule>
  </conditionalFormatting>
  <conditionalFormatting sqref="H1:H1048576">
    <cfRule type="cellIs" dxfId="137" priority="2362" operator="lessThan">
      <formula>0</formula>
    </cfRule>
  </conditionalFormatting>
  <conditionalFormatting sqref="H1:H1048576">
    <cfRule type="cellIs" dxfId="136" priority="2361" operator="lessThan">
      <formula>0</formula>
    </cfRule>
  </conditionalFormatting>
  <conditionalFormatting sqref="H1:H1048576">
    <cfRule type="cellIs" dxfId="135" priority="2360" operator="lessThan">
      <formula>0</formula>
    </cfRule>
  </conditionalFormatting>
  <conditionalFormatting sqref="H1:H1048576">
    <cfRule type="cellIs" dxfId="134" priority="2359" operator="lessThan">
      <formula>0</formula>
    </cfRule>
  </conditionalFormatting>
  <conditionalFormatting sqref="H1:H1048576">
    <cfRule type="cellIs" dxfId="133" priority="2358" operator="lessThan">
      <formula>0</formula>
    </cfRule>
  </conditionalFormatting>
  <conditionalFormatting sqref="H1:H1048576">
    <cfRule type="cellIs" dxfId="132" priority="2357" operator="lessThan">
      <formula>0</formula>
    </cfRule>
  </conditionalFormatting>
  <conditionalFormatting sqref="H1:H1048576">
    <cfRule type="cellIs" dxfId="131" priority="2356" operator="lessThan">
      <formula>0</formula>
    </cfRule>
  </conditionalFormatting>
  <conditionalFormatting sqref="H1:H1048576">
    <cfRule type="cellIs" dxfId="130" priority="2355" operator="lessThan">
      <formula>0</formula>
    </cfRule>
  </conditionalFormatting>
  <conditionalFormatting sqref="H1:H1048576">
    <cfRule type="cellIs" dxfId="129" priority="2354" operator="lessThan">
      <formula>0</formula>
    </cfRule>
  </conditionalFormatting>
  <conditionalFormatting sqref="H1:H1048576">
    <cfRule type="cellIs" dxfId="128" priority="2353" operator="lessThan">
      <formula>0</formula>
    </cfRule>
  </conditionalFormatting>
  <conditionalFormatting sqref="H1:H1048576">
    <cfRule type="cellIs" dxfId="127" priority="2352" operator="lessThan">
      <formula>0</formula>
    </cfRule>
  </conditionalFormatting>
  <conditionalFormatting sqref="H1:H1048576">
    <cfRule type="cellIs" dxfId="126" priority="2351" operator="lessThan">
      <formula>0</formula>
    </cfRule>
  </conditionalFormatting>
  <conditionalFormatting sqref="H1:H1048576">
    <cfRule type="cellIs" dxfId="125" priority="2350" operator="lessThan">
      <formula>0</formula>
    </cfRule>
  </conditionalFormatting>
  <conditionalFormatting sqref="H1:H1048576">
    <cfRule type="cellIs" dxfId="124" priority="2349" operator="lessThan">
      <formula>0</formula>
    </cfRule>
  </conditionalFormatting>
  <conditionalFormatting sqref="H1:H1048576">
    <cfRule type="cellIs" dxfId="123" priority="2348" operator="lessThan">
      <formula>0</formula>
    </cfRule>
  </conditionalFormatting>
  <conditionalFormatting sqref="H1:H1048576">
    <cfRule type="cellIs" dxfId="122" priority="2347" operator="lessThan">
      <formula>0</formula>
    </cfRule>
  </conditionalFormatting>
  <conditionalFormatting sqref="H1:H1048576">
    <cfRule type="cellIs" dxfId="121" priority="2346" operator="lessThan">
      <formula>0</formula>
    </cfRule>
  </conditionalFormatting>
  <conditionalFormatting sqref="H1:H1048576">
    <cfRule type="cellIs" dxfId="120" priority="2345" operator="lessThan">
      <formula>0</formula>
    </cfRule>
  </conditionalFormatting>
  <conditionalFormatting sqref="H1:H1048576">
    <cfRule type="cellIs" dxfId="119" priority="2344" operator="lessThan">
      <formula>0</formula>
    </cfRule>
  </conditionalFormatting>
  <conditionalFormatting sqref="H1:H1048576">
    <cfRule type="cellIs" dxfId="118" priority="2343" operator="lessThan">
      <formula>0</formula>
    </cfRule>
  </conditionalFormatting>
  <conditionalFormatting sqref="H1:H1048576">
    <cfRule type="cellIs" dxfId="117" priority="2342" operator="lessThan">
      <formula>0</formula>
    </cfRule>
  </conditionalFormatting>
  <conditionalFormatting sqref="H1:H1048576">
    <cfRule type="cellIs" dxfId="116" priority="2341" operator="lessThan">
      <formula>0</formula>
    </cfRule>
  </conditionalFormatting>
  <conditionalFormatting sqref="H1:H1048576">
    <cfRule type="cellIs" dxfId="115" priority="2340" operator="lessThan">
      <formula>0</formula>
    </cfRule>
  </conditionalFormatting>
  <conditionalFormatting sqref="H1:H1048576">
    <cfRule type="cellIs" dxfId="114" priority="2339" operator="lessThan">
      <formula>0</formula>
    </cfRule>
  </conditionalFormatting>
  <conditionalFormatting sqref="H1:H1048576">
    <cfRule type="cellIs" dxfId="113" priority="2338" operator="lessThan">
      <formula>0</formula>
    </cfRule>
  </conditionalFormatting>
  <conditionalFormatting sqref="H1:H1048576">
    <cfRule type="cellIs" dxfId="112" priority="2337" operator="lessThan">
      <formula>0</formula>
    </cfRule>
  </conditionalFormatting>
  <conditionalFormatting sqref="H1:H1048576">
    <cfRule type="cellIs" dxfId="111" priority="2336" operator="lessThan">
      <formula>0</formula>
    </cfRule>
  </conditionalFormatting>
  <conditionalFormatting sqref="H1:H1048576">
    <cfRule type="cellIs" dxfId="110" priority="2335" operator="lessThan">
      <formula>0</formula>
    </cfRule>
  </conditionalFormatting>
  <conditionalFormatting sqref="H1:H1048576">
    <cfRule type="cellIs" dxfId="109" priority="2334" operator="lessThan">
      <formula>0</formula>
    </cfRule>
  </conditionalFormatting>
  <conditionalFormatting sqref="H1:H1048576">
    <cfRule type="cellIs" dxfId="108" priority="2333" operator="lessThan">
      <formula>0</formula>
    </cfRule>
  </conditionalFormatting>
  <conditionalFormatting sqref="H1:H1048576">
    <cfRule type="cellIs" dxfId="107" priority="2332" operator="lessThan">
      <formula>0</formula>
    </cfRule>
  </conditionalFormatting>
  <conditionalFormatting sqref="H1:H1048576">
    <cfRule type="cellIs" dxfId="106" priority="2331" operator="lessThan">
      <formula>0</formula>
    </cfRule>
  </conditionalFormatting>
  <conditionalFormatting sqref="H1:H1048576">
    <cfRule type="cellIs" dxfId="105" priority="2330" operator="lessThan">
      <formula>0</formula>
    </cfRule>
  </conditionalFormatting>
  <conditionalFormatting sqref="H1:H1048576">
    <cfRule type="cellIs" dxfId="104" priority="2329" operator="lessThan">
      <formula>0</formula>
    </cfRule>
  </conditionalFormatting>
  <conditionalFormatting sqref="H1:H1048576">
    <cfRule type="cellIs" dxfId="103" priority="2328" operator="lessThan">
      <formula>0</formula>
    </cfRule>
  </conditionalFormatting>
  <conditionalFormatting sqref="H1:H1048576">
    <cfRule type="cellIs" dxfId="102" priority="2327" operator="lessThan">
      <formula>0</formula>
    </cfRule>
  </conditionalFormatting>
  <conditionalFormatting sqref="H1:H1048576">
    <cfRule type="cellIs" dxfId="101" priority="2326" operator="lessThan">
      <formula>0</formula>
    </cfRule>
  </conditionalFormatting>
  <conditionalFormatting sqref="H1:H1048576">
    <cfRule type="cellIs" dxfId="100" priority="2325" operator="lessThan">
      <formula>0</formula>
    </cfRule>
  </conditionalFormatting>
  <conditionalFormatting sqref="H1:H1048576">
    <cfRule type="cellIs" dxfId="99" priority="2324" operator="lessThan">
      <formula>0</formula>
    </cfRule>
  </conditionalFormatting>
  <conditionalFormatting sqref="H1:H1048576">
    <cfRule type="cellIs" dxfId="98" priority="2323" operator="lessThan">
      <formula>0</formula>
    </cfRule>
  </conditionalFormatting>
  <conditionalFormatting sqref="H1:H1048576">
    <cfRule type="cellIs" dxfId="97" priority="2322" operator="lessThan">
      <formula>0</formula>
    </cfRule>
  </conditionalFormatting>
  <conditionalFormatting sqref="H1:H1048576">
    <cfRule type="cellIs" dxfId="96" priority="2321" operator="lessThan">
      <formula>0</formula>
    </cfRule>
  </conditionalFormatting>
  <conditionalFormatting sqref="H1:H1048576">
    <cfRule type="cellIs" dxfId="95" priority="2320" operator="lessThan">
      <formula>0</formula>
    </cfRule>
  </conditionalFormatting>
  <conditionalFormatting sqref="H1:H1048576">
    <cfRule type="cellIs" dxfId="94" priority="2319" operator="lessThan">
      <formula>0</formula>
    </cfRule>
  </conditionalFormatting>
  <conditionalFormatting sqref="H1:H1048576">
    <cfRule type="cellIs" dxfId="93" priority="2318" operator="lessThan">
      <formula>0</formula>
    </cfRule>
  </conditionalFormatting>
  <conditionalFormatting sqref="H1:H1048576">
    <cfRule type="cellIs" dxfId="92" priority="2317" operator="lessThan">
      <formula>0</formula>
    </cfRule>
  </conditionalFormatting>
  <conditionalFormatting sqref="H1:H1048576">
    <cfRule type="cellIs" dxfId="91" priority="2316" operator="lessThan">
      <formula>0</formula>
    </cfRule>
  </conditionalFormatting>
  <conditionalFormatting sqref="H1:H1048576">
    <cfRule type="cellIs" dxfId="90" priority="2315" operator="lessThan">
      <formula>0</formula>
    </cfRule>
  </conditionalFormatting>
  <conditionalFormatting sqref="H1:H1048576">
    <cfRule type="cellIs" dxfId="89" priority="2314" operator="lessThan">
      <formula>0</formula>
    </cfRule>
  </conditionalFormatting>
  <conditionalFormatting sqref="H1:H1048576">
    <cfRule type="cellIs" dxfId="88" priority="2313" operator="lessThan">
      <formula>0</formula>
    </cfRule>
  </conditionalFormatting>
  <conditionalFormatting sqref="H1:H1048576">
    <cfRule type="cellIs" dxfId="87" priority="2312" operator="lessThan">
      <formula>0</formula>
    </cfRule>
  </conditionalFormatting>
  <conditionalFormatting sqref="H1:H1048576">
    <cfRule type="cellIs" dxfId="86" priority="2311" operator="lessThan">
      <formula>0</formula>
    </cfRule>
  </conditionalFormatting>
  <conditionalFormatting sqref="H1:H1048576">
    <cfRule type="cellIs" dxfId="85" priority="2310" operator="lessThan">
      <formula>0</formula>
    </cfRule>
  </conditionalFormatting>
  <conditionalFormatting sqref="H1:H1048576">
    <cfRule type="cellIs" dxfId="84" priority="2309" operator="lessThan">
      <formula>0</formula>
    </cfRule>
  </conditionalFormatting>
  <conditionalFormatting sqref="H1:H1048576">
    <cfRule type="cellIs" dxfId="83" priority="2308" operator="lessThan">
      <formula>0</formula>
    </cfRule>
  </conditionalFormatting>
  <conditionalFormatting sqref="H1:H1048576">
    <cfRule type="cellIs" dxfId="82" priority="2307" operator="lessThan">
      <formula>0</formula>
    </cfRule>
  </conditionalFormatting>
  <conditionalFormatting sqref="H1:H1048576">
    <cfRule type="cellIs" dxfId="81" priority="2306" operator="lessThan">
      <formula>0</formula>
    </cfRule>
  </conditionalFormatting>
  <conditionalFormatting sqref="H1:H1048576">
    <cfRule type="cellIs" dxfId="80" priority="2305" operator="lessThan">
      <formula>0</formula>
    </cfRule>
  </conditionalFormatting>
  <conditionalFormatting sqref="H1:H1048576">
    <cfRule type="cellIs" dxfId="79" priority="2304" operator="lessThan">
      <formula>0</formula>
    </cfRule>
  </conditionalFormatting>
  <conditionalFormatting sqref="H1:H1048576">
    <cfRule type="cellIs" dxfId="78" priority="2303" operator="lessThan">
      <formula>0</formula>
    </cfRule>
  </conditionalFormatting>
  <conditionalFormatting sqref="H1:H1048576">
    <cfRule type="cellIs" dxfId="77" priority="2302" operator="lessThan">
      <formula>0</formula>
    </cfRule>
  </conditionalFormatting>
  <conditionalFormatting sqref="H1:H1048576">
    <cfRule type="cellIs" dxfId="76" priority="2301" operator="lessThan">
      <formula>0</formula>
    </cfRule>
  </conditionalFormatting>
  <conditionalFormatting sqref="H1:H1048576">
    <cfRule type="cellIs" dxfId="75" priority="2300" operator="lessThan">
      <formula>0</formula>
    </cfRule>
  </conditionalFormatting>
  <conditionalFormatting sqref="H1:H1048576">
    <cfRule type="cellIs" dxfId="74" priority="2299" operator="lessThan">
      <formula>0</formula>
    </cfRule>
  </conditionalFormatting>
  <conditionalFormatting sqref="H1:H1048576">
    <cfRule type="cellIs" dxfId="73" priority="2298" operator="lessThan">
      <formula>0</formula>
    </cfRule>
  </conditionalFormatting>
  <conditionalFormatting sqref="H1:H1048576">
    <cfRule type="cellIs" dxfId="72" priority="2297" operator="lessThan">
      <formula>0</formula>
    </cfRule>
  </conditionalFormatting>
  <conditionalFormatting sqref="H1:H1048576">
    <cfRule type="cellIs" dxfId="71" priority="2296" operator="lessThan">
      <formula>0</formula>
    </cfRule>
  </conditionalFormatting>
  <conditionalFormatting sqref="H1:H1048576">
    <cfRule type="cellIs" dxfId="70" priority="2295" operator="lessThan">
      <formula>0</formula>
    </cfRule>
  </conditionalFormatting>
  <conditionalFormatting sqref="H1:H1048576">
    <cfRule type="cellIs" dxfId="69" priority="2294" operator="lessThan">
      <formula>0</formula>
    </cfRule>
  </conditionalFormatting>
  <conditionalFormatting sqref="H1:H1048576">
    <cfRule type="cellIs" dxfId="68" priority="2293" operator="lessThan">
      <formula>0</formula>
    </cfRule>
  </conditionalFormatting>
  <conditionalFormatting sqref="H1:H1048576">
    <cfRule type="cellIs" dxfId="67" priority="2292" operator="lessThan">
      <formula>0</formula>
    </cfRule>
  </conditionalFormatting>
  <conditionalFormatting sqref="H1:H1048576">
    <cfRule type="cellIs" dxfId="66" priority="2291" operator="lessThan">
      <formula>0</formula>
    </cfRule>
  </conditionalFormatting>
  <conditionalFormatting sqref="H1:H1048576">
    <cfRule type="cellIs" dxfId="65" priority="2290" operator="lessThan">
      <formula>0</formula>
    </cfRule>
  </conditionalFormatting>
  <conditionalFormatting sqref="H1:H1048576">
    <cfRule type="cellIs" dxfId="64" priority="2289" operator="lessThan">
      <formula>0</formula>
    </cfRule>
  </conditionalFormatting>
  <conditionalFormatting sqref="H1:H1048576">
    <cfRule type="cellIs" dxfId="63" priority="2288" operator="lessThan">
      <formula>0</formula>
    </cfRule>
  </conditionalFormatting>
  <conditionalFormatting sqref="H1:H1048576">
    <cfRule type="cellIs" dxfId="62" priority="2287" operator="lessThan">
      <formula>0</formula>
    </cfRule>
  </conditionalFormatting>
  <conditionalFormatting sqref="H1:H1048576">
    <cfRule type="cellIs" dxfId="61" priority="2286" operator="lessThan">
      <formula>0</formula>
    </cfRule>
  </conditionalFormatting>
  <conditionalFormatting sqref="H1:H1048576">
    <cfRule type="cellIs" dxfId="60" priority="2285" operator="lessThan">
      <formula>0</formula>
    </cfRule>
  </conditionalFormatting>
  <conditionalFormatting sqref="H1:H1048576">
    <cfRule type="cellIs" dxfId="59" priority="2284" operator="lessThan">
      <formula>0</formula>
    </cfRule>
  </conditionalFormatting>
  <conditionalFormatting sqref="H1:H1048576">
    <cfRule type="cellIs" dxfId="58" priority="2283" operator="lessThan">
      <formula>0</formula>
    </cfRule>
  </conditionalFormatting>
  <conditionalFormatting sqref="H1:H1048576">
    <cfRule type="cellIs" dxfId="57" priority="2282" operator="lessThan">
      <formula>0</formula>
    </cfRule>
  </conditionalFormatting>
  <conditionalFormatting sqref="H1:H1048576">
    <cfRule type="cellIs" dxfId="56" priority="2281" operator="lessThan">
      <formula>0</formula>
    </cfRule>
  </conditionalFormatting>
  <conditionalFormatting sqref="H1:H1048576">
    <cfRule type="cellIs" dxfId="55" priority="2280" operator="lessThan">
      <formula>0</formula>
    </cfRule>
  </conditionalFormatting>
  <conditionalFormatting sqref="H1:H1048576">
    <cfRule type="cellIs" dxfId="54" priority="2279" operator="lessThan">
      <formula>0</formula>
    </cfRule>
  </conditionalFormatting>
  <conditionalFormatting sqref="H1:H1048576">
    <cfRule type="cellIs" dxfId="53" priority="2278" operator="lessThan">
      <formula>0</formula>
    </cfRule>
  </conditionalFormatting>
  <conditionalFormatting sqref="H1:H1048576">
    <cfRule type="cellIs" dxfId="52" priority="2277" operator="lessThan">
      <formula>0</formula>
    </cfRule>
  </conditionalFormatting>
  <conditionalFormatting sqref="H1:H1048576">
    <cfRule type="cellIs" dxfId="51" priority="2276" operator="lessThan">
      <formula>0</formula>
    </cfRule>
  </conditionalFormatting>
  <conditionalFormatting sqref="H1:H1048576">
    <cfRule type="cellIs" dxfId="50" priority="2275" operator="lessThan">
      <formula>0</formula>
    </cfRule>
  </conditionalFormatting>
  <conditionalFormatting sqref="H1:H1048576">
    <cfRule type="cellIs" dxfId="49" priority="2274" operator="lessThan">
      <formula>0</formula>
    </cfRule>
  </conditionalFormatting>
  <conditionalFormatting sqref="H1:H1048576">
    <cfRule type="cellIs" dxfId="48" priority="2273" operator="lessThan">
      <formula>0</formula>
    </cfRule>
  </conditionalFormatting>
  <conditionalFormatting sqref="H1:H1048576">
    <cfRule type="cellIs" dxfId="47" priority="2272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1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F13" sqref="F13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331.3</v>
      </c>
      <c r="D1" s="172">
        <f t="shared" ref="D1:D10" si="0">C1/E1-1</f>
        <v>1.7234602243521024E-3</v>
      </c>
      <c r="E1" s="239">
        <f>_xll.BDP(B1&amp;" EQUITY","PX_YEST_CLOSE")</f>
        <v>330.73</v>
      </c>
      <c r="H1" t="s">
        <v>6</v>
      </c>
      <c r="I1" s="173" cm="1">
        <f t="array" ref="I1">_xll.BDP(H1&amp;" EQUITY","LAST_PRICE")</f>
        <v>86.2</v>
      </c>
      <c r="J1" s="172">
        <f t="shared" ref="J1:J10" si="1">I1/K1-1</f>
        <v>-2.3196474135922518E-4</v>
      </c>
      <c r="K1" s="239">
        <f>_xll.BDP(H1&amp;" EQUITY","PX_YEST_CLOSE")</f>
        <v>86.22</v>
      </c>
      <c r="M1" s="5">
        <f>J33/4</f>
        <v>-6.6190546311294396E-3</v>
      </c>
      <c r="P1" s="50"/>
      <c r="Q1" t="s">
        <v>1912</v>
      </c>
      <c r="R1" s="5">
        <f>SUM(U19:U35)</f>
        <v>2.2726118203885721E-2</v>
      </c>
      <c r="S1" s="5">
        <f>T1/R1/10000</f>
        <v>-1.317586352194073E-2</v>
      </c>
      <c r="T1" s="276">
        <f>SUM(V19:V35)</f>
        <v>-2.9943623183789101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191.13</v>
      </c>
      <c r="D2" s="172">
        <f t="shared" si="0"/>
        <v>-7.1684587813619638E-3</v>
      </c>
      <c r="E2" s="239" cm="1">
        <f t="array" ref="E2">_xll.BDP(B2&amp;" EQUITY","PX_YEST_CLOSE")</f>
        <v>192.51</v>
      </c>
      <c r="H2" t="s">
        <v>89</v>
      </c>
      <c r="I2" s="173" cm="1">
        <f t="array" ref="I2">_xll.BDP(H2&amp;" EQUITY","LAST_PRICE")</f>
        <v>90.31</v>
      </c>
      <c r="J2" s="172">
        <f t="shared" si="1"/>
        <v>-2.1242007152920683E-2</v>
      </c>
      <c r="K2" s="239">
        <f>_xll.BDP(H2&amp;" EQUITY","PX_YEST_CLOSE")</f>
        <v>92.27</v>
      </c>
      <c r="O2" s="50"/>
      <c r="P2" s="50"/>
      <c r="R2" s="5"/>
      <c r="S2" s="5"/>
      <c r="T2" s="276"/>
      <c r="U2" s="369"/>
      <c r="V2" s="368"/>
      <c r="W2" s="276">
        <f>W5/W6</f>
        <v>-10.875974330941535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330.56</v>
      </c>
      <c r="D3" s="172">
        <f t="shared" si="0"/>
        <v>-2.6476218524517758E-2</v>
      </c>
      <c r="E3" s="239">
        <f>_xll.BDP(B3&amp;" EQUITY","PX_YEST_CLOSE")</f>
        <v>339.55</v>
      </c>
      <c r="H3" t="s">
        <v>136</v>
      </c>
      <c r="I3" s="173" cm="1">
        <f t="array" ref="I3">_xll.BDP(H3&amp;" EQUITY","LAST_PRICE")</f>
        <v>403.46</v>
      </c>
      <c r="J3" s="172">
        <f t="shared" si="1"/>
        <v>-3.3675033531327836E-2</v>
      </c>
      <c r="K3" s="239" cm="1">
        <f t="array" ref="K3">_xll.BDP(H3&amp;" EQUITY","PX_YEST_CLOSE")</f>
        <v>417.52</v>
      </c>
      <c r="L3" s="174"/>
      <c r="O3" s="5"/>
      <c r="R3" s="5"/>
      <c r="S3" s="5"/>
      <c r="T3" s="276"/>
      <c r="U3" s="276">
        <f>U5/-U6</f>
        <v>1.6855092887704695</v>
      </c>
      <c r="W3" s="45" t="s">
        <v>154</v>
      </c>
      <c r="X3" s="5">
        <f>_xll.BDP("SPY Equity","LAST_PRICE")/_xll.BDP("SPY Equity","PX_YEST_CLOSE")-1</f>
        <v>-2.9825370295659681E-3</v>
      </c>
      <c r="AC3" s="93" cm="1">
        <f t="array" ref="AC3">_xll.BDP("brl Curncy","LAST_PRICE")</f>
        <v>5.2633999999999999</v>
      </c>
      <c r="AD3" s="8">
        <f>AD5*$AC$3</f>
        <v>11821780976.9112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414.88</v>
      </c>
      <c r="D4" s="172">
        <f t="shared" si="0"/>
        <v>-4.7981826108905667E-2</v>
      </c>
      <c r="E4" s="239" cm="1">
        <f t="array" ref="E4">_xll.BDP(B4&amp;" EQUITY","PX_YEST_CLOSE")</f>
        <v>435.79</v>
      </c>
      <c r="F4" s="7"/>
      <c r="G4" s="7"/>
      <c r="H4" t="s">
        <v>0</v>
      </c>
      <c r="I4" s="173" cm="1">
        <f t="array" ref="I4">_xll.BDP(H4&amp;" EQUITY","LAST_PRICE")</f>
        <v>691.97</v>
      </c>
      <c r="J4" s="172">
        <f t="shared" si="1"/>
        <v>-2.9825370295659681E-3</v>
      </c>
      <c r="K4" s="239" cm="1">
        <f t="array" ref="K4">_xll.BDP(H4&amp;" EQUITY","PX_YEST_CLOSE")</f>
        <v>694.04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239.3</v>
      </c>
      <c r="D5" s="172">
        <f t="shared" si="0"/>
        <v>-1.0052537955570151E-2</v>
      </c>
      <c r="E5" s="239" cm="1">
        <f t="array" ref="E5">_xll.BDP(B5&amp;" EQUITY","PX_YEST_CLOSE")</f>
        <v>241.73</v>
      </c>
      <c r="H5" t="s">
        <v>3</v>
      </c>
      <c r="I5" s="175" cm="1">
        <f t="array" ref="I5">_xll.BDP(H5&amp;" EQUITY","LAST_PRICE")</f>
        <v>198.08</v>
      </c>
      <c r="J5" s="172">
        <f t="shared" si="1"/>
        <v>-2.2164013701390095E-3</v>
      </c>
      <c r="K5" s="239" cm="1">
        <f t="array" ref="K5">_xll.BDP(H5&amp;" EQUITY","PX_YEST_CLOSE")</f>
        <v>198.52</v>
      </c>
      <c r="L5" s="174"/>
      <c r="O5" s="27">
        <f>SUMIF(O12:O40,"&gt;0")</f>
        <v>1.5990688479717716E-2</v>
      </c>
      <c r="P5" s="20">
        <f>SUMIF($F$12:$F$40,"Long",P12:P40)</f>
        <v>-1.5004480280193642</v>
      </c>
      <c r="R5" s="27">
        <f>SUMIF(R12:R40,"&gt;0")</f>
        <v>1.0875363778531601E-2</v>
      </c>
      <c r="S5" s="170">
        <f>SUMIF($F$12:$F$40,"Long",S12:S40)</f>
        <v>-1.9453133394167805</v>
      </c>
      <c r="T5" t="s">
        <v>99</v>
      </c>
      <c r="U5" s="33">
        <f>SUMIF($F$12:$F$40,"Long",U12:U40)</f>
        <v>2.5002676995753838E-2</v>
      </c>
      <c r="V5" s="39">
        <f>SUMIF($F$12:$F$40,"Long",V12:V40)</f>
        <v>-3.4457613674361443</v>
      </c>
      <c r="W5" s="5">
        <f>V5/U5/10000</f>
        <v>-1.3781569741597397E-2</v>
      </c>
      <c r="X5" s="5">
        <f>W5-$X$3</f>
        <v>-1.0799032712031429E-2</v>
      </c>
      <c r="Y5" s="55">
        <f>$U5*X5*10000</f>
        <v>-2.7000472676550138</v>
      </c>
      <c r="Z5" s="9">
        <f>U5*$X$3*10000</f>
        <v>-0.74571409978113012</v>
      </c>
      <c r="AA5" s="33">
        <f>SUMIF($F$12:$F$40,"Long",AA12:AA40)</f>
        <v>3.3117989581532919E-2</v>
      </c>
      <c r="AB5" s="276">
        <f>AA5/U5</f>
        <v>1.3245777477010678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259.48</v>
      </c>
      <c r="D6" s="172">
        <f t="shared" si="0"/>
        <v>4.6461204893915031E-3</v>
      </c>
      <c r="E6" s="239" cm="1">
        <f t="array" ref="E6">_xll.BDP(B6&amp;" EQUITY","PX_YEST_CLOSE")</f>
        <v>258.27999999999997</v>
      </c>
      <c r="H6" t="s">
        <v>135</v>
      </c>
      <c r="I6" s="176" cm="1">
        <f t="array" ref="I6">_xll.BDP(H6&amp;" EQUITY","LAST_PRICE")</f>
        <v>621.87</v>
      </c>
      <c r="J6" s="172">
        <f t="shared" si="1"/>
        <v>-1.2010866974881962E-2</v>
      </c>
      <c r="K6" s="239" cm="1">
        <f t="array" ref="K6">_xll.BDP(H6&amp;" EQUITY","PX_YEST_CLOSE")</f>
        <v>629.42999999999995</v>
      </c>
      <c r="L6" s="1">
        <f>$S$1/J6</f>
        <v>1.0969952085469847</v>
      </c>
      <c r="O6" s="27">
        <f>SUMIF(O12:O40,"&lt;0")</f>
        <v>-1.5653613584344379E-2</v>
      </c>
      <c r="P6" s="20">
        <f>SUMIF($F$12:$F$40,"Short",P12:P40)</f>
        <v>-0.26423657645759074</v>
      </c>
      <c r="R6" s="27">
        <f>SUMIF(R12:R40,"&lt;0")</f>
        <v>-2.5740546179934057E-4</v>
      </c>
      <c r="S6" s="170">
        <f>SUMIF($F$12:$F$40,"Short",S12:S40)</f>
        <v>7.6267731221911508E-2</v>
      </c>
      <c r="T6" t="s">
        <v>100</v>
      </c>
      <c r="U6" s="33">
        <f>SUMIF($F$12:$F$40,"Short",U12:U40)</f>
        <v>-1.4833900449158943E-2</v>
      </c>
      <c r="V6" s="39">
        <f>SUMIF($F$12:$F$40,"Short",V12:V40)</f>
        <v>-0.18796884523567922</v>
      </c>
      <c r="W6" s="5">
        <f>V6/U6/10000</f>
        <v>1.2671572515935061E-3</v>
      </c>
      <c r="X6" s="5">
        <f>$X$3-W6</f>
        <v>-4.2496942811594742E-3</v>
      </c>
      <c r="Y6" s="55">
        <f>-$U6*X6*10000</f>
        <v>-0.63039541906079721</v>
      </c>
      <c r="Z6" s="9">
        <f>U6*$X$3*10000</f>
        <v>0.44242657382511796</v>
      </c>
      <c r="AA6" s="33" t="e">
        <f>SUMIF($F$12:$F$40,"Short",AA12:AA40)</f>
        <v>#VALUE!</v>
      </c>
      <c r="AB6" s="276" t="e">
        <f>AA6/U6</f>
        <v>#VALUE!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430.29</v>
      </c>
      <c r="D7" s="172">
        <f t="shared" si="0"/>
        <v>-7.4048442906573531E-3</v>
      </c>
      <c r="E7" s="239" cm="1">
        <f t="array" ref="E7">_xll.BDP(B7&amp;" EQUITY","PX_YEST_CLOSE")</f>
        <v>433.5</v>
      </c>
      <c r="H7" t="s">
        <v>143</v>
      </c>
      <c r="I7" s="175" cm="1">
        <f t="array" ref="I7">_xll.BDP(H7&amp;" EQUITY","LAST_PRICE")</f>
        <v>103.87</v>
      </c>
      <c r="J7" s="172">
        <f t="shared" si="1"/>
        <v>-1.4516129032258074E-2</v>
      </c>
      <c r="K7" s="239">
        <f>_xll.BDP(H7&amp;" EQUITY","PX_YEST_CLOSE")</f>
        <v>105.4</v>
      </c>
      <c r="L7" s="174"/>
      <c r="M7"/>
      <c r="N7" s="28"/>
      <c r="O7" s="29">
        <f>O5+O6</f>
        <v>3.3707489537333768E-4</v>
      </c>
      <c r="P7" s="169">
        <f>SUM(P12:P40)</f>
        <v>-2.9148562446826363</v>
      </c>
      <c r="Q7" s="28"/>
      <c r="R7" s="29">
        <f>R5+R6</f>
        <v>1.061795831673226E-2</v>
      </c>
      <c r="S7" s="169">
        <f>SUM(S12:S40)</f>
        <v>-1.869045608194869</v>
      </c>
      <c r="T7" s="440" t="s">
        <v>2274</v>
      </c>
      <c r="U7" s="344">
        <f>U5+U6</f>
        <v>1.0168776546594895E-2</v>
      </c>
      <c r="V7" s="345">
        <f>V5+V6</f>
        <v>-3.6337302126718236</v>
      </c>
      <c r="W7" s="44">
        <f>V7/U7/10000</f>
        <v>-3.5734192761749793E-2</v>
      </c>
      <c r="X7" s="44"/>
      <c r="Y7" s="56">
        <f>Y5+Y6</f>
        <v>-3.330442686715811</v>
      </c>
      <c r="Z7" s="47">
        <f>Z5+Z6</f>
        <v>-0.30328752595601216</v>
      </c>
      <c r="AA7" s="34" t="e">
        <f>AA5+AA6</f>
        <v>#VALUE!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338</v>
      </c>
      <c r="D8" s="172">
        <f t="shared" si="0"/>
        <v>-7.3909830007390376E-4</v>
      </c>
      <c r="E8" s="239" cm="1">
        <f t="array" ref="E8">_xll.BDP(B8&amp;" EQUITY","PX_YEST_CLOSE")</f>
        <v>338.25</v>
      </c>
      <c r="F8" s="16"/>
      <c r="G8" s="16"/>
      <c r="H8" t="s">
        <v>144</v>
      </c>
      <c r="I8" s="175" cm="1">
        <f t="array" ref="I8">_xll.BDP(H8&amp;" EQUITY","LAST_PRICE")</f>
        <v>259.64999999999998</v>
      </c>
      <c r="J8" s="172">
        <f t="shared" si="1"/>
        <v>-1.4124615559858889E-2</v>
      </c>
      <c r="K8" s="239" cm="1">
        <f t="array" ref="K8">_xll.BDP(H8&amp;" EQUITY","PX_YEST_CLOSE")</f>
        <v>263.37</v>
      </c>
      <c r="M8"/>
      <c r="N8" s="6"/>
      <c r="O8" s="30">
        <f>O5-O6</f>
        <v>3.1644302064062095E-2</v>
      </c>
      <c r="P8" s="31"/>
      <c r="Q8" s="6"/>
      <c r="R8" s="30">
        <f>R5-R6</f>
        <v>1.1132769240330942E-2</v>
      </c>
      <c r="S8" s="31"/>
      <c r="T8" s="6" t="s">
        <v>67</v>
      </c>
      <c r="U8" s="35">
        <f>U5-U6</f>
        <v>3.9836577444912785E-2</v>
      </c>
      <c r="V8" s="41"/>
      <c r="AA8" s="35" t="e">
        <f>AA5-AA6</f>
        <v>#VALUE!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716.5</v>
      </c>
      <c r="D9" s="172">
        <f t="shared" si="0"/>
        <v>-2.9540436943831128E-2</v>
      </c>
      <c r="E9" s="239">
        <f>_xll.BDP(B9&amp;" EQUITY","PX_YEST_CLOSE")</f>
        <v>738.31</v>
      </c>
      <c r="F9" s="16"/>
      <c r="G9" s="16"/>
      <c r="H9" t="s">
        <v>484</v>
      </c>
      <c r="I9" s="175" cm="1">
        <f t="array" ref="I9">_xll.BDP(H9&amp;" EQUITY","LAST_PRICE")</f>
        <v>84.81</v>
      </c>
      <c r="J9" s="172">
        <f t="shared" si="1"/>
        <v>-9.9968163005412336E-2</v>
      </c>
      <c r="K9" s="239" cm="1">
        <f t="array" ref="K9">_xll.BDP(H9&amp;" EQUITY","PX_YEST_CLOSE")</f>
        <v>94.23</v>
      </c>
      <c r="N9" s="6"/>
      <c r="O9" s="30"/>
      <c r="P9" s="46"/>
      <c r="Q9" s="6"/>
      <c r="R9" s="30"/>
      <c r="S9" s="46"/>
      <c r="T9" s="339" t="s">
        <v>2135</v>
      </c>
      <c r="U9" s="340">
        <f>SUM(U18:U18)</f>
        <v>7.8625666551070518E-4</v>
      </c>
      <c r="V9" s="341">
        <f>SUM(V18:V18)</f>
        <v>-1.1501716402056814</v>
      </c>
      <c r="W9" s="123">
        <v>15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164.58</v>
      </c>
      <c r="D10" s="172">
        <f t="shared" si="0"/>
        <v>-2.6211466777113612E-2</v>
      </c>
      <c r="E10" s="239">
        <f>_xll.BDP(B10&amp;" EQUITY","PX_YEST_CLOSE")</f>
        <v>169.01</v>
      </c>
      <c r="F10" s="13"/>
      <c r="G10" s="13"/>
      <c r="H10" t="s">
        <v>131</v>
      </c>
      <c r="I10" s="175" cm="1">
        <f t="array" ref="I10">_xll.BDP(H10&amp;" EQUITY","LAST_PRICE")</f>
        <v>94.2</v>
      </c>
      <c r="J10" s="172">
        <f t="shared" si="1"/>
        <v>-0.12761622522689386</v>
      </c>
      <c r="K10" s="239">
        <f>_xll.BDP(H10&amp;" EQUITY","PX_YEST_CLOSE")</f>
        <v>107.98</v>
      </c>
      <c r="N10" s="6"/>
      <c r="P10" s="50">
        <f>SUM(Tabelad[D1 P&amp;L bps])</f>
        <v>-2.9148562446826363</v>
      </c>
      <c r="Q10" s="6"/>
      <c r="S10" s="50">
        <f>SUM(Tabelad[Options P&amp;L bps])</f>
        <v>-1.869045608194869</v>
      </c>
      <c r="T10" s="342" t="s">
        <v>2275</v>
      </c>
      <c r="U10" s="342">
        <f>U7+U9</f>
        <v>1.09550332121056E-2</v>
      </c>
      <c r="V10" s="343">
        <f>V7+V9</f>
        <v>-4.7839018528775048</v>
      </c>
      <c r="W10" s="17">
        <f>AE7*W9/10000</f>
        <v>3594246.159</v>
      </c>
      <c r="X10" s="347"/>
      <c r="Y10" s="54">
        <v>0.35</v>
      </c>
      <c r="Z10" s="38">
        <f>SUM(Tabelad[Beta Adj])</f>
        <v>5.2839018665591428</v>
      </c>
      <c r="AA10" s="71" t="e">
        <f>AA7-SUM(#REF!)</f>
        <v>#VALUE!</v>
      </c>
      <c r="AD10" s="15">
        <f>SUM(Tabelad[Daily P&amp;L])</f>
        <v>-654686.93437359913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SUM(AH12:AH40)+#REF!+#REF!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1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 t="shared" ref="F12:F17" si="2">IF(T12&gt;0,"Long","Short")</f>
        <v>Long</v>
      </c>
      <c r="G12" s="15"/>
      <c r="H12" s="438">
        <v>3378</v>
      </c>
      <c r="I12" s="36" cm="1">
        <f t="array" ref="I12">_xll.BDP(B12&amp;" Equity","LAST_PRICE")</f>
        <v>169.56</v>
      </c>
      <c r="J12" s="51">
        <f t="shared" ref="J12:J36" si="3">I12/K12-1</f>
        <v>-2.6915351506456187E-2</v>
      </c>
      <c r="K12" s="430" cm="1">
        <f t="array" ref="K12">_xll.BDP(B12&amp;" EQUITY","PX_YEST_CLOSE")</f>
        <v>174.25</v>
      </c>
      <c r="L12" s="53" cm="1">
        <f t="array" ref="L12">_xll.BDP(E12&amp;" Curncy","PX_LAST")</f>
        <v>1</v>
      </c>
      <c r="M12" s="52">
        <v>1</v>
      </c>
      <c r="N12" s="15">
        <f t="shared" ref="N12:N36" si="4">IFERROR(IF(((I12/L12)*H12*M12)&lt;&gt;0,((I12/L12)*H12*M12),0),"-")</f>
        <v>572773.68000000005</v>
      </c>
      <c r="O12" s="357">
        <f>IFERROR(IF(Tabelad[[#This Row],[D1 Exp USD]]&lt;&gt;0,N12/$AE$7,0),"-")</f>
        <v>2.3903775144856461E-4</v>
      </c>
      <c r="P12" s="20">
        <f>IFERROR(IF(Tabelad[[#This Row],[D1 Exp USD]]&lt;&gt;0,((I12-K12)/L12*M12*H12)/$AD$7*10000,0),"-")</f>
        <v>-6.6117424763727728E-2</v>
      </c>
      <c r="Q12" s="15">
        <f>IF(SUM(SUMIFS(Options!$AL$4:$AL$20, Options!$D$4:$D$20, B12), SUMIFS(Options!$AL$4:$AL$20, Options!$D$4:$D$20, B12 &amp; " US"))=0,0,SUM(SUMIFS(Options!$AL$4:$AL$20, Options!$D$4:$D$20, B12), SUMIFS(Options!$AL$4:$AL$20, Options!$D$4:$D$20, B12 &amp; " US")))</f>
        <v>0</v>
      </c>
      <c r="R12" s="19">
        <f t="shared" ref="R12:R14" si="5">Q12/$AE$7</f>
        <v>0</v>
      </c>
      <c r="S12" s="20">
        <f>IF(SUM(SUMIFS(Options!$AK$4:$AK$20, Options!$D$4:$D$20, B12), SUMIFS(Options!$AK$4:$AK$20, Options!$D$4:$D$20, B12 &amp; " US"))=0,0,SUM(SUMIFS(Options!$AK$4:$AK$20, Options!$D$4:$D$20, B12), SUMIFS(Options!AK$4:$AK$20, Options!$D$4:$D$20, B12 &amp; " US")))</f>
        <v>0</v>
      </c>
      <c r="T12" s="13">
        <f t="shared" ref="T12:T36" si="6">N12+Q12</f>
        <v>572773.68000000005</v>
      </c>
      <c r="U12" s="48">
        <f t="shared" ref="U12:U36" si="7">T12/$AE$7</f>
        <v>2.3903775144856461E-4</v>
      </c>
      <c r="V12" s="20">
        <f t="shared" ref="V12:V36" si="8">P12+S12</f>
        <v>-6.6117424763727728E-2</v>
      </c>
      <c r="W12" s="15">
        <f t="shared" ref="W12:W36" si="9">$W$10/(I12/L12*M12)</f>
        <v>21197.488552724699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6.5486742400760023E-2</v>
      </c>
      <c r="AA12" s="19">
        <f>Tabelad[[#This Row],[Exp %]]*Tabelad[[#This Row],[Beta Adj2]]</f>
        <v>2.0474256612542882E-4</v>
      </c>
      <c r="AB12" s="36">
        <f>_xll.BDP($B12&amp;" Equity","volatility_10d")</f>
        <v>43.833573235297941</v>
      </c>
      <c r="AC12" s="36">
        <f>_xll.BDP(B12&amp;" EQUITY","eqy_beta")</f>
        <v>0.85652816295623779</v>
      </c>
      <c r="AD12" s="15">
        <f>Tabelad[[#This Row],[D1 P&amp;L bps]]*$AD$5/10000</f>
        <v>-14850.205462518408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6" si="10">(T12*AG12)/$AD$7*10000</f>
        <v>#VALUE!</v>
      </c>
      <c r="AI12" s="437" t="str">
        <f>_xll.BDP(B12&amp;" Equity","DVD_EX_DT")</f>
        <v>12/06/2025</v>
      </c>
    </row>
    <row r="13" spans="1:39">
      <c r="B13" s="40" t="s">
        <v>2138</v>
      </c>
      <c r="C13" t="s">
        <v>1907</v>
      </c>
      <c r="E13" t="s">
        <v>194</v>
      </c>
      <c r="F13" s="22" t="str">
        <f t="shared" si="2"/>
        <v>Long</v>
      </c>
      <c r="G13" s="15"/>
      <c r="H13" s="438">
        <v>3510</v>
      </c>
      <c r="I13" s="36" cm="1">
        <f t="array" ref="I13">_xll.BDP(B13&amp;" Equity","LAST_PRICE")</f>
        <v>153.18</v>
      </c>
      <c r="J13" s="51">
        <f t="shared" si="3"/>
        <v>-2.7490318075042763E-2</v>
      </c>
      <c r="K13" s="430" cm="1">
        <f t="array" ref="K13">_xll.BDP(B13&amp;" EQUITY","PX_YEST_CLOSE")</f>
        <v>157.51</v>
      </c>
      <c r="L13" s="53" cm="1">
        <f t="array" ref="L13">_xll.BDP(E13&amp;" Curncy","PX_LAST")</f>
        <v>1</v>
      </c>
      <c r="M13" s="52">
        <v>1</v>
      </c>
      <c r="N13" s="15">
        <f t="shared" si="4"/>
        <v>537661.80000000005</v>
      </c>
      <c r="O13" s="357">
        <f>IFERROR(IF(Tabelad[[#This Row],[D1 Exp USD]]&lt;&gt;0,N13/$AE$7,0),"-")</f>
        <v>2.2438438112552215E-4</v>
      </c>
      <c r="P13" s="20">
        <f>IFERROR(IF(Tabelad[[#This Row],[D1 Exp USD]]&lt;&gt;0,((I13-K13)/L13*M13*H13)/$AD$7*10000,0),"-")</f>
        <v>-6.3427625687002692E-2</v>
      </c>
      <c r="Q13" s="15">
        <f>IF(SUM(SUMIFS(Options!$AL$4:$AL$20, Options!$D$4:$D$20, B13), SUMIFS(Options!$AL$4:$AL$20, Options!$D$4:$D$20, B13 &amp; " US"))=0,0,SUM(SUMIFS(Options!$AL$4:$AL$20, Options!$D$4:$D$20, B13), SUMIFS(Options!$AL$4:$AL$20, Options!$D$4:$D$20, B13 &amp; " US")))</f>
        <v>0</v>
      </c>
      <c r="R13" s="19">
        <f t="shared" si="5"/>
        <v>0</v>
      </c>
      <c r="S13" s="20">
        <f>IF(SUM(SUMIFS(Options!$AK$4:$AK$20, Options!$D$4:$D$20, B13), SUMIFS(Options!$AK$4:$AK$20, Options!$D$4:$D$20, B13 &amp; " US"))=0,0,SUM(SUMIFS(Options!$AK$4:$AK$20, Options!$D$4:$D$20, B13), SUMIFS(Options!AK$4:$AK$20, Options!$D$4:$D$20, B13 &amp; " US")))</f>
        <v>0</v>
      </c>
      <c r="T13" s="13">
        <f t="shared" si="6"/>
        <v>537661.80000000005</v>
      </c>
      <c r="U13" s="48">
        <f t="shared" si="7"/>
        <v>2.2438438112552215E-4</v>
      </c>
      <c r="V13" s="20">
        <f t="shared" si="8"/>
        <v>-6.3427625687002692E-2</v>
      </c>
      <c r="W13" s="15">
        <f t="shared" si="9"/>
        <v>23464.200019584801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7.2311513866110302E-2</v>
      </c>
      <c r="AA13" s="19">
        <f>Tabelad[[#This Row],[Exp %]]*Tabelad[[#This Row],[Beta Adj2]]</f>
        <v>2.3251989204483116E-4</v>
      </c>
      <c r="AB13" s="36">
        <f>_xll.BDP($B13&amp;" Equity","volatility_10d")</f>
        <v>51.562600572030902</v>
      </c>
      <c r="AC13" s="36">
        <f>_xll.BDP(B13&amp;" EQUITY","eqy_beta")</f>
        <v>1.0362570285797119</v>
      </c>
      <c r="AD13" s="15">
        <f>Tabelad[[#This Row],[D1 P&amp;L bps]]*$AD$5/10000</f>
        <v>-14246.067157298565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10"/>
        <v>#VALUE!</v>
      </c>
      <c r="AI13" s="437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 t="shared" si="2"/>
        <v>Long</v>
      </c>
      <c r="G14" s="15"/>
      <c r="H14" s="438">
        <v>21000</v>
      </c>
      <c r="I14" s="36" cm="1">
        <f t="array" ref="I14">_xll.BDP(B14&amp;" Equity","LAST_PRICE")</f>
        <v>33.44</v>
      </c>
      <c r="J14" s="51">
        <f t="shared" si="3"/>
        <v>-1.531213191990588E-2</v>
      </c>
      <c r="K14" s="430" cm="1">
        <f t="array" ref="K14">_xll.BDP(B14&amp;" EQUITY","PX_YEST_CLOSE")</f>
        <v>33.96</v>
      </c>
      <c r="L14" s="53" cm="1">
        <f t="array" ref="L14">_xll.BDP(E14&amp;" Curncy","PX_LAST")</f>
        <v>1</v>
      </c>
      <c r="M14" s="52">
        <v>1</v>
      </c>
      <c r="N14" s="15">
        <f t="shared" si="4"/>
        <v>702240</v>
      </c>
      <c r="O14" s="357">
        <f>IFERROR(IF(Tabelad[[#This Row],[D1 Exp USD]]&lt;&gt;0,N14/$AE$7,0),"-")</f>
        <v>2.9306840806169723E-4</v>
      </c>
      <c r="P14" s="20">
        <f>IFERROR(IF(Tabelad[[#This Row],[D1 Exp USD]]&lt;&gt;0,((I14-K14)/L14*M14*H14)/$AD$7*10000,0),"-")</f>
        <v>-4.5572838574187646E-2</v>
      </c>
      <c r="Q14" s="15">
        <f>IF(SUM(SUMIFS(Options!$AL$4:$AL$20, Options!$D$4:$D$20, B14), SUMIFS(Options!$AL$4:$AL$20, Options!$D$4:$D$20, B14 &amp; " US"))=0,0,SUM(SUMIFS(Options!$AL$4:$AL$20, Options!$D$4:$D$20, B14), SUMIFS(Options!$AL$4:$AL$20, Options!$D$4:$D$20, B14 &amp; " US")))</f>
        <v>663737.98227310181</v>
      </c>
      <c r="R14" s="19">
        <f t="shared" si="5"/>
        <v>2.7700021906308523E-4</v>
      </c>
      <c r="S14" s="20">
        <f>IF(SUM(SUMIFS(Options!$AK$4:$AK$20, Options!$D$4:$D$20, B14), SUMIFS(Options!$AK$4:$AK$20, Options!$D$4:$D$20, B14 &amp; " US"))=0,0,SUM(SUMIFS(Options!$AK$4:$AK$20, Options!$D$4:$D$20, B14), SUMIFS(Options!AK$4:$AK$20, Options!$D$4:$D$20, B14 &amp; " US")))</f>
        <v>-3.9308659451840727E-2</v>
      </c>
      <c r="T14" s="13">
        <f t="shared" si="6"/>
        <v>1365977.9822731018</v>
      </c>
      <c r="U14" s="48">
        <f t="shared" si="7"/>
        <v>5.7006862712478251E-4</v>
      </c>
      <c r="V14" s="20">
        <f t="shared" si="8"/>
        <v>-8.4881498026028374E-2</v>
      </c>
      <c r="W14" s="15">
        <f t="shared" si="9"/>
        <v>107483.43776913876</v>
      </c>
      <c r="X14" s="19"/>
      <c r="Y14" s="375">
        <f>Tabelad[[#This Row],[Exp %]]*$Y$10*$AD$7/Tabelad[[#This Row],[Price Today]]</f>
        <v>14297.018355131151</v>
      </c>
      <c r="Z14" s="266">
        <f>Tabelad[[#This Row],[Vol 10d]]/16*Tabelad[[#This Row],[Exp %]]*100</f>
        <v>4.0907720999313994E-2</v>
      </c>
      <c r="AA14" s="19">
        <f>Tabelad[[#This Row],[Exp %]]*Tabelad[[#This Row],[Beta Adj2]]</f>
        <v>6.5044580760719708E-4</v>
      </c>
      <c r="AB14" s="36">
        <f>_xll.BDP($B14&amp;" Equity","volatility_10d")</f>
        <v>11.481486699069919</v>
      </c>
      <c r="AC14" s="36">
        <f>_xll.BDP(B14&amp;" EQUITY","eqy_beta")</f>
        <v>1.1409956216812134</v>
      </c>
      <c r="AD14" s="15">
        <f>Tabelad[[#This Row],[D1 P&amp;L bps]]*$AD$5/10000</f>
        <v>-10235.819358592857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-9.4228420000000007E-3</v>
      </c>
      <c r="AH14" s="20">
        <f t="shared" si="10"/>
        <v>-5.3716666025537395E-2</v>
      </c>
      <c r="AI14" s="437" t="str">
        <f>_xll.BDP(B14&amp;" Equity","DVD_EX_DT")</f>
        <v>19/12/2025</v>
      </c>
    </row>
    <row r="15" spans="1:39" s="506" customFormat="1" ht="15.75" thickBot="1">
      <c r="A15" s="336"/>
      <c r="B15" s="40" t="s">
        <v>1908</v>
      </c>
      <c r="C15" s="506" t="s">
        <v>78</v>
      </c>
      <c r="E15" s="506" t="s">
        <v>194</v>
      </c>
      <c r="F15" s="507" t="str">
        <f t="shared" ref="F15" si="11">IF(T15&gt;0,"Long","Short")</f>
        <v>Short</v>
      </c>
      <c r="G15" s="15"/>
      <c r="H15" s="518">
        <v>-45</v>
      </c>
      <c r="I15" s="36" cm="1">
        <f t="array" ref="I15">_xll.BDP(B15&amp;" INDEX","LAST_PRICE")</f>
        <v>25670</v>
      </c>
      <c r="J15" s="51">
        <f t="shared" ref="J15" si="12">I15/K15-1</f>
        <v>1.4043848014355653E-3</v>
      </c>
      <c r="K15" s="430">
        <v>25634</v>
      </c>
      <c r="L15" s="53" cm="1">
        <f t="array" ref="L15">_xll.BDP(E15&amp;" Curncy","PX_LAST")</f>
        <v>1</v>
      </c>
      <c r="M15" s="52">
        <v>20</v>
      </c>
      <c r="N15" s="15">
        <f t="shared" ref="N15" si="13">IFERROR(IF(((I15/L15)*H15*M15)&lt;&gt;0,((I15/L15)*H15*M15),0),"-")</f>
        <v>-23103000</v>
      </c>
      <c r="O15" s="357">
        <f>IFERROR(IF(Tabelad[[#This Row],[D1 Exp USD]]&lt;&gt;0,N15/$AE$7,0),"-")</f>
        <v>-9.6416601609839829E-3</v>
      </c>
      <c r="P15" s="20">
        <f>IFERROR(IF(Tabelad[[#This Row],[D1 Exp USD]]&lt;&gt;0,((I15-K15)/L15*M15*H15)/$AD$7*10000,0),"-")</f>
        <v>-0.1352161144508856</v>
      </c>
      <c r="Q15" s="15">
        <f>IF(SUM(SUMIFS(Options!$AL$4:$AL$20, Options!$D$4:$D$20, B15), SUMIFS(Options!$AL$4:$AL$20, Options!$D$4:$D$20, B15 &amp; " US"))=0,0,SUM(SUMIFS(Options!$AL$4:$AL$20, Options!$D$4:$D$20, B15), SUMIFS(Options!$AL$4:$AL$20, Options!$D$4:$D$20, B15 &amp; " US")))</f>
        <v>0</v>
      </c>
      <c r="R15" s="19">
        <f t="shared" ref="R15" si="14">Q15/$AE$7</f>
        <v>0</v>
      </c>
      <c r="S15" s="20">
        <f>IF(SUM(SUMIFS(Options!$AK$4:$AK$20, Options!$D$4:$D$20, B15), SUMIFS(Options!$AK$4:$AK$20, Options!$D$4:$D$20, B15 &amp; " US"))=0,0,SUM(SUMIFS(Options!$AK$4:$AK$20, Options!$D$4:$D$20, B15), SUMIFS(Options!AK$4:$AK$20, Options!$D$4:$D$20, B15 &amp; " US")))</f>
        <v>0</v>
      </c>
      <c r="T15" s="508">
        <f t="shared" ref="T15" si="15">N15+Q15</f>
        <v>-23103000</v>
      </c>
      <c r="U15" s="48">
        <f t="shared" ref="U15" si="16">T15/$AE$7</f>
        <v>-9.6416601609839829E-3</v>
      </c>
      <c r="V15" s="20">
        <f t="shared" ref="V15" si="17">P15+S15</f>
        <v>-0.1352161144508856</v>
      </c>
      <c r="W15" s="15">
        <f t="shared" ref="W15" si="18">$W$10/(I15/L15*M15)</f>
        <v>7.0008690280483057</v>
      </c>
      <c r="X15" s="19"/>
      <c r="Y15" s="375">
        <f>Tabelad[[#This Row],[Exp %]]*$Y$10*$AD$7/Tabelad[[#This Row],[Price Today]]</f>
        <v>-315</v>
      </c>
      <c r="Z15" s="266">
        <f>Tabelad[[#This Row],[Vol 10d]]/16*Tabelad[[#This Row],[Exp %]]*100</f>
        <v>-1.1232878532383557</v>
      </c>
      <c r="AA15" s="19" t="e">
        <f>Tabelad[[#This Row],[Exp %]]*Tabelad[[#This Row],[Beta Adj2]]</f>
        <v>#VALUE!</v>
      </c>
      <c r="AB15" s="36">
        <f>_xll.BDP($B15&amp;" INDEX","volatility_10d")</f>
        <v>18.640571594238281</v>
      </c>
      <c r="AC15" s="36" t="str">
        <f>_xll.BDP(B15&amp;" INDEX","eqy_beta")</f>
        <v>#N/A Field Not Applicable</v>
      </c>
      <c r="AD15" s="15">
        <f>Tabelad[[#This Row],[D1 P&amp;L bps]]*$AD$5/10000</f>
        <v>-30370.013481539063</v>
      </c>
      <c r="AE15" s="277"/>
      <c r="AF15" s="231" t="str">
        <f>_xll.BDP(B15&amp;" INDEX","EXPECTED_REPORT_DT")</f>
        <v>#N/A Field Not Applicable</v>
      </c>
      <c r="AG15" s="172" t="e">
        <f>_xll.BDP(B15&amp;" Index","CHG_PCT_1D_PRE_FROM_REGULAR")/100</f>
        <v>#VALUE!</v>
      </c>
      <c r="AH15" s="20" t="e">
        <f t="shared" ref="AH15" si="19">(T15*AG15)/$AD$7*10000</f>
        <v>#VALUE!</v>
      </c>
      <c r="AI15" s="509" t="str">
        <f>_xll.BDP(B15&amp;" INDEX","DVD_EX_DT")</f>
        <v>#N/A Field Not Applicable</v>
      </c>
    </row>
    <row r="16" spans="1:39" s="506" customFormat="1">
      <c r="A16" s="336"/>
      <c r="B16" s="40" t="s">
        <v>3</v>
      </c>
      <c r="C16" s="506" t="s">
        <v>78</v>
      </c>
      <c r="E16" s="506" t="s">
        <v>194</v>
      </c>
      <c r="F16" s="507" t="str">
        <f t="shared" si="2"/>
        <v>Short</v>
      </c>
      <c r="G16" s="15"/>
      <c r="H16" s="518">
        <v>-47900</v>
      </c>
      <c r="I16" s="36" cm="1">
        <f t="array" ref="I16">_xll.BDP(B16&amp;" Equity","LAST_PRICE")</f>
        <v>198.08</v>
      </c>
      <c r="J16" s="51">
        <f t="shared" ref="J16" si="20">I16/K16-1</f>
        <v>-2.2164013701390095E-3</v>
      </c>
      <c r="K16" s="430" cm="1">
        <f t="array" ref="K16">_xll.BDP(B16&amp;" EQUITY","PX_YEST_CLOSE")</f>
        <v>198.52</v>
      </c>
      <c r="L16" s="53" cm="1">
        <f t="array" ref="L16">_xll.BDP(E16&amp;" Curncy","PX_LAST")</f>
        <v>1</v>
      </c>
      <c r="M16" s="52">
        <v>1</v>
      </c>
      <c r="N16" s="15">
        <f t="shared" ref="N16" si="21">IFERROR(IF(((I16/L16)*H16*M16)&lt;&gt;0,((I16/L16)*H16*M16),0),"-")</f>
        <v>-9488032</v>
      </c>
      <c r="O16" s="357">
        <f>IFERROR(IF(Tabelad[[#This Row],[D1 Exp USD]]&lt;&gt;0,N16/$AE$7,0),"-")</f>
        <v>-3.9596753729187195E-3</v>
      </c>
      <c r="P16" s="20">
        <f>IFERROR(IF(Tabelad[[#This Row],[D1 Exp USD]]&lt;&gt;0,((I16-K16)/L16*M16*H16)/$AD$7*10000,0),"-")</f>
        <v>8.7957247782927475E-2</v>
      </c>
      <c r="Q16" s="15">
        <f>IF(SUM(SUMIFS(Options!$AL$4:$AL$20, Options!$D$4:$D$20, B16), SUMIFS(Options!$AL$4:$AL$20, Options!$D$4:$D$20, B16 &amp; " US"))=0,0,SUM(SUMIFS(Options!$AL$4:$AL$20, Options!$D$4:$D$20, B16), SUMIFS(Options!$AL$4:$AL$20, Options!$D$4:$D$20, B16 &amp; " US")))</f>
        <v>0</v>
      </c>
      <c r="R16" s="19">
        <f t="shared" ref="R16" si="22">Q16/$AE$7</f>
        <v>0</v>
      </c>
      <c r="S16" s="20">
        <f>IF(SUM(SUMIFS(Options!$AK$4:$AK$20, Options!$D$4:$D$20, B16), SUMIFS(Options!$AK$4:$AK$20, Options!$D$4:$D$20, B16 &amp; " US"))=0,0,SUM(SUMIFS(Options!$AK$4:$AK$20, Options!$D$4:$D$20, B16), SUMIFS(Options!AK$4:$AK$20, Options!$D$4:$D$20, B16 &amp; " US")))</f>
        <v>0</v>
      </c>
      <c r="T16" s="508">
        <f t="shared" ref="T16" si="23">N16+Q16</f>
        <v>-9488032</v>
      </c>
      <c r="U16" s="48">
        <f t="shared" ref="U16" si="24">T16/$AE$7</f>
        <v>-3.9596753729187195E-3</v>
      </c>
      <c r="V16" s="474">
        <f t="shared" ref="V16" si="25">P16+S16</f>
        <v>8.7957247782927475E-2</v>
      </c>
      <c r="W16" s="15">
        <f t="shared" ref="W16" si="26">$W$10/(I16/L16*M16)</f>
        <v>18145.426893174474</v>
      </c>
      <c r="X16" s="19"/>
      <c r="Y16" s="375">
        <f>Tabelad[[#This Row],[Exp %]]*$Y$10*$AD$7/Tabelad[[#This Row],[Price Today]]</f>
        <v>-16764.999999999996</v>
      </c>
      <c r="Z16" s="266">
        <f>Tabelad[[#This Row],[Vol 10d]]/16*Tabelad[[#This Row],[Exp %]]*100</f>
        <v>-0.33253114404896245</v>
      </c>
      <c r="AA16" s="19">
        <f>Tabelad[[#This Row],[Exp %]]*Tabelad[[#This Row],[Beta Adj2]]</f>
        <v>-3.9452857716993344E-3</v>
      </c>
      <c r="AB16" s="36">
        <f>_xll.BDP($B16&amp;" Equity","volatility_10d")</f>
        <v>13.43670327414139</v>
      </c>
      <c r="AC16" s="36">
        <f>_xll.BDP(B16&amp;" EQUITY","eqy_beta")</f>
        <v>0.99636596441268921</v>
      </c>
      <c r="AD16" s="15">
        <f>Tabelad[[#This Row],[D1 P&amp;L bps]]*$AD$5/10000</f>
        <v>19755.506300522036</v>
      </c>
      <c r="AE16" s="277"/>
      <c r="AF16" s="231" t="str">
        <f>_xll.BDP(B16&amp;" Equity","EXPECTED_REPORT_DT")</f>
        <v>#N/A N/A</v>
      </c>
      <c r="AG16" s="172" t="e">
        <f>_xll.BDP(B16&amp;" Index","CHG_PCT_1D_PRE_FROM_REGULAR")/100</f>
        <v>#VALUE!</v>
      </c>
      <c r="AH16" s="20" t="e">
        <f t="shared" ref="AH16" si="27">(T16*AG16)/$AD$7*10000</f>
        <v>#VALUE!</v>
      </c>
      <c r="AI16" s="509" t="str">
        <f>_xll.BDP(B16&amp;" Equity","DVD_EX_DT")</f>
        <v>22/12/2025</v>
      </c>
    </row>
    <row r="17" spans="1:35" s="506" customFormat="1" ht="15.75" thickBot="1">
      <c r="A17" s="336"/>
      <c r="B17" s="40" t="s">
        <v>135</v>
      </c>
      <c r="C17" s="506" t="s">
        <v>78</v>
      </c>
      <c r="E17" s="506" t="s">
        <v>194</v>
      </c>
      <c r="F17" s="507" t="str">
        <f t="shared" si="2"/>
        <v>Short</v>
      </c>
      <c r="G17" s="15"/>
      <c r="H17" s="518"/>
      <c r="I17" s="36" cm="1">
        <f t="array" ref="I17">_xll.BDP(B17&amp;" Equity","LAST_PRICE")</f>
        <v>621.87</v>
      </c>
      <c r="J17" s="51">
        <f t="shared" ref="J17" si="28">I17/K17-1</f>
        <v>-1.2010866974881962E-2</v>
      </c>
      <c r="K17" s="430" cm="1">
        <f t="array" ref="K17">_xll.BDP(B17&amp;" EQUITY","PX_YEST_CLOSE")</f>
        <v>629.42999999999995</v>
      </c>
      <c r="L17" s="53" cm="1">
        <f t="array" ref="L17">_xll.BDP(E17&amp;" Curncy","PX_LAST")</f>
        <v>1</v>
      </c>
      <c r="M17" s="52">
        <v>1</v>
      </c>
      <c r="N17" s="15">
        <f t="shared" ref="N17" si="29">IFERROR(IF(((I17/L17)*H17*M17)&lt;&gt;0,((I17/L17)*H17*M17),0),"-")</f>
        <v>0</v>
      </c>
      <c r="O17" s="357">
        <f>IFERROR(IF(Tabelad[[#This Row],[D1 Exp USD]]&lt;&gt;0,N17/$AE$7,0),"-")</f>
        <v>0</v>
      </c>
      <c r="P17" s="20">
        <f>IFERROR(IF(Tabelad[[#This Row],[D1 Exp USD]]&lt;&gt;0,((I17-K17)/L17*M17*H17)/$AD$7*10000,0),"-")</f>
        <v>0</v>
      </c>
      <c r="Q17" s="15"/>
      <c r="R17" s="19"/>
      <c r="S17" s="20">
        <f>IF(SUM(SUMIFS(Options!$AK$4:$AK$20, Options!$D$4:$D$20, B17), SUMIFS(Options!$AK$4:$AK$20, Options!$D$4:$D$20, B17 &amp; " US"))=0,0,SUM(SUMIFS(Options!$AK$4:$AK$20, Options!$D$4:$D$20, B17), SUMIFS(Options!AK$4:$AK$20, Options!$D$4:$D$20, B17 &amp; " US")))</f>
        <v>0</v>
      </c>
      <c r="T17" s="508"/>
      <c r="U17" s="48"/>
      <c r="V17" s="505">
        <f t="shared" ref="V17" si="30">P17+S17</f>
        <v>0</v>
      </c>
      <c r="W17" s="15">
        <f t="shared" ref="W17" si="31">$W$10/(I17/L17*M17)</f>
        <v>5779.7387862414971</v>
      </c>
      <c r="X17" s="19"/>
      <c r="Y17" s="375">
        <f>Tabelad[[#This Row],[Exp %]]*$Y$10*$AD$7/Tabelad[[#This Row],[Price Today]]</f>
        <v>0</v>
      </c>
      <c r="Z17" s="266">
        <f>Tabelad[[#This Row],[Vol 10d]]/16*Tabelad[[#This Row],[Exp %]]*100</f>
        <v>0</v>
      </c>
      <c r="AA17" s="19">
        <f>Tabelad[[#This Row],[Exp %]]*Tabelad[[#This Row],[Beta Adj2]]</f>
        <v>0</v>
      </c>
      <c r="AB17" s="36">
        <f>_xll.BDP($B17&amp;" Equity","volatility_10d")</f>
        <v>17.634642743666596</v>
      </c>
      <c r="AC17" s="36">
        <f>_xll.BDP(B17&amp;" EQUITY","eqy_beta")</f>
        <v>1.0010099411010742</v>
      </c>
      <c r="AD17" s="15">
        <f>Tabelad[[#This Row],[D1 P&amp;L bps]]*$AD$5/10000</f>
        <v>0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-5.846548E-3</v>
      </c>
      <c r="AH17" s="20">
        <f t="shared" ref="AH17" si="32">(T17*AG17)/$AD$7*10000</f>
        <v>0</v>
      </c>
      <c r="AI17" s="509" t="str">
        <f>_xll.BDP(B17&amp;" Equity","DVD_EX_DT")</f>
        <v>22/12/2025</v>
      </c>
    </row>
    <row r="18" spans="1:35" s="506" customFormat="1">
      <c r="A18" s="336"/>
      <c r="B18" s="40" t="s">
        <v>131</v>
      </c>
      <c r="C18" s="506" t="s">
        <v>2135</v>
      </c>
      <c r="E18" s="506" t="s">
        <v>194</v>
      </c>
      <c r="F18" s="507"/>
      <c r="G18" s="15"/>
      <c r="H18" s="518">
        <v>20000</v>
      </c>
      <c r="I18" s="36" cm="1">
        <f t="array" ref="I18">_xll.BDP(B18&amp;" Equity","LAST_PRICE")</f>
        <v>94.2</v>
      </c>
      <c r="J18" s="51">
        <f>I18/K18-1</f>
        <v>-0.12761622522689386</v>
      </c>
      <c r="K18" s="430" cm="1">
        <f t="array" ref="K18">_xll.BDP(B18&amp;" EQUITY","PX_YEST_CLOSE")</f>
        <v>107.98</v>
      </c>
      <c r="L18" s="53" cm="1">
        <f t="array" ref="L18">_xll.BDP(E18&amp;" Curncy","PX_LAST")</f>
        <v>1</v>
      </c>
      <c r="M18" s="52">
        <v>1</v>
      </c>
      <c r="N18" s="15">
        <f t="shared" ref="N18:N21" si="33">IFERROR(IF(((I18/L18)*H18*M18)&lt;&gt;0,((I18/L18)*H18*M18),0),"-")</f>
        <v>1884000</v>
      </c>
      <c r="O18" s="357">
        <f>IFERROR(IF(Tabelad[[#This Row],[D1 Exp USD]]&lt;&gt;0,N18/$AE$7,0),"-")</f>
        <v>7.8625666551070518E-4</v>
      </c>
      <c r="P18" s="20">
        <f>IFERROR(IF(Tabelad[[#This Row],[D1 Exp USD]]&lt;&gt;0,((I18-K18)/L18*M18*H18)/$AD$7*10000,0),"-")</f>
        <v>-1.1501716402056814</v>
      </c>
      <c r="Q18" s="15">
        <f>IF(SUM(SUMIFS(Options!$AL$4:$AL$20, Options!$D$4:$D$20, B18), SUMIFS(Options!$AL$4:$AL$20, Options!$D$4:$D$20, B18 &amp; " US"))=0,0,SUM(SUMIFS(Options!$AL$4:$AL$20, Options!$D$4:$D$20, B18), SUMIFS(Options!$AL$4:$AL$20, Options!$D$4:$D$20, B18 &amp; " US")))</f>
        <v>0</v>
      </c>
      <c r="R18" s="19">
        <f t="shared" ref="R18" si="34">Q18/$AE$7</f>
        <v>0</v>
      </c>
      <c r="S18" s="20">
        <f>IF(SUM(SUMIFS(Options!$AK$4:$AK$20, Options!$D$4:$D$20, B18), SUMIFS(Options!$AK$4:$AK$20, Options!$D$4:$D$20, B18 &amp; " US"))=0,0,SUM(SUMIFS(Options!$AK$4:$AK$20, Options!$D$4:$D$20, B18), SUMIFS(Options!AK$4:$AK$20, Options!$D$4:$D$20, B18 &amp; " US")))</f>
        <v>0</v>
      </c>
      <c r="T18" s="508">
        <f t="shared" ref="T18:T21" si="35">N18+Q18</f>
        <v>1884000</v>
      </c>
      <c r="U18" s="48">
        <f t="shared" ref="U18:U21" si="36">T18/$AE$7</f>
        <v>7.8625666551070518E-4</v>
      </c>
      <c r="V18" s="20">
        <f t="shared" ref="V18:V21" si="37">P18+S18</f>
        <v>-1.1501716402056814</v>
      </c>
      <c r="W18" s="15">
        <f t="shared" si="9"/>
        <v>38155.479394904454</v>
      </c>
      <c r="X18" s="19"/>
      <c r="Y18" s="375">
        <f>Tabelad[[#This Row],[Exp %]]*$Y$10*$AD$7/Tabelad[[#This Row],[Price Today]]</f>
        <v>7000</v>
      </c>
      <c r="Z18" s="266">
        <f>Tabelad[[#This Row],[Vol 10d]]/16*Tabelad[[#This Row],[Exp %]]*100</f>
        <v>0.4579753929375715</v>
      </c>
      <c r="AA18" s="19">
        <f>Tabelad[[#This Row],[Exp %]]*Tabelad[[#This Row],[Beta Adj2]]</f>
        <v>7.7923841807321485E-4</v>
      </c>
      <c r="AB18" s="36">
        <f>_xll.BDP($B18&amp;" Equity","volatility_10d")</f>
        <v>93.196110232548179</v>
      </c>
      <c r="AC18" s="36">
        <f>_xll.BDP(B18&amp;" EQUITY","eqy_beta")</f>
        <v>0.9910738468170166</v>
      </c>
      <c r="AD18" s="15">
        <f>Tabelad[[#This Row],[D1 P&amp;L bps]]*$AD$5/10000</f>
        <v>-258332.58381210393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-8.399703E-2</v>
      </c>
      <c r="AH18" s="20">
        <f t="shared" si="10"/>
        <v>-0.66043224720602667</v>
      </c>
      <c r="AI18" s="509" t="str">
        <f>_xll.BDP(B18&amp;" Equity","DVD_EX_DT")</f>
        <v>22/12/2025</v>
      </c>
    </row>
    <row r="19" spans="1:35" s="506" customFormat="1">
      <c r="A19" s="336"/>
      <c r="B19" s="40" t="s">
        <v>2145</v>
      </c>
      <c r="C19" s="506" t="s">
        <v>2246</v>
      </c>
      <c r="E19" s="506" t="s">
        <v>194</v>
      </c>
      <c r="F19" s="507" t="s">
        <v>99</v>
      </c>
      <c r="G19" s="15"/>
      <c r="H19" s="518">
        <v>14500</v>
      </c>
      <c r="I19" s="36" cm="1">
        <f t="array" ref="I19">_xll.BDP(B19&amp;" Equity","LAST_PRICE")</f>
        <v>338.53</v>
      </c>
      <c r="J19" s="51">
        <f t="shared" ref="J19:J21" si="38">I19/K19-1</f>
        <v>-3.8386582413052484E-4</v>
      </c>
      <c r="K19" s="430" cm="1">
        <f t="array" ref="K19">_xll.BDP(B19&amp;" EQUITY","PX_YEST_CLOSE")</f>
        <v>338.66</v>
      </c>
      <c r="L19" s="53" cm="1">
        <f t="array" ref="L19">_xll.BDP(E19&amp;" Curncy","PX_LAST")</f>
        <v>1</v>
      </c>
      <c r="M19" s="52">
        <v>1</v>
      </c>
      <c r="N19" s="15">
        <f t="shared" si="33"/>
        <v>4908685</v>
      </c>
      <c r="O19" s="357">
        <f>IFERROR(IF(Tabelad[[#This Row],[D1 Exp USD]]&lt;&gt;0,N19/$AE$7,0),"-")</f>
        <v>2.0485596072942762E-3</v>
      </c>
      <c r="P19" s="20">
        <f>IFERROR(IF(Tabelad[[#This Row],[D1 Exp USD]]&lt;&gt;0,((I19-K19)/L19*M19*H19)/$AD$7*10000,0),"-")</f>
        <v>-7.8667399919759851E-3</v>
      </c>
      <c r="Q19" s="15">
        <f>IF(SUM(SUMIFS(Options!$AL$4:$AL$20, Options!$D$4:$D$20, B19), SUMIFS(Options!$AL$4:$AL$20, Options!$D$4:$D$20, B19 &amp; " US"))=0,0,SUM(SUMIFS(Options!$AL$4:$AL$20, Options!$D$4:$D$20, B19), SUMIFS(Options!$AL$4:$AL$20, Options!$D$4:$D$20, B19 &amp; " US")))</f>
        <v>0</v>
      </c>
      <c r="R19" s="19">
        <f t="shared" ref="R19:R29" si="39">Q19/$AE$7</f>
        <v>0</v>
      </c>
      <c r="S19" s="20">
        <f>IF(SUM(SUMIFS(Options!$AK$4:$AK$20, Options!$D$4:$D$20, B19), SUMIFS(Options!$AK$4:$AK$20, Options!$D$4:$D$20, B19 &amp; " US"))=0,0,SUM(SUMIFS(Options!$AK$4:$AK$20, Options!$D$4:$D$20, B19), SUMIFS(Options!AK$4:$AK$20, Options!$D$4:$D$20, B19 &amp; " US")))</f>
        <v>0</v>
      </c>
      <c r="T19" s="508">
        <f t="shared" si="35"/>
        <v>4908685</v>
      </c>
      <c r="U19" s="48">
        <f t="shared" si="36"/>
        <v>2.0485596072942762E-3</v>
      </c>
      <c r="V19" s="20">
        <f t="shared" si="37"/>
        <v>-7.8667399919759851E-3</v>
      </c>
      <c r="W19" s="15">
        <f t="shared" si="9"/>
        <v>10617.216078338701</v>
      </c>
      <c r="X19" s="19"/>
      <c r="Y19" s="375">
        <f>Tabelad[[#This Row],[Exp %]]*$Y$10*$AD$7/Tabelad[[#This Row],[Price Today]]</f>
        <v>5075</v>
      </c>
      <c r="Z19" s="266">
        <f>Tabelad[[#This Row],[Vol 10d]]/16*Tabelad[[#This Row],[Exp %]]*100</f>
        <v>0.26939129243616977</v>
      </c>
      <c r="AA19" s="19">
        <f>Tabelad[[#This Row],[Exp %]]*Tabelad[[#This Row],[Beta Adj2]]</f>
        <v>2.116348388902619E-3</v>
      </c>
      <c r="AB19" s="36">
        <f>_xll.BDP($B19&amp;" Equity","volatility_10d")</f>
        <v>21.040445509279955</v>
      </c>
      <c r="AC19" s="36" cm="1">
        <f t="array" ref="AC19">_xll.BDP(B19&amp;" EQUITY","eqy_beta")</f>
        <v>1.0330909490585327</v>
      </c>
      <c r="AD19" s="15">
        <f>Tabelad[[#This Row],[D1 P&amp;L bps]]*$AD$5/10000</f>
        <v>-1766.89738928161</v>
      </c>
      <c r="AE19" s="277"/>
      <c r="AF19" s="231" t="str">
        <f>_xll.BDP(B19&amp;" Equity","EXPECTED_REPORT_DT")</f>
        <v>04/02/2026</v>
      </c>
      <c r="AG19" s="172">
        <f>_xll.BDP(B19&amp;" Index","CHG_PCT_1D_PRE_FROM_REGULAR")/100</f>
        <v>-1.192939E-2</v>
      </c>
      <c r="AH19" s="20">
        <f t="shared" si="10"/>
        <v>-0.24438066493660265</v>
      </c>
      <c r="AI19" s="509" t="str">
        <f>_xll.BDP(B19&amp;" Equity","DVD_EX_DT")</f>
        <v>08/12/2025</v>
      </c>
    </row>
    <row r="20" spans="1:35" s="506" customFormat="1">
      <c r="A20" s="336" t="s">
        <v>1770</v>
      </c>
      <c r="B20" s="40" t="s">
        <v>79</v>
      </c>
      <c r="C20" s="506" t="s">
        <v>2246</v>
      </c>
      <c r="E20" s="506" t="s">
        <v>194</v>
      </c>
      <c r="F20" s="507" t="s">
        <v>99</v>
      </c>
      <c r="G20" s="15"/>
      <c r="H20" s="518">
        <v>0</v>
      </c>
      <c r="I20" s="36" cm="1">
        <f t="array" ref="I20">_xll.BDP(B20&amp;" Equity","LAST_PRICE")</f>
        <v>259.48</v>
      </c>
      <c r="J20" s="51">
        <f t="shared" ref="J20" si="40">I20/K20-1</f>
        <v>-1.0751048417842135E-2</v>
      </c>
      <c r="K20" s="430">
        <v>262.3</v>
      </c>
      <c r="L20" s="53" cm="1">
        <f t="array" ref="L20">_xll.BDP(E20&amp;" Curncy","PX_LAST")</f>
        <v>1</v>
      </c>
      <c r="M20" s="52">
        <v>1</v>
      </c>
      <c r="N20" s="15">
        <f t="shared" ref="N20" si="41">IFERROR(IF(((I20/L20)*H20*M20)&lt;&gt;0,((I20/L20)*H20*M20),0),"-")</f>
        <v>0</v>
      </c>
      <c r="O20" s="357">
        <f>IFERROR(IF(Tabelad[[#This Row],[D1 Exp USD]]&lt;&gt;0,N20/$AE$7,0),"-")</f>
        <v>0</v>
      </c>
      <c r="P20" s="20">
        <f>IFERROR(IF(Tabelad[[#This Row],[D1 Exp USD]]&lt;&gt;0,((I20-K20)/L20*M20*H20)/$AD$7*10000,0),"-")</f>
        <v>0</v>
      </c>
      <c r="Q20" s="15">
        <f>IF(SUM(SUMIFS(Options!$AL$4:$AL$20, Options!$D$4:$D$20, B20), SUMIFS(Options!$AL$4:$AL$20, Options!$D$4:$D$20, B20 &amp; " US"))=0,0,SUM(SUMIFS(Options!$AL$4:$AL$20, Options!$D$4:$D$20, B20), SUMIFS(Options!$AL$4:$AL$20, Options!$D$4:$D$20, B20 &amp; " US")))</f>
        <v>2417922.1990585332</v>
      </c>
      <c r="R20" s="19">
        <f t="shared" si="39"/>
        <v>1.0090803851889988E-3</v>
      </c>
      <c r="S20" s="20">
        <f>IF(SUM(SUMIFS(Options!$AK$4:$AK$20, Options!$D$4:$D$20, B20), SUMIFS(Options!$AK$4:$AK$20, Options!$D$4:$D$20, B20 &amp; " US"))=0,0,SUM(SUMIFS(Options!$AK$4:$AK$20, Options!$D$4:$D$20, B20), SUMIFS(Options!AK$4:$AK$20, Options!$D$4:$D$20, B20 &amp; " US")))</f>
        <v>0.1694374767501837</v>
      </c>
      <c r="T20" s="508">
        <f t="shared" ref="T20" si="42">N20+Q20</f>
        <v>2417922.1990585332</v>
      </c>
      <c r="U20" s="48">
        <f t="shared" ref="U20" si="43">T20/$AE$7</f>
        <v>1.0090803851889988E-3</v>
      </c>
      <c r="V20" s="20">
        <f t="shared" ref="V20" si="44">P20+S20</f>
        <v>0.1694374767501837</v>
      </c>
      <c r="W20" s="15">
        <f t="shared" ref="W20" si="45">$W$10/(I20/L20*M20)</f>
        <v>13851.727142747031</v>
      </c>
      <c r="X20" s="19"/>
      <c r="Y20" s="375">
        <f>Tabelad[[#This Row],[Exp %]]*$Y$10*$AD$7/Tabelad[[#This Row],[Price Today]]</f>
        <v>3261.4181041717525</v>
      </c>
      <c r="Z20" s="266">
        <f>Tabelad[[#This Row],[Vol 10d]]/16*Tabelad[[#This Row],[Exp %]]*100</f>
        <v>0.17795654263140959</v>
      </c>
      <c r="AA20" s="19">
        <f>Tabelad[[#This Row],[Exp %]]*Tabelad[[#This Row],[Beta Adj2]]</f>
        <v>1.0807392667555892E-3</v>
      </c>
      <c r="AB20" s="36">
        <f>_xll.BDP($B20&amp;" Equity","volatility_10d")</f>
        <v>28.21682716158692</v>
      </c>
      <c r="AC20" s="36" cm="1">
        <f t="array" ref="AC20">_xll.BDP(B20&amp;" EQUITY","eqy_beta")</f>
        <v>1.0710140466690063</v>
      </c>
      <c r="AD20" s="15">
        <f>Tabelad[[#This Row],[D1 P&amp;L bps]]*$AD$5/10000</f>
        <v>0</v>
      </c>
      <c r="AE20" s="277"/>
      <c r="AF20" s="231" t="str">
        <f>_xll.BDP(B20&amp;" Equity","EXPECTED_REPORT_DT")</f>
        <v>01/05/2026</v>
      </c>
      <c r="AG20" s="172">
        <f>_xll.BDP(B20&amp;" Index","CHG_PCT_1D_PRE_FROM_REGULAR")/100</f>
        <v>-1.4286829999999999E-2</v>
      </c>
      <c r="AH20" s="20">
        <f t="shared" ref="AH20" si="46">(T20*AG20)/$AD$7*10000</f>
        <v>-0.14416559919529745</v>
      </c>
      <c r="AI20" s="509" t="str">
        <f>_xll.BDP(B20&amp;" Equity","DVD_EX_DT")</f>
        <v>09/02/2026</v>
      </c>
    </row>
    <row r="21" spans="1:35" s="506" customFormat="1">
      <c r="A21" s="336"/>
      <c r="B21" s="40" t="s">
        <v>399</v>
      </c>
      <c r="C21" s="506" t="s">
        <v>2246</v>
      </c>
      <c r="E21" s="506" t="s">
        <v>194</v>
      </c>
      <c r="F21" s="507" t="s">
        <v>99</v>
      </c>
      <c r="G21" s="15"/>
      <c r="H21" s="518">
        <v>16335</v>
      </c>
      <c r="I21" s="36" cm="1">
        <f t="array" ref="I21">_xll.BDP(B21&amp;" Equity","LAST_PRICE")</f>
        <v>239.3</v>
      </c>
      <c r="J21" s="51">
        <f t="shared" si="38"/>
        <v>-1.0052537955570151E-2</v>
      </c>
      <c r="K21" s="430" cm="1">
        <f t="array" ref="K21">_xll.BDP(B21&amp;" EQUITY","PX_YEST_CLOSE")</f>
        <v>241.73</v>
      </c>
      <c r="L21" s="53" cm="1">
        <f t="array" ref="L21">_xll.BDP(E21&amp;" Curncy","PX_LAST")</f>
        <v>1</v>
      </c>
      <c r="M21" s="52">
        <v>1</v>
      </c>
      <c r="N21" s="15">
        <f t="shared" si="33"/>
        <v>3908965.5</v>
      </c>
      <c r="O21" s="357">
        <f>IFERROR(IF(Tabelad[[#This Row],[D1 Exp USD]]&lt;&gt;0,N21/$AE$7,0),"-")</f>
        <v>1.6313429828165534E-3</v>
      </c>
      <c r="P21" s="20">
        <f>IFERROR(IF(Tabelad[[#This Row],[D1 Exp USD]]&lt;&gt;0,((I21-K21)/L21*M21*H21)/$AD$7*10000,0),"-")</f>
        <v>-0.16565664221663975</v>
      </c>
      <c r="Q21" s="15">
        <f>IF(SUM(SUMIFS(Options!$AL$4:$AL$20, Options!$D$4:$D$20, B21), SUMIFS(Options!$AL$4:$AL$20, Options!$D$4:$D$20, B21 &amp; " US"))=0,0,SUM(SUMIFS(Options!$AL$4:$AL$20, Options!$D$4:$D$20, B21), SUMIFS(Options!$AL$4:$AL$20, Options!$D$4:$D$20, B21 &amp; " US")))</f>
        <v>0</v>
      </c>
      <c r="R21" s="19">
        <f t="shared" si="39"/>
        <v>0</v>
      </c>
      <c r="S21" s="20">
        <f>IF(SUM(SUMIFS(Options!$AK$4:$AK$20, Options!$D$4:$D$20, B21), SUMIFS(Options!$AK$4:$AK$20, Options!$D$4:$D$20, B21 &amp; " US"))=0,0,SUM(SUMIFS(Options!$AK$4:$AK$20, Options!$D$4:$D$20, B21), SUMIFS(Options!AK$4:$AK$20, Options!$D$4:$D$20, B21 &amp; " US")))</f>
        <v>0</v>
      </c>
      <c r="T21" s="508">
        <f t="shared" si="35"/>
        <v>3908965.5</v>
      </c>
      <c r="U21" s="48">
        <f t="shared" si="36"/>
        <v>1.6313429828165534E-3</v>
      </c>
      <c r="V21" s="20">
        <f t="shared" si="37"/>
        <v>-0.16565664221663975</v>
      </c>
      <c r="W21" s="15">
        <f t="shared" si="9"/>
        <v>15019.833510238193</v>
      </c>
      <c r="X21" s="19"/>
      <c r="Y21" s="375">
        <f>Tabelad[[#This Row],[Exp %]]*$Y$10*$AD$7/Tabelad[[#This Row],[Price Today]]</f>
        <v>5717.25</v>
      </c>
      <c r="Z21" s="266">
        <f>Tabelad[[#This Row],[Vol 10d]]/16*Tabelad[[#This Row],[Exp %]]*100</f>
        <v>0.29850534082383307</v>
      </c>
      <c r="AA21" s="19">
        <f>Tabelad[[#This Row],[Exp %]]*Tabelad[[#This Row],[Beta Adj2]]</f>
        <v>2.0703444946505666E-3</v>
      </c>
      <c r="AB21" s="36">
        <f>_xll.BDP($B21&amp;" Equity","volatility_10d")</f>
        <v>29.277015952435093</v>
      </c>
      <c r="AC21" s="36" cm="1">
        <f t="array" ref="AC21">_xll.BDP(B21&amp;" EQUITY","eqy_beta")</f>
        <v>1.2691043615341187</v>
      </c>
      <c r="AD21" s="15">
        <f>Tabelad[[#This Row],[D1 P&amp;L bps]]*$AD$5/10000</f>
        <v>-37207.06276657022</v>
      </c>
      <c r="AE21" s="277"/>
      <c r="AF21" s="231" t="str">
        <f>_xll.BDP(B21&amp;" Equity","EXPECTED_REPORT_DT")</f>
        <v>05/02/2026</v>
      </c>
      <c r="AG21" s="172">
        <f>_xll.BDP(B21&amp;" Index","CHG_PCT_1D_PRE_FROM_REGULAR")/100</f>
        <v>-7.5290290000000005E-3</v>
      </c>
      <c r="AH21" s="20">
        <f t="shared" si="10"/>
        <v>-0.12282428626572332</v>
      </c>
      <c r="AI21" s="509" t="str">
        <f>_xll.BDP(B21&amp;" Equity","DVD_EX_DT")</f>
        <v>#N/A Field Not Applicable</v>
      </c>
    </row>
    <row r="22" spans="1:35" s="506" customFormat="1">
      <c r="A22" s="336"/>
      <c r="B22" s="40" t="s">
        <v>81</v>
      </c>
      <c r="C22" s="506" t="s">
        <v>2246</v>
      </c>
      <c r="E22" s="506" t="s">
        <v>194</v>
      </c>
      <c r="F22" s="507" t="s">
        <v>99</v>
      </c>
      <c r="G22" s="15"/>
      <c r="H22" s="518">
        <v>5750</v>
      </c>
      <c r="I22" s="36" cm="1">
        <f t="array" ref="I22">_xll.BDP(B22&amp;" Equity","LAST_PRICE")</f>
        <v>716.5</v>
      </c>
      <c r="J22" s="51">
        <f t="shared" si="3"/>
        <v>-2.9540436943831128E-2</v>
      </c>
      <c r="K22" s="430" cm="1">
        <f t="array" ref="K22">_xll.BDP(B22&amp;" EQUITY","PX_YEST_CLOSE")</f>
        <v>738.31</v>
      </c>
      <c r="L22" s="53" cm="1">
        <f t="array" ref="L22">_xll.BDP(E22&amp;" Curncy","PX_LAST")</f>
        <v>1</v>
      </c>
      <c r="M22" s="52">
        <v>1</v>
      </c>
      <c r="N22" s="15">
        <f t="shared" si="4"/>
        <v>4119875</v>
      </c>
      <c r="O22" s="357">
        <f>IFERROR(IF(Tabelad[[#This Row],[D1 Exp USD]]&lt;&gt;0,N22/$AE$7,0),"-")</f>
        <v>1.7193626219856246E-3</v>
      </c>
      <c r="P22" s="20">
        <f>IFERROR(IF(Tabelad[[#This Row],[D1 Exp USD]]&lt;&gt;0,((I22-K22)/L22*M22*H22)/$AD$7*10000,0),"-")</f>
        <v>-0.5233677429938085</v>
      </c>
      <c r="Q22" s="15">
        <f>IF(SUM(SUMIFS(Options!$AL$4:$AL$20, Options!$D$4:$D$20, B22), SUMIFS(Options!$AL$4:$AL$20, Options!$D$4:$D$20, B22 &amp; " US"))=0,0,SUM(SUMIFS(Options!$AL$4:$AL$20, Options!$D$4:$D$20, B22), SUMIFS(Options!$AL$4:$AL$20, Options!$D$4:$D$20, B22 &amp; " US")))</f>
        <v>5398446.1263567209</v>
      </c>
      <c r="R22" s="19">
        <f t="shared" si="39"/>
        <v>2.2529534236987361E-3</v>
      </c>
      <c r="S22" s="20">
        <f>IF(SUM(SUMIFS(Options!$AK$4:$AK$20, Options!$D$4:$D$20, B22), SUMIFS(Options!$AK$4:$AK$20, Options!$D$4:$D$20, B22 &amp; " US"))=0,0,SUM(SUMIFS(Options!$AK$4:$AK$20, Options!$D$4:$D$20, B22), SUMIFS(Options!AK$4:$AK$20, Options!$D$4:$D$20, B22 &amp; " US")))</f>
        <v>-0.64525004615856685</v>
      </c>
      <c r="T22" s="508">
        <f t="shared" si="6"/>
        <v>9518321.1263567209</v>
      </c>
      <c r="U22" s="48">
        <f t="shared" si="7"/>
        <v>3.9723160456843608E-3</v>
      </c>
      <c r="V22" s="20">
        <f t="shared" si="8"/>
        <v>-1.1686177891523752</v>
      </c>
      <c r="W22" s="15">
        <f t="shared" si="9"/>
        <v>5016.3938018143754</v>
      </c>
      <c r="X22" s="19"/>
      <c r="Y22" s="375">
        <f>Tabelad[[#This Row],[Exp %]]*$Y$10*$AD$7/Tabelad[[#This Row],[Price Today]]</f>
        <v>4649.563704431057</v>
      </c>
      <c r="Z22" s="266">
        <f>Tabelad[[#This Row],[Vol 10d]]/16*Tabelad[[#This Row],[Exp %]]*100</f>
        <v>1.6009482275897664</v>
      </c>
      <c r="AA22" s="19">
        <f>Tabelad[[#This Row],[Exp %]]*Tabelad[[#This Row],[Beta Adj2]]</f>
        <v>4.6807676089482162E-3</v>
      </c>
      <c r="AB22" s="36">
        <f>_xll.BDP($B22&amp;" Equity","volatility_10d")</f>
        <v>64.48422367919423</v>
      </c>
      <c r="AC22" s="36" cm="1">
        <f t="array" ref="AC22">_xll.BDP(B22&amp;" EQUITY","eqy_beta")</f>
        <v>1.1783472299575806</v>
      </c>
      <c r="AD22" s="15">
        <f>Tabelad[[#This Row],[D1 P&amp;L bps]]*$AD$5/10000</f>
        <v>-117550.23042241052</v>
      </c>
      <c r="AE22" s="277"/>
      <c r="AF22" s="231" t="str">
        <f>_xll.BDP(B22&amp;" Equity","EXPECTED_REPORT_DT")</f>
        <v>30/04/2026</v>
      </c>
      <c r="AG22" s="172" t="e">
        <f>_xll.BDP(B22&amp;" Index","CHG_PCT_1D_PRE_FROM_REGULAR")/100</f>
        <v>#VALUE!</v>
      </c>
      <c r="AH22" s="20" t="e">
        <f t="shared" si="10"/>
        <v>#VALUE!</v>
      </c>
      <c r="AI22" s="509" t="str">
        <f>_xll.BDP(B22&amp;" Equity","DVD_EX_DT")</f>
        <v>15/12/2025</v>
      </c>
    </row>
    <row r="23" spans="1:35" s="506" customFormat="1">
      <c r="A23" s="336"/>
      <c r="B23" s="40" t="s">
        <v>90</v>
      </c>
      <c r="C23" s="506" t="s">
        <v>2246</v>
      </c>
      <c r="E23" s="506" t="s">
        <v>194</v>
      </c>
      <c r="F23" s="507" t="s">
        <v>99</v>
      </c>
      <c r="G23" s="15"/>
      <c r="H23" s="518">
        <v>4180</v>
      </c>
      <c r="I23" s="36" cm="1">
        <f t="array" ref="I23">_xll.BDP(B23&amp;" Equity","LAST_PRICE")</f>
        <v>430.29</v>
      </c>
      <c r="J23" s="51">
        <f t="shared" si="3"/>
        <v>-7.4048442906573531E-3</v>
      </c>
      <c r="K23" s="430" cm="1">
        <f t="array" ref="K23">_xll.BDP(B23&amp;" EQUITY","PX_YEST_CLOSE")</f>
        <v>433.5</v>
      </c>
      <c r="L23" s="53" cm="1">
        <f t="array" ref="L23">_xll.BDP(E23&amp;" Curncy","PX_LAST")</f>
        <v>1</v>
      </c>
      <c r="M23" s="52">
        <v>1</v>
      </c>
      <c r="N23" s="15">
        <f t="shared" si="4"/>
        <v>1798612.2000000002</v>
      </c>
      <c r="O23" s="357">
        <f>IFERROR(IF(Tabelad[[#This Row],[D1 Exp USD]]&lt;&gt;0,N23/$AE$7,0),"-")</f>
        <v>7.5062146014802215E-4</v>
      </c>
      <c r="P23" s="20">
        <f>IFERROR(IF(Tabelad[[#This Row],[D1 Exp USD]]&lt;&gt;0,((I23-K23)/L23*M23*H23)/$AD$7*10000,0),"-")</f>
        <v>-5.5996999397502509E-2</v>
      </c>
      <c r="Q23" s="15">
        <f>IF(SUM(SUMIFS(Options!$AL$4:$AL$20, Options!$D$4:$D$20, B23), SUMIFS(Options!$AL$4:$AL$20, Options!$D$4:$D$20, B23 &amp; " US"))=0,0,SUM(SUMIFS(Options!$AL$4:$AL$20, Options!$D$4:$D$20, B23), SUMIFS(Options!$AL$4:$AL$20, Options!$D$4:$D$20, B23 &amp; " US")))</f>
        <v>0</v>
      </c>
      <c r="R23" s="19">
        <f t="shared" si="39"/>
        <v>0</v>
      </c>
      <c r="S23" s="20">
        <f>IF(SUM(SUMIFS(Options!$AK$4:$AK$20, Options!$D$4:$D$20, B23), SUMIFS(Options!$AK$4:$AK$20, Options!$D$4:$D$20, B23 &amp; " US"))=0,0,SUM(SUMIFS(Options!$AK$4:$AK$20, Options!$D$4:$D$20, B23), SUMIFS(Options!AK$4:$AK$20, Options!$D$4:$D$20, B23 &amp; " US")))</f>
        <v>0</v>
      </c>
      <c r="T23" s="508">
        <f t="shared" si="6"/>
        <v>1798612.2000000002</v>
      </c>
      <c r="U23" s="48">
        <f t="shared" si="7"/>
        <v>7.5062146014802215E-4</v>
      </c>
      <c r="V23" s="20">
        <f t="shared" si="8"/>
        <v>-5.5996999397502509E-2</v>
      </c>
      <c r="W23" s="15">
        <f t="shared" si="9"/>
        <v>8353.0785261102974</v>
      </c>
      <c r="X23" s="19"/>
      <c r="Y23" s="375">
        <f>Tabelad[[#This Row],[Exp %]]*$Y$10*$AD$7/Tabelad[[#This Row],[Price Today]]</f>
        <v>1463</v>
      </c>
      <c r="Z23" s="266">
        <f>Tabelad[[#This Row],[Vol 10d]]/16*Tabelad[[#This Row],[Exp %]]*100</f>
        <v>0.30712744209814818</v>
      </c>
      <c r="AA23" s="19">
        <f>Tabelad[[#This Row],[Exp %]]*Tabelad[[#This Row],[Beta Adj2]]</f>
        <v>7.6540095585829839E-4</v>
      </c>
      <c r="AB23" s="36">
        <f>_xll.BDP($B23&amp;" Equity","volatility_10d")</f>
        <v>65.46627473988454</v>
      </c>
      <c r="AC23" s="36" cm="1">
        <f t="array" ref="AC23">_xll.BDP(B23&amp;" EQUITY","eqy_beta")</f>
        <v>1.019689679145813</v>
      </c>
      <c r="AD23" s="15">
        <f>Tabelad[[#This Row],[D1 P&amp;L bps]]*$AD$5/10000</f>
        <v>-12577.122434956551</v>
      </c>
      <c r="AE23" s="277"/>
      <c r="AF23" s="231" t="str">
        <f>_xll.BDP(B23&amp;" Equity","EXPECTED_REPORT_DT")</f>
        <v>30/04/2026</v>
      </c>
      <c r="AG23" s="172" t="e">
        <f>_xll.BDP(B23&amp;" Index","CHG_PCT_1D_PRE_FROM_REGULAR")/100</f>
        <v>#VALUE!</v>
      </c>
      <c r="AH23" s="20" t="e">
        <f t="shared" si="10"/>
        <v>#VALUE!</v>
      </c>
      <c r="AI23" s="509" t="str">
        <f>_xll.BDP(B23&amp;" Equity","DVD_EX_DT")</f>
        <v>19/02/2026</v>
      </c>
    </row>
    <row r="24" spans="1:35" s="506" customFormat="1">
      <c r="A24" s="336"/>
      <c r="B24" s="40" t="s">
        <v>89</v>
      </c>
      <c r="C24" s="506" t="s">
        <v>2246</v>
      </c>
      <c r="E24" s="506" t="s">
        <v>194</v>
      </c>
      <c r="F24" s="507" t="s">
        <v>99</v>
      </c>
      <c r="G24" s="15"/>
      <c r="H24" s="518">
        <v>-26000</v>
      </c>
      <c r="I24" s="36" cm="1">
        <f t="array" ref="I24">_xll.BDP(B24&amp;" Equity","LAST_PRICE")</f>
        <v>90.31</v>
      </c>
      <c r="J24" s="51">
        <f t="shared" ref="J24" si="47">I24/K24-1</f>
        <v>-2.1242007152920683E-2</v>
      </c>
      <c r="K24" s="430" cm="1">
        <f t="array" ref="K24">_xll.BDP(B24&amp;" EQUITY","PX_YEST_CLOSE")</f>
        <v>92.27</v>
      </c>
      <c r="L24" s="53" cm="1">
        <f t="array" ref="L24">_xll.BDP(E24&amp;" Curncy","PX_LAST")</f>
        <v>1</v>
      </c>
      <c r="M24" s="52">
        <v>1</v>
      </c>
      <c r="N24" s="15">
        <f t="shared" ref="N24" si="48">IFERROR(IF(((I24/L24)*H24*M24)&lt;&gt;0,((I24/L24)*H24*M24),0),"-")</f>
        <v>-2348060</v>
      </c>
      <c r="O24" s="357">
        <f>IFERROR(IF(Tabelad[[#This Row],[D1 Exp USD]]&lt;&gt;0,N24/$AE$7,0),"-")</f>
        <v>-9.7992453610353837E-4</v>
      </c>
      <c r="P24" s="20">
        <f>IFERROR(IF(Tabelad[[#This Row],[D1 Exp USD]]&lt;&gt;0,((I24-K24)/L24*M24*H24)/$AD$7*10000,0),"-")</f>
        <v>0.21267324667954038</v>
      </c>
      <c r="Q24" s="15">
        <f>IF(SUM(SUMIFS(Options!$AL$4:$AL$20, Options!$D$4:$D$20, B24), SUMIFS(Options!$AL$4:$AL$20, Options!$D$4:$D$20, B24 &amp; " US"))=0,0,SUM(SUMIFS(Options!$AL$4:$AL$20, Options!$D$4:$D$20, B24), SUMIFS(Options!$AL$4:$AL$20, Options!$D$4:$D$20, B24 &amp; " US")))</f>
        <v>0</v>
      </c>
      <c r="R24" s="19">
        <f t="shared" ref="R24" si="49">Q24/$AE$7</f>
        <v>0</v>
      </c>
      <c r="S24" s="20">
        <f>IF(SUM(SUMIFS(Options!$AK$4:$AK$20, Options!$D$4:$D$20, B24), SUMIFS(Options!$AK$4:$AK$20, Options!$D$4:$D$20, B24 &amp; " US"))=0,0,SUM(SUMIFS(Options!$AK$4:$AK$20, Options!$D$4:$D$20, B24), SUMIFS(Options!AK$4:$AK$20, Options!$D$4:$D$20, B24 &amp; " US")))</f>
        <v>0</v>
      </c>
      <c r="T24" s="508">
        <f t="shared" ref="T24" si="50">N24+Q24</f>
        <v>-2348060</v>
      </c>
      <c r="U24" s="48">
        <f t="shared" ref="U24" si="51">T24/$AE$7</f>
        <v>-9.7992453610353837E-4</v>
      </c>
      <c r="V24" s="20">
        <f t="shared" ref="V24" si="52">P24+S24</f>
        <v>0.21267324667954038</v>
      </c>
      <c r="W24" s="15">
        <f t="shared" ref="W24" si="53">$W$10/(I24/L24*M24)</f>
        <v>39798.983047281581</v>
      </c>
      <c r="X24" s="19"/>
      <c r="Y24" s="375">
        <f>Tabelad[[#This Row],[Exp %]]*$Y$10*$AD$7/Tabelad[[#This Row],[Price Today]]</f>
        <v>-9099.9999999999964</v>
      </c>
      <c r="Z24" s="266">
        <f>Tabelad[[#This Row],[Vol 10d]]/16*Tabelad[[#This Row],[Exp %]]*100</f>
        <v>-0.2067331003743012</v>
      </c>
      <c r="AA24" s="19">
        <f>Tabelad[[#This Row],[Exp %]]*Tabelad[[#This Row],[Beta Adj2]]</f>
        <v>-9.791736421628425E-4</v>
      </c>
      <c r="AB24" s="36">
        <f>_xll.BDP($B24&amp;" Equity","volatility_10d")</f>
        <v>33.754942183010364</v>
      </c>
      <c r="AC24" s="36" cm="1">
        <f t="array" ref="AC24">_xll.BDP(B24&amp;" EQUITY","eqy_beta")</f>
        <v>0.99923372268676758</v>
      </c>
      <c r="AD24" s="15">
        <f>Tabelad[[#This Row],[D1 P&amp;L bps]]*$AD$5/10000</f>
        <v>47767.157006766225</v>
      </c>
      <c r="AE24" s="277"/>
      <c r="AF24" s="231" t="str">
        <f>_xll.BDP(B24&amp;" Equity","EXPECTED_REPORT_DT")</f>
        <v>#N/A N/A</v>
      </c>
      <c r="AG24" s="172">
        <f>_xll.BDP(B24&amp;" Index","CHG_PCT_1D_PRE_FROM_REGULAR")/100</f>
        <v>-5.7439989999999996E-3</v>
      </c>
      <c r="AH24" s="20">
        <f t="shared" ref="AH24" si="54">(T24*AG24)/$AD$7*10000</f>
        <v>5.6286855554541888E-2</v>
      </c>
      <c r="AI24" s="509" t="str">
        <f>_xll.BDP(B24&amp;" Equity","DVD_EX_DT")</f>
        <v>21/03/2024</v>
      </c>
    </row>
    <row r="25" spans="1:35" s="506" customFormat="1">
      <c r="A25" s="336"/>
      <c r="B25" s="435" t="s">
        <v>2269</v>
      </c>
      <c r="C25" s="506" t="s">
        <v>2134</v>
      </c>
      <c r="E25" s="506" t="s">
        <v>2107</v>
      </c>
      <c r="F25" s="507" t="s">
        <v>99</v>
      </c>
      <c r="G25" s="15"/>
      <c r="H25" s="518">
        <v>1393</v>
      </c>
      <c r="I25" s="36" cm="1">
        <f t="array" ref="I25">_xll.BDP(B25&amp;" Equity","LAST_PRICE")</f>
        <v>909000</v>
      </c>
      <c r="J25" s="51">
        <f t="shared" si="3"/>
        <v>5.5749128919860613E-2</v>
      </c>
      <c r="K25" s="430" cm="1">
        <f t="array" ref="K25">_xll.BDP(B25&amp;" EQUITY","PX_YEST_CLOSE")</f>
        <v>861000</v>
      </c>
      <c r="L25" s="53" cm="1">
        <f t="array" ref="L25">_xll.BDP(E25&amp;" Curncy","PX_LAST")</f>
        <v>1441.05</v>
      </c>
      <c r="M25" s="52">
        <v>1</v>
      </c>
      <c r="N25" s="15">
        <f t="shared" si="4"/>
        <v>878690.53814926627</v>
      </c>
      <c r="O25" s="357">
        <f>IFERROR(IF(Tabelad[[#This Row],[D1 Exp USD]]&lt;&gt;0,N25/$AE$7,0),"-")</f>
        <v>3.6670716164599214E-4</v>
      </c>
      <c r="P25" s="20">
        <f>IFERROR(IF(Tabelad[[#This Row],[D1 Exp USD]]&lt;&gt;0,((I25-K25)/L25*M25*H25)/$AD$7*10000,0),"-")</f>
        <v>0.19364074542362619</v>
      </c>
      <c r="Q25" s="15">
        <f>IF(SUM(SUMIFS(Options!$AL$4:$AL$20, Options!$D$4:$D$20, B25), SUMIFS(Options!$AL$4:$AL$20, Options!$D$4:$D$20, B25 &amp; " US"))=0,0,SUM(SUMIFS(Options!$AL$4:$AL$20, Options!$D$4:$D$20, B25), SUMIFS(Options!$AL$4:$AL$20, Options!$D$4:$D$20, B25 &amp; " US")))</f>
        <v>0</v>
      </c>
      <c r="R25" s="19">
        <f t="shared" si="39"/>
        <v>0</v>
      </c>
      <c r="S25" s="20">
        <f>IF(SUM(SUMIFS(Options!$AK$4:$AK$20, Options!$D$4:$D$20, B25), SUMIFS(Options!$AK$4:$AK$20, Options!$D$4:$D$20, B25 &amp; " US"))=0,0,SUM(SUMIFS(Options!$AK$4:$AK$20, Options!$D$4:$D$20, B25), SUMIFS(Options!AK$4:$AK$20, Options!$D$4:$D$20, B25 &amp; " US")))</f>
        <v>0</v>
      </c>
      <c r="T25" s="508">
        <f t="shared" si="6"/>
        <v>878690.53814926627</v>
      </c>
      <c r="U25" s="48">
        <f t="shared" si="7"/>
        <v>3.6670716164599214E-4</v>
      </c>
      <c r="V25" s="20">
        <f t="shared" si="8"/>
        <v>0.19364074542362619</v>
      </c>
      <c r="W25" s="15">
        <f t="shared" si="9"/>
        <v>5698.0070708767325</v>
      </c>
      <c r="X25" s="19"/>
      <c r="Y25" s="375">
        <f>Tabelad[[#This Row],[Exp %]]*$Y$10*$AD$7/Tabelad[[#This Row],[Price Today]]</f>
        <v>0.33832969015648312</v>
      </c>
      <c r="Z25" s="266">
        <f>Tabelad[[#This Row],[Vol 10d]]/16*Tabelad[[#This Row],[Exp %]]*100</f>
        <v>0.14746181942732578</v>
      </c>
      <c r="AA25" s="19">
        <f>Tabelad[[#This Row],[Exp %]]*Tabelad[[#This Row],[Beta Adj2]]</f>
        <v>5.9923727296720068E-4</v>
      </c>
      <c r="AB25" s="36">
        <f>_xll.BDP($B25&amp;" Equity","volatility_10d")</f>
        <v>64.339870000000005</v>
      </c>
      <c r="AC25" s="36" cm="1">
        <f t="array" ref="AC25">_xll.BDP(B25&amp;" EQUITY","eqy_beta")</f>
        <v>1.6341030000000001</v>
      </c>
      <c r="AD25" s="15">
        <f>Tabelad[[#This Row],[D1 P&amp;L bps]]*$AD$5/10000</f>
        <v>43492.390481512492</v>
      </c>
      <c r="AE25" s="277"/>
      <c r="AF25" s="231" t="str">
        <f>_xll.BDP(B25&amp;" Equity","EXPECTED_REPORT_DT")</f>
        <v>23/04/2026</v>
      </c>
      <c r="AG25" s="172" t="e">
        <f>_xll.BDP(B25&amp;" Index","CHG_PCT_1D_PRE_FROM_REGULAR")/100</f>
        <v>#VALUE!</v>
      </c>
      <c r="AH25" s="20" t="e">
        <f t="shared" si="10"/>
        <v>#VALUE!</v>
      </c>
      <c r="AI25" s="509" t="str">
        <f>_xll.BDP(B25&amp;" Equity","DVD_EX_DT")</f>
        <v>26/02/2026</v>
      </c>
    </row>
    <row r="26" spans="1:35" s="506" customFormat="1">
      <c r="A26" s="336"/>
      <c r="B26" s="435" t="s">
        <v>2455</v>
      </c>
      <c r="C26" s="506" t="s">
        <v>2134</v>
      </c>
      <c r="E26" s="506" t="s">
        <v>2107</v>
      </c>
      <c r="F26" s="507" t="s">
        <v>99</v>
      </c>
      <c r="G26" s="15"/>
      <c r="H26" s="518">
        <v>3090</v>
      </c>
      <c r="I26" s="36" cm="1">
        <f t="array" ref="I26">_xll.BDP(B26&amp;" Equity","LAST_PRICE")</f>
        <v>160800</v>
      </c>
      <c r="J26" s="51">
        <f t="shared" ref="J26" si="55">I26/K26-1</f>
        <v>-1.3648213464192649E-2</v>
      </c>
      <c r="K26" s="430">
        <v>163025</v>
      </c>
      <c r="L26" s="53" cm="1">
        <f t="array" ref="L26">_xll.BDP(E26&amp;" Curncy","PX_LAST")</f>
        <v>1441.05</v>
      </c>
      <c r="M26" s="52">
        <v>1</v>
      </c>
      <c r="N26" s="15">
        <f t="shared" ref="N26" si="56">IFERROR(IF(((I26/L26)*H26*M26)&lt;&gt;0,((I26/L26)*H26*M26),0),"-")</f>
        <v>344798.58436556678</v>
      </c>
      <c r="O26" s="357">
        <f>IFERROR(IF(Tabelad[[#This Row],[D1 Exp USD]]&lt;&gt;0,N26/$AE$7,0),"-")</f>
        <v>1.4389606433974636E-4</v>
      </c>
      <c r="P26" s="20">
        <f>IFERROR(IF(Tabelad[[#This Row],[D1 Exp USD]]&lt;&gt;0,((I26-K26)/L26*M26*H26)/$AD$7*10000,0),"-")</f>
        <v>-1.9910991489796994E-2</v>
      </c>
      <c r="Q26" s="15">
        <f>IF(SUM(SUMIFS(Options!$AL$4:$AL$20, Options!$D$4:$D$20, B26), SUMIFS(Options!$AL$4:$AL$20, Options!$D$4:$D$20, B26 &amp; " US"))=0,0,SUM(SUMIFS(Options!$AL$4:$AL$20, Options!$D$4:$D$20, B26), SUMIFS(Options!$AL$4:$AL$20, Options!$D$4:$D$20, B26 &amp; " US")))</f>
        <v>0</v>
      </c>
      <c r="R26" s="19">
        <f t="shared" ref="R26" si="57">Q26/$AE$7</f>
        <v>0</v>
      </c>
      <c r="S26" s="20">
        <f>IF(SUM(SUMIFS(Options!$AK$4:$AK$20, Options!$D$4:$D$20, B26), SUMIFS(Options!$AK$4:$AK$20, Options!$D$4:$D$20, B26 &amp; " US"))=0,0,SUM(SUMIFS(Options!$AK$4:$AK$20, Options!$D$4:$D$20, B26), SUMIFS(Options!AK$4:$AK$20, Options!$D$4:$D$20, B26 &amp; " US")))</f>
        <v>0</v>
      </c>
      <c r="T26" s="508">
        <f t="shared" ref="T26" si="58">N26+Q26</f>
        <v>344798.58436556678</v>
      </c>
      <c r="U26" s="48">
        <f t="shared" ref="U26" si="59">T26/$AE$7</f>
        <v>1.4389606433974636E-4</v>
      </c>
      <c r="V26" s="20">
        <f t="shared" ref="V26" si="60">P26+S26</f>
        <v>-1.9910991489796994E-2</v>
      </c>
      <c r="W26" s="15">
        <f t="shared" ref="W26" si="61">$W$10/(I26/L26*M26)</f>
        <v>32210.748926784516</v>
      </c>
      <c r="X26" s="19"/>
      <c r="Y26" s="375">
        <f>Tabelad[[#This Row],[Exp %]]*$Y$10*$AD$7/Tabelad[[#This Row],[Price Today]]</f>
        <v>0.75049443114395753</v>
      </c>
      <c r="Z26" s="266">
        <f>Tabelad[[#This Row],[Vol 10d]]/16*Tabelad[[#This Row],[Exp %]]*100</f>
        <v>4.5193697738800748E-2</v>
      </c>
      <c r="AA26" s="19">
        <f>Tabelad[[#This Row],[Exp %]]*Tabelad[[#This Row],[Beta Adj2]]</f>
        <v>1.6781662659526409E-4</v>
      </c>
      <c r="AB26" s="36">
        <f>_xll.BDP($B26&amp;" Equity","volatility_10d")</f>
        <v>50.251489999999997</v>
      </c>
      <c r="AC26" s="36" cm="1">
        <f t="array" ref="AC26">_xll.BDP(B26&amp;" EQUITY","eqy_beta")</f>
        <v>1.1662349999999999</v>
      </c>
      <c r="AD26" s="15">
        <f>Tabelad[[#This Row],[D1 P&amp;L bps]]*$AD$5/10000</f>
        <v>-4472.0785124733611</v>
      </c>
      <c r="AE26" s="277"/>
      <c r="AF26" s="231" t="str">
        <f>_xll.BDP(B26&amp;" Equity","EXPECTED_REPORT_DT")</f>
        <v>07/04/2026</v>
      </c>
      <c r="AG26" s="172" t="e">
        <f>_xll.BDP(B26&amp;" Index","CHG_PCT_1D_PRE_FROM_REGULAR")/100</f>
        <v>#VALUE!</v>
      </c>
      <c r="AH26" s="20" t="e">
        <f t="shared" ref="AH26" si="62">(T26*AG26)/$AD$7*10000</f>
        <v>#VALUE!</v>
      </c>
      <c r="AI26" s="509" t="str">
        <f>_xll.BDP(B26&amp;" Equity","DVD_EX_DT")</f>
        <v>29/12/2025</v>
      </c>
    </row>
    <row r="27" spans="1:35" s="506" customFormat="1">
      <c r="A27" s="336"/>
      <c r="B27" s="40" t="s">
        <v>1754</v>
      </c>
      <c r="C27" s="506" t="s">
        <v>2134</v>
      </c>
      <c r="E27" s="506" t="s">
        <v>194</v>
      </c>
      <c r="F27" s="507" t="s">
        <v>99</v>
      </c>
      <c r="G27" s="15"/>
      <c r="H27" s="518">
        <v>47216</v>
      </c>
      <c r="I27" s="36" cm="1">
        <f t="array" ref="I27">_xll.BDP(B27&amp;" Equity","LAST_PRICE")</f>
        <v>122.41</v>
      </c>
      <c r="J27" s="51">
        <f t="shared" si="3"/>
        <v>-1.6787148594377577E-2</v>
      </c>
      <c r="K27" s="430" cm="1">
        <f t="array" ref="K27">_xll.BDP(B27&amp;" EQUITY","PX_YEST_CLOSE")</f>
        <v>124.5</v>
      </c>
      <c r="L27" s="53" cm="1">
        <f t="array" ref="L27">_xll.BDP(E27&amp;" Curncy","PX_LAST")</f>
        <v>1</v>
      </c>
      <c r="M27" s="52">
        <v>1</v>
      </c>
      <c r="N27" s="15">
        <f t="shared" si="4"/>
        <v>5779710.5599999996</v>
      </c>
      <c r="O27" s="357">
        <f>IFERROR(IF(Tabelad[[#This Row],[D1 Exp USD]]&lt;&gt;0,N27/$AE$7,0),"-")</f>
        <v>2.4120679153517041E-3</v>
      </c>
      <c r="P27" s="20">
        <f>IFERROR(IF(Tabelad[[#This Row],[D1 Exp USD]]&lt;&gt;0,((I27-K27)/L27*M27*H27)/$AD$7*10000,0),"-")</f>
        <v>-0.41183089151908092</v>
      </c>
      <c r="Q27" s="15">
        <f>IF(SUM(SUMIFS(Options!$AL$4:$AL$20, Options!$D$4:$D$20, B27), SUMIFS(Options!$AL$4:$AL$20, Options!$D$4:$D$20, B27 &amp; " US"))=0,0,SUM(SUMIFS(Options!$AL$4:$AL$20, Options!$D$4:$D$20, B27), SUMIFS(Options!$AL$4:$AL$20, Options!$D$4:$D$20, B27 &amp; " US")))</f>
        <v>0</v>
      </c>
      <c r="R27" s="19">
        <f t="shared" si="39"/>
        <v>0</v>
      </c>
      <c r="S27" s="20">
        <f>IF(SUM(SUMIFS(Options!$AK$4:$AK$20, Options!$D$4:$D$20, B27), SUMIFS(Options!$AK$4:$AK$20, Options!$D$4:$D$20, B27 &amp; " US"))=0,0,SUM(SUMIFS(Options!$AK$4:$AK$20, Options!$D$4:$D$20, B27), SUMIFS(Options!AK$4:$AK$20, Options!$D$4:$D$20, B27 &amp; " US")))</f>
        <v>0</v>
      </c>
      <c r="T27" s="508">
        <f t="shared" si="6"/>
        <v>5779710.5599999996</v>
      </c>
      <c r="U27" s="48">
        <f t="shared" si="7"/>
        <v>2.4120679153517041E-3</v>
      </c>
      <c r="V27" s="20">
        <f t="shared" si="8"/>
        <v>-0.41183089151908092</v>
      </c>
      <c r="W27" s="15">
        <f t="shared" si="9"/>
        <v>29362.357315578793</v>
      </c>
      <c r="X27" s="19"/>
      <c r="Y27" s="375">
        <f>Tabelad[[#This Row],[Exp %]]*$Y$10*$AD$7/Tabelad[[#This Row],[Price Today]]</f>
        <v>16525.600000000002</v>
      </c>
      <c r="Z27" s="266">
        <f>Tabelad[[#This Row],[Vol 10d]]/16*Tabelad[[#This Row],[Exp %]]*100</f>
        <v>0.55860162482764741</v>
      </c>
      <c r="AA27" s="19">
        <f>Tabelad[[#This Row],[Exp %]]*Tabelad[[#This Row],[Beta Adj2]]</f>
        <v>2.2650120217306575E-3</v>
      </c>
      <c r="AB27" s="36">
        <f>_xll.BDP($B27&amp;" Equity","volatility_10d")</f>
        <v>37.053790817242231</v>
      </c>
      <c r="AC27" s="36" cm="1">
        <f t="array" ref="AC27">_xll.BDP(B27&amp;" EQUITY","eqy_beta")</f>
        <v>0.93903326988220215</v>
      </c>
      <c r="AD27" s="15">
        <f>Tabelad[[#This Row],[D1 P&amp;L bps]]*$AD$5/10000</f>
        <v>-92498.662443755951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6.6666809999999998E-3</v>
      </c>
      <c r="AH27" s="20">
        <f t="shared" si="10"/>
        <v>0.16080487341984814</v>
      </c>
      <c r="AI27" s="509" t="str">
        <f>_xll.BDP(B27&amp;" Equity","DVD_EX_DT")</f>
        <v>16/12/2025</v>
      </c>
    </row>
    <row r="28" spans="1:35" s="506" customFormat="1">
      <c r="A28" s="336"/>
      <c r="B28" s="40" t="s">
        <v>2063</v>
      </c>
      <c r="C28" s="506" t="s">
        <v>2064</v>
      </c>
      <c r="E28" s="506" t="s">
        <v>194</v>
      </c>
      <c r="F28" s="507" t="s">
        <v>99</v>
      </c>
      <c r="G28" s="15"/>
      <c r="H28" s="518">
        <v>900</v>
      </c>
      <c r="I28" s="36" cm="1">
        <f t="array" ref="I28">_xll.BDP(B28&amp;" Equity","LAST_PRICE")</f>
        <v>391.84</v>
      </c>
      <c r="J28" s="51">
        <f t="shared" si="3"/>
        <v>2.7265100671140852E-2</v>
      </c>
      <c r="K28" s="430" cm="1">
        <f t="array" ref="K28">_xll.BDP(B28&amp;" EQUITY","PX_YEST_CLOSE")</f>
        <v>381.44</v>
      </c>
      <c r="L28" s="53" cm="1">
        <f t="array" ref="L28">_xll.BDP(E28&amp;" Curncy","PX_LAST")</f>
        <v>1</v>
      </c>
      <c r="M28" s="52">
        <v>1</v>
      </c>
      <c r="N28" s="15">
        <f t="shared" si="4"/>
        <v>352656</v>
      </c>
      <c r="O28" s="357">
        <f>IFERROR(IF(Tabelad[[#This Row],[D1 Exp USD]]&lt;&gt;0,N28/$AE$7,0),"-")</f>
        <v>1.471752285734306E-4</v>
      </c>
      <c r="P28" s="20">
        <f>IFERROR(IF(Tabelad[[#This Row],[D1 Exp USD]]&lt;&gt;0,((I28-K28)/L28*M28*H28)/$AD$7*10000,0),"-")</f>
        <v>3.9062433063589093E-2</v>
      </c>
      <c r="Q28" s="15">
        <f>IF(SUM(SUMIFS(Options!$AL$4:$AL$20, Options!$D$4:$D$20, B28), SUMIFS(Options!$AL$4:$AL$20, Options!$D$4:$D$20, B28 &amp; " US"))=0,0,SUM(SUMIFS(Options!$AL$4:$AL$20, Options!$D$4:$D$20, B28), SUMIFS(Options!$AL$4:$AL$20, Options!$D$4:$D$20, B28 &amp; " US")))</f>
        <v>1215555.8305549622</v>
      </c>
      <c r="R28" s="19">
        <f t="shared" si="39"/>
        <v>5.0729239600543548E-4</v>
      </c>
      <c r="S28" s="20">
        <f>IF(SUM(SUMIFS(Options!$AK$4:$AK$20, Options!$D$4:$D$20, B28), SUMIFS(Options!$AK$4:$AK$20, Options!$D$4:$D$20, B28 &amp; " US"))=0,0,SUM(SUMIFS(Options!$AK$4:$AK$20, Options!$D$4:$D$20, B28), SUMIFS(Options!AK$4:$AK$20, Options!$D$4:$D$20, B28 &amp; " US")))</f>
        <v>0.1627601377649549</v>
      </c>
      <c r="T28" s="508">
        <f t="shared" si="6"/>
        <v>1568211.8305549622</v>
      </c>
      <c r="U28" s="48">
        <f t="shared" si="7"/>
        <v>6.54467624578866E-4</v>
      </c>
      <c r="V28" s="20">
        <f t="shared" si="8"/>
        <v>0.20182257082854399</v>
      </c>
      <c r="W28" s="15">
        <f t="shared" si="9"/>
        <v>9172.7392787872614</v>
      </c>
      <c r="X28" s="19"/>
      <c r="Y28" s="375">
        <f>Tabelad[[#This Row],[Exp %]]*$Y$10*$AD$7/Tabelad[[#This Row],[Price Today]]</f>
        <v>1400.7608735561369</v>
      </c>
      <c r="Z28" s="266">
        <f>Tabelad[[#This Row],[Vol 10d]]/16*Tabelad[[#This Row],[Exp %]]*100</f>
        <v>0.34866130601219675</v>
      </c>
      <c r="AA28" s="19">
        <f>Tabelad[[#This Row],[Exp %]]*Tabelad[[#This Row],[Beta Adj2]]</f>
        <v>1.3218719847445145E-3</v>
      </c>
      <c r="AB28" s="36">
        <f>_xll.BDP($B28&amp;" Equity","volatility_10d")</f>
        <v>85.238454687270874</v>
      </c>
      <c r="AC28" s="36" cm="1">
        <f t="array" ref="AC28">_xll.BDP(B28&amp;" EQUITY","eqy_beta")</f>
        <v>2.0197668075561523</v>
      </c>
      <c r="AD28" s="15">
        <f>Tabelad[[#This Row],[D1 P&amp;L bps]]*$AD$5/10000</f>
        <v>8773.5594502223776</v>
      </c>
      <c r="AE28" s="277"/>
      <c r="AF28" s="231" t="str">
        <f>_xll.BDP(B28&amp;" Equity","EXPECTED_REPORT_DT")</f>
        <v>03/02/2026</v>
      </c>
      <c r="AG28" s="172" t="e">
        <f>_xll.BDP(B28&amp;" Index","CHG_PCT_1D_PRE_FROM_REGULAR")/100</f>
        <v>#VALUE!</v>
      </c>
      <c r="AH28" s="20" t="e">
        <f t="shared" si="10"/>
        <v>#VALUE!</v>
      </c>
      <c r="AI28" s="509" t="str">
        <f>_xll.BDP(B28&amp;" Equity","DVD_EX_DT")</f>
        <v>#N/A N/A</v>
      </c>
    </row>
    <row r="29" spans="1:35" s="506" customFormat="1">
      <c r="A29" s="336"/>
      <c r="B29" s="40" t="s">
        <v>2347</v>
      </c>
      <c r="C29" s="506" t="s">
        <v>2064</v>
      </c>
      <c r="E29" s="506" t="s">
        <v>194</v>
      </c>
      <c r="F29" s="507" t="s">
        <v>99</v>
      </c>
      <c r="G29" s="15"/>
      <c r="H29" s="518">
        <v>30410</v>
      </c>
      <c r="I29" s="36" cm="1">
        <f t="array" ref="I29">_xll.BDP(B29&amp;" Equity","LAST_PRICE")</f>
        <v>78.319999999999993</v>
      </c>
      <c r="J29" s="51">
        <f t="shared" ref="J29" si="63">I29/K29-1</f>
        <v>-1.4025245441796619E-3</v>
      </c>
      <c r="K29" s="430" cm="1">
        <f t="array" ref="K29">_xll.BDP(B29&amp;" EQUITY","PX_YEST_CLOSE")</f>
        <v>78.430000000000007</v>
      </c>
      <c r="L29" s="53" cm="1">
        <f t="array" ref="L29">_xll.BDP(E29&amp;" Curncy","PX_LAST")</f>
        <v>1</v>
      </c>
      <c r="M29" s="52">
        <v>1</v>
      </c>
      <c r="N29" s="15">
        <f t="shared" ref="N29" si="64">IFERROR(IF(((I29/L29)*H29*M29)&lt;&gt;0,((I29/L29)*H29*M29),0),"-")</f>
        <v>2381711.1999999997</v>
      </c>
      <c r="O29" s="357">
        <f>IFERROR(IF(Tabelad[[#This Row],[D1 Exp USD]]&lt;&gt;0,N29/$AE$7,0),"-")</f>
        <v>9.9396831545727187E-4</v>
      </c>
      <c r="P29" s="20">
        <f>IFERROR(IF(Tabelad[[#This Row],[D1 Exp USD]]&lt;&gt;0,((I29-K29)/L29*M29*H29)/$AD$7*10000,0),"-")</f>
        <v>-1.3960229149682517E-2</v>
      </c>
      <c r="Q29" s="15">
        <f>IF(SUM(SUMIFS(Options!$AL$4:$AL$20, Options!$D$4:$D$20, B29), SUMIFS(Options!$AL$4:$AL$20, Options!$D$4:$D$20, B29 &amp; " US"))=0,0,SUM(SUMIFS(Options!$AL$4:$AL$20, Options!$D$4:$D$20, B29), SUMIFS(Options!$AL$4:$AL$20, Options!$D$4:$D$20, B29 &amp; " US")))</f>
        <v>0</v>
      </c>
      <c r="R29" s="19">
        <f t="shared" si="39"/>
        <v>0</v>
      </c>
      <c r="S29" s="20">
        <f>IF(SUM(SUMIFS(Options!$AK$4:$AK$20, Options!$D$4:$D$20, B29), SUMIFS(Options!$AK$4:$AK$20, Options!$D$4:$D$20, B29 &amp; " US"))=0,0,SUM(SUMIFS(Options!$AK$4:$AK$20, Options!$D$4:$D$20, B29), SUMIFS(Options!AK$4:$AK$20, Options!$D$4:$D$20, B29 &amp; " US")))</f>
        <v>0</v>
      </c>
      <c r="T29" s="508">
        <f t="shared" ref="T29" si="65">N29+Q29</f>
        <v>2381711.1999999997</v>
      </c>
      <c r="U29" s="48">
        <f t="shared" ref="U29" si="66">T29/$AE$7</f>
        <v>9.9396831545727187E-4</v>
      </c>
      <c r="V29" s="20">
        <f t="shared" ref="V29" si="67">P29+S29</f>
        <v>-1.3960229149682517E-2</v>
      </c>
      <c r="W29" s="15">
        <f t="shared" ref="W29" si="68">$W$10/(I29/L29*M29)</f>
        <v>45891.804890194078</v>
      </c>
      <c r="X29" s="19"/>
      <c r="Y29" s="375">
        <f>Tabelad[[#This Row],[Exp %]]*$Y$10*$AD$7/Tabelad[[#This Row],[Price Today]]</f>
        <v>10643.499999999998</v>
      </c>
      <c r="Z29" s="266">
        <f>Tabelad[[#This Row],[Vol 10d]]/16*Tabelad[[#This Row],[Exp %]]*100</f>
        <v>0.16140469578155006</v>
      </c>
      <c r="AA29" s="19">
        <f>Tabelad[[#This Row],[Exp %]]*Tabelad[[#This Row],[Beta Adj2]]</f>
        <v>9.2612061672307105E-4</v>
      </c>
      <c r="AB29" s="36">
        <f>_xll.BDP($B29&amp;" Equity","volatility_10d")</f>
        <v>25.981463315726938</v>
      </c>
      <c r="AC29" s="36" cm="1">
        <f t="array" ref="AC29">_xll.BDP(B29&amp;" EQUITY","eqy_beta")</f>
        <v>0.93174058198928833</v>
      </c>
      <c r="AD29" s="15">
        <f>Tabelad[[#This Row],[D1 P&amp;L bps]]*$AD$5/10000</f>
        <v>-3135.5164227502755</v>
      </c>
      <c r="AE29" s="277"/>
      <c r="AF29" s="231" t="str">
        <f>_xll.BDP(B29&amp;" Equity","EXPECTED_REPORT_DT")</f>
        <v>12/02/2026</v>
      </c>
      <c r="AG29" s="172">
        <f>_xll.BDP(B29&amp;" Index","CHG_PCT_1D_PRE_FROM_REGULAR")/100</f>
        <v>-4.3351259999999999E-3</v>
      </c>
      <c r="AH29" s="20">
        <f t="shared" ref="AH29" si="69">(T29*AG29)/$AD$7*10000</f>
        <v>-4.3089778875150211E-2</v>
      </c>
      <c r="AI29" s="509" t="str">
        <f>_xll.BDP(B29&amp;" Equity","DVD_EX_DT")</f>
        <v>02/01/2026</v>
      </c>
    </row>
    <row r="30" spans="1:35" s="506" customFormat="1">
      <c r="A30" s="336"/>
      <c r="B30" s="40" t="s">
        <v>2356</v>
      </c>
      <c r="C30" s="506" t="s">
        <v>2064</v>
      </c>
      <c r="E30" s="506" t="s">
        <v>194</v>
      </c>
      <c r="F30" s="507" t="s">
        <v>99</v>
      </c>
      <c r="G30" s="15"/>
      <c r="H30" s="518">
        <v>7600</v>
      </c>
      <c r="I30" s="36" cm="1">
        <f t="array" ref="I30">_xll.BDP(B30&amp;" Equity","LAST_PRICE")</f>
        <v>97.15</v>
      </c>
      <c r="J30" s="51">
        <f t="shared" ref="J30" si="70">I30/K30-1</f>
        <v>-2.2143935581278251E-2</v>
      </c>
      <c r="K30" s="430" cm="1">
        <f t="array" ref="K30">_xll.BDP(B30&amp;" EQUITY","PX_YEST_CLOSE")</f>
        <v>99.35</v>
      </c>
      <c r="L30" s="53" cm="1">
        <f t="array" ref="L30">_xll.BDP(E30&amp;" Curncy","PX_LAST")</f>
        <v>1</v>
      </c>
      <c r="M30" s="52">
        <v>1</v>
      </c>
      <c r="N30" s="15">
        <f t="shared" ref="N30" si="71">IFERROR(IF(((I30/L30)*H30*M30)&lt;&gt;0,((I30/L30)*H30*M30),0),"-")</f>
        <v>738340</v>
      </c>
      <c r="O30" s="357">
        <f>IFERROR(IF(Tabelad[[#This Row],[D1 Exp USD]]&lt;&gt;0,N30/$AE$7,0),"-")</f>
        <v>3.0813415414711998E-4</v>
      </c>
      <c r="P30" s="20">
        <f>IFERROR(IF(Tabelad[[#This Row],[D1 Exp USD]]&lt;&gt;0,((I30-K30)/L30*M30*H30)/$AD$7*10000,0),"-")</f>
        <v>-6.9778192395641842E-2</v>
      </c>
      <c r="Q30" s="15">
        <f>IF(SUM(SUMIFS(Options!$AL$4:$AL$20, Options!$D$4:$D$20, B30), SUMIFS(Options!$AL$4:$AL$20, Options!$D$4:$D$20, B30 &amp; " US"))=0,0,SUM(SUMIFS(Options!$AL$4:$AL$20, Options!$D$4:$D$20, B30), SUMIFS(Options!$AL$4:$AL$20, Options!$D$4:$D$20, B30 &amp; " US")))</f>
        <v>0</v>
      </c>
      <c r="R30" s="19">
        <f t="shared" ref="R30:R31" si="72">Q30/$AE$7</f>
        <v>0</v>
      </c>
      <c r="S30" s="20">
        <f>IF(SUM(SUMIFS(Options!$AK$4:$AK$20, Options!$D$4:$D$20, B30), SUMIFS(Options!$AK$4:$AK$20, Options!$D$4:$D$20, B30 &amp; " US"))=0,0,SUM(SUMIFS(Options!$AK$4:$AK$20, Options!$D$4:$D$20, B30), SUMIFS(Options!AK$4:$AK$20, Options!$D$4:$D$20, B30 &amp; " US")))</f>
        <v>0</v>
      </c>
      <c r="T30" s="508">
        <f t="shared" ref="T30" si="73">N30+Q30</f>
        <v>738340</v>
      </c>
      <c r="U30" s="48">
        <f t="shared" ref="U30" si="74">T30/$AE$7</f>
        <v>3.0813415414711998E-4</v>
      </c>
      <c r="V30" s="20">
        <f t="shared" ref="V30" si="75">P30+S30</f>
        <v>-6.9778192395641842E-2</v>
      </c>
      <c r="W30" s="15">
        <f t="shared" ref="W30" si="76">$W$10/(I30/L30*M30)</f>
        <v>36996.872454966542</v>
      </c>
      <c r="X30" s="19"/>
      <c r="Y30" s="375">
        <f>Tabelad[[#This Row],[Exp %]]*$Y$10*$AD$7/Tabelad[[#This Row],[Price Today]]</f>
        <v>2659.9999999999995</v>
      </c>
      <c r="Z30" s="266">
        <f>Tabelad[[#This Row],[Vol 10d]]/16*Tabelad[[#This Row],[Exp %]]*100</f>
        <v>0.11032402200203668</v>
      </c>
      <c r="AA30" s="19">
        <f>Tabelad[[#This Row],[Exp %]]*Tabelad[[#This Row],[Beta Adj2]]</f>
        <v>2.3002619134247538E-4</v>
      </c>
      <c r="AB30" s="36">
        <f>_xll.BDP($B30&amp;" Equity","volatility_10d")</f>
        <v>57.286228361098587</v>
      </c>
      <c r="AC30" s="36" cm="1">
        <f t="array" ref="AC30">_xll.BDP(B30&amp;" EQUITY","eqy_beta")</f>
        <v>0.74651312828063965</v>
      </c>
      <c r="AD30" s="15">
        <f>Tabelad[[#This Row],[D1 P&amp;L bps]]*$AD$5/10000</f>
        <v>-15672.426710226249</v>
      </c>
      <c r="AE30" s="277"/>
      <c r="AF30" s="231" t="str">
        <f>_xll.BDP(B30&amp;" Equity","EXPECTED_REPORT_DT")</f>
        <v>19/02/2026</v>
      </c>
      <c r="AG30" s="172">
        <f>_xll.BDP(B30&amp;" Index","CHG_PCT_1D_PRE_FROM_REGULAR")/100</f>
        <v>1.5239590000000001E-3</v>
      </c>
      <c r="AH30" s="20">
        <f t="shared" ref="AH30" si="77">(T30*AG30)/$AD$7*10000</f>
        <v>4.6958381741989096E-3</v>
      </c>
      <c r="AI30" s="509" t="str">
        <f>_xll.BDP(B30&amp;" Equity","DVD_EX_DT")</f>
        <v>#N/A Field Not Applicable</v>
      </c>
    </row>
    <row r="31" spans="1:35" s="506" customFormat="1">
      <c r="A31" s="336"/>
      <c r="B31" s="435" t="s">
        <v>2371</v>
      </c>
      <c r="C31" s="506" t="s">
        <v>2064</v>
      </c>
      <c r="E31" s="506" t="s">
        <v>1932</v>
      </c>
      <c r="F31" s="507" t="s">
        <v>99</v>
      </c>
      <c r="G31" s="15"/>
      <c r="H31" s="518">
        <v>2600</v>
      </c>
      <c r="I31" s="36" cm="1">
        <f t="array" ref="I31">_xll.BDP(B31&amp;" Equity","LAST_PRICE")</f>
        <v>419.49</v>
      </c>
      <c r="J31" s="51">
        <f t="shared" ref="J31" si="78">I31/K31-1</f>
        <v>6.74045801526717E-2</v>
      </c>
      <c r="K31" s="430" cm="1">
        <f t="array" ref="K31">_xll.BDP(B31&amp;" EQUITY","PX_YEST_CLOSE")</f>
        <v>393</v>
      </c>
      <c r="L31" s="53" cm="1">
        <f t="array" ref="L31">_xll.BDP(E31&amp;" Curncy","PX_LAST")</f>
        <v>6.9569000000000001</v>
      </c>
      <c r="M31" s="52">
        <v>1</v>
      </c>
      <c r="N31" s="15">
        <f t="shared" ref="N31" si="79">IFERROR(IF(((I31/L31)*H31*M31)&lt;&gt;0,((I31/L31)*H31*M31),0),"-")</f>
        <v>156775.86281245956</v>
      </c>
      <c r="O31" s="357">
        <f>IFERROR(IF(Tabelad[[#This Row],[D1 Exp USD]]&lt;&gt;0,N31/$AE$7,0),"-")</f>
        <v>6.5427848793783559E-5</v>
      </c>
      <c r="P31" s="20">
        <f>IFERROR(IF(Tabelad[[#This Row],[D1 Exp USD]]&lt;&gt;0,((I31-K31)/L31*M31*H31)/$AD$7*10000,0),"-")</f>
        <v>4.1316448891447401E-2</v>
      </c>
      <c r="Q31" s="15">
        <f>IF(SUM(SUMIFS(Options!$AL$4:$AL$20, Options!$D$4:$D$20, B31), SUMIFS(Options!$AL$4:$AL$20, Options!$D$4:$D$20, B31 &amp; " US"))=0,0,SUM(SUMIFS(Options!$AL$4:$AL$20, Options!$D$4:$D$20, B31), SUMIFS(Options!$AL$4:$AL$20, Options!$D$4:$D$20, B31 &amp; " US")))</f>
        <v>0</v>
      </c>
      <c r="R31" s="19">
        <f t="shared" si="72"/>
        <v>0</v>
      </c>
      <c r="S31" s="20">
        <f>IF(SUM(SUMIFS(Options!$AK$4:$AK$20, Options!$D$4:$D$20, B31), SUMIFS(Options!$AK$4:$AK$20, Options!$D$4:$D$20, B31 &amp; " US"))=0,0,SUM(SUMIFS(Options!$AK$4:$AK$20, Options!$D$4:$D$20, B31), SUMIFS(Options!AK$4:$AK$20, Options!$D$4:$D$20, B31 &amp; " US")))</f>
        <v>0</v>
      </c>
      <c r="T31" s="508">
        <f t="shared" ref="T31" si="80">N31+Q31</f>
        <v>156775.86281245956</v>
      </c>
      <c r="U31" s="48">
        <f t="shared" ref="U31" si="81">T31/$AE$7</f>
        <v>6.5427848793783559E-5</v>
      </c>
      <c r="V31" s="20">
        <f t="shared" ref="V31" si="82">P31+S31</f>
        <v>4.1316448891447401E-2</v>
      </c>
      <c r="W31" s="15">
        <f t="shared" ref="W31" si="83">$W$10/(I31/L31*M31)</f>
        <v>59607.645244337415</v>
      </c>
      <c r="X31" s="19"/>
      <c r="Y31" s="375">
        <f>Tabelad[[#This Row],[Exp %]]*$Y$10*$AD$7/Tabelad[[#This Row],[Price Today]]</f>
        <v>130.80538745705701</v>
      </c>
      <c r="Z31" s="266">
        <f>Tabelad[[#This Row],[Vol 10d]]/16*Tabelad[[#This Row],[Exp %]]*100</f>
        <v>2.8471500896291864E-2</v>
      </c>
      <c r="AA31" s="19">
        <f>Tabelad[[#This Row],[Exp %]]*Tabelad[[#This Row],[Beta Adj2]]</f>
        <v>7.9444129701631847E-5</v>
      </c>
      <c r="AB31" s="36">
        <f>_xll.BDP($B31&amp;" Equity","volatility_10d")</f>
        <v>69.625399999999999</v>
      </c>
      <c r="AC31" s="36" cm="1">
        <f t="array" ref="AC31">_xll.BDP(B31&amp;" EQUITY","eqy_beta")</f>
        <v>1.2142250000000001</v>
      </c>
      <c r="AD31" s="15">
        <f>Tabelad[[#This Row],[D1 P&amp;L bps]]*$AD$5/10000</f>
        <v>9279.8193095420593</v>
      </c>
      <c r="AE31" s="277"/>
      <c r="AF31" s="231" t="str">
        <f>_xll.BDP(B31&amp;" Equity","EXPECTED_REPORT_DT")</f>
        <v>22/04/2026</v>
      </c>
      <c r="AG31" s="172" t="e">
        <f>_xll.BDP(B31&amp;" Index","CHG_PCT_1D_PRE_FROM_REGULAR")/100</f>
        <v>#VALUE!</v>
      </c>
      <c r="AH31" s="20" t="e">
        <f t="shared" ref="AH31" si="84">(T31*AG31)/$AD$7*10000</f>
        <v>#VALUE!</v>
      </c>
      <c r="AI31" s="509" t="str">
        <f>_xll.BDP(B31&amp;" Equity","DVD_EX_DT")</f>
        <v>28/05/2025</v>
      </c>
    </row>
    <row r="32" spans="1:35" s="506" customFormat="1">
      <c r="A32" s="336"/>
      <c r="B32" s="40" t="s">
        <v>137</v>
      </c>
      <c r="C32" s="506" t="s">
        <v>1880</v>
      </c>
      <c r="E32" s="506" t="s">
        <v>194</v>
      </c>
      <c r="F32" s="507" t="s">
        <v>99</v>
      </c>
      <c r="G32" s="15"/>
      <c r="H32" s="518">
        <v>1500</v>
      </c>
      <c r="I32" s="36" cm="1">
        <f t="array" ref="I32">_xll.BDP(B32&amp;" Equity","LAST_PRICE")</f>
        <v>331.3</v>
      </c>
      <c r="J32" s="51">
        <f t="shared" si="3"/>
        <v>1.7234602243521024E-3</v>
      </c>
      <c r="K32" s="430" cm="1">
        <f t="array" ref="K32">_xll.BDP(B32&amp;" EQUITY","PX_YEST_CLOSE")</f>
        <v>330.73</v>
      </c>
      <c r="L32" s="53" cm="1">
        <f t="array" ref="L32">_xll.BDP(E32&amp;" Curncy","PX_LAST")</f>
        <v>1</v>
      </c>
      <c r="M32" s="52">
        <v>1</v>
      </c>
      <c r="N32" s="15">
        <f t="shared" si="4"/>
        <v>496950</v>
      </c>
      <c r="O32" s="357">
        <f>IFERROR(IF(Tabelad[[#This Row],[D1 Exp USD]]&lt;&gt;0,N32/$AE$7,0),"-")</f>
        <v>2.0739397554434447E-4</v>
      </c>
      <c r="P32" s="20">
        <f>IFERROR(IF(Tabelad[[#This Row],[D1 Exp USD]]&lt;&gt;0,((I32-K32)/L32*M32*H32)/$AD$7*10000,0),"-")</f>
        <v>3.5682030202316612E-3</v>
      </c>
      <c r="Q32" s="15">
        <f>IF(SUM(SUMIFS(Options!$AL$4:$AL$20, Options!$D$4:$D$20, B32), SUMIFS(Options!$AL$4:$AL$20, Options!$D$4:$D$20, B32 &amp; " US"))=0,0,SUM(SUMIFS(Options!$AL$4:$AL$20, Options!$D$4:$D$20, B32), SUMIFS(Options!$AL$4:$AL$20, Options!$D$4:$D$20, B32 &amp; " US")))</f>
        <v>2023794.8658943176</v>
      </c>
      <c r="R32" s="19">
        <f t="shared" ref="R32:R40" si="85">Q32/$AE$7</f>
        <v>8.4459777225889116E-4</v>
      </c>
      <c r="S32" s="20">
        <f>IF(SUM(SUMIFS(Options!$AK$4:$AK$20, Options!$D$4:$D$20, B32), SUMIFS(Options!$AK$4:$AK$20, Options!$D$4:$D$20, B32 &amp; " US"))=0,0,SUM(SUMIFS(Options!$AK$4:$AK$20, Options!$D$4:$D$20, B32), SUMIFS(Options!AK$4:$AK$20, Options!$D$4:$D$20, B32 &amp; " US")))</f>
        <v>4.757604026975548E-3</v>
      </c>
      <c r="T32" s="508">
        <f t="shared" si="6"/>
        <v>2520744.8658943176</v>
      </c>
      <c r="U32" s="48">
        <f t="shared" si="7"/>
        <v>1.0519917478032357E-3</v>
      </c>
      <c r="V32" s="20">
        <f t="shared" si="8"/>
        <v>8.3258070472072097E-3</v>
      </c>
      <c r="W32" s="15">
        <f t="shared" si="9"/>
        <v>10848.916869906428</v>
      </c>
      <c r="X32" s="19"/>
      <c r="Y32" s="375">
        <f>Tabelad[[#This Row],[Exp %]]*$Y$10*$AD$7/Tabelad[[#This Row],[Price Today]]</f>
        <v>2663.0265712738037</v>
      </c>
      <c r="Z32" s="266">
        <f>Tabelad[[#This Row],[Vol 10d]]/16*Tabelad[[#This Row],[Exp %]]*100</f>
        <v>0.24027500520830392</v>
      </c>
      <c r="AA32" s="19">
        <f>Tabelad[[#This Row],[Exp %]]*Tabelad[[#This Row],[Beta Adj2]]</f>
        <v>2.1370212670708522E-3</v>
      </c>
      <c r="AB32" s="36">
        <f>_xll.BDP($B32&amp;" Equity","volatility_10d")</f>
        <v>36.54401368984805</v>
      </c>
      <c r="AC32" s="36" cm="1">
        <f t="array" ref="AC32">_xll.BDP(B32&amp;" EQUITY","eqy_beta")</f>
        <v>2.031404972076416</v>
      </c>
      <c r="AD32" s="15">
        <f>Tabelad[[#This Row],[D1 P&amp;L bps]]*$AD$5/10000</f>
        <v>801.43091131838241</v>
      </c>
      <c r="AE32" s="277"/>
      <c r="AF32" s="231" t="str">
        <f>_xll.BDP(B32&amp;" Equity","EXPECTED_REPORT_DT")</f>
        <v>06/03/2026</v>
      </c>
      <c r="AG32" s="172">
        <f>_xll.BDP(B32&amp;" Index","CHG_PCT_1D_PRE_FROM_REGULAR")/100</f>
        <v>4.4447169999999999E-3</v>
      </c>
      <c r="AH32" s="20">
        <f t="shared" si="10"/>
        <v>4.6758056053207549E-2</v>
      </c>
      <c r="AI32" s="509" t="str">
        <f>_xll.BDP(B32&amp;" Equity","DVD_EX_DT")</f>
        <v>22/12/2025</v>
      </c>
    </row>
    <row r="33" spans="1:35" s="506" customFormat="1">
      <c r="A33" s="336"/>
      <c r="B33" s="40" t="s">
        <v>96</v>
      </c>
      <c r="C33" s="506" t="s">
        <v>1880</v>
      </c>
      <c r="E33" s="506" t="s">
        <v>194</v>
      </c>
      <c r="F33" s="507" t="s">
        <v>99</v>
      </c>
      <c r="G33" s="15"/>
      <c r="H33" s="518">
        <v>5198</v>
      </c>
      <c r="I33" s="36" cm="1">
        <f t="array" ref="I33">_xll.BDP(B33&amp;" Equity","LAST_PRICE")</f>
        <v>330.56</v>
      </c>
      <c r="J33" s="51">
        <f t="shared" si="3"/>
        <v>-2.6476218524517758E-2</v>
      </c>
      <c r="K33" s="430" cm="1">
        <f t="array" ref="K33">_xll.BDP(B33&amp;" EQUITY","PX_YEST_CLOSE")</f>
        <v>339.55</v>
      </c>
      <c r="L33" s="53" cm="1">
        <f t="array" ref="L33">_xll.BDP(E33&amp;" Curncy","PX_LAST")</f>
        <v>1</v>
      </c>
      <c r="M33" s="52">
        <v>1</v>
      </c>
      <c r="N33" s="15">
        <f t="shared" si="4"/>
        <v>1718250.8800000001</v>
      </c>
      <c r="O33" s="357">
        <f>IFERROR(IF(Tabelad[[#This Row],[D1 Exp USD]]&lt;&gt;0,N33/$AE$7,0),"-")</f>
        <v>7.1708397421424365E-4</v>
      </c>
      <c r="P33" s="20">
        <f>IFERROR(IF(Tabelad[[#This Row],[D1 Exp USD]]&lt;&gt;0,((I33-K33)/L33*M33*H33)/$AD$7*10000,0),"-")</f>
        <v>-0.19502011520407964</v>
      </c>
      <c r="Q33" s="15">
        <f>IF(SUM(SUMIFS(Options!$AL$4:$AL$20, Options!$D$4:$D$20, B33), SUMIFS(Options!$AL$4:$AL$20, Options!$D$4:$D$20, B33 &amp; " US"))=0,0,SUM(SUMIFS(Options!$AL$4:$AL$20, Options!$D$4:$D$20, B33), SUMIFS(Options!$AL$4:$AL$20, Options!$D$4:$D$20, B33 &amp; " US")))</f>
        <v>12396461.762356758</v>
      </c>
      <c r="R33" s="19">
        <f t="shared" si="85"/>
        <v>5.1734610877927729E-3</v>
      </c>
      <c r="S33" s="20">
        <f>IF(SUM(SUMIFS(Options!$AK$4:$AK$20, Options!$D$4:$D$20, B33), SUMIFS(Options!$AK$4:$AK$20, Options!$D$4:$D$20, B33 &amp; " US"))=0,0,SUM(SUMIFS(Options!$AK$4:$AK$20, Options!$D$4:$D$20, B33), SUMIFS(Options!AK$4:$AK$20, Options!$D$4:$D$20, B33 &amp; " US")))</f>
        <v>-1.4365147159081955</v>
      </c>
      <c r="T33" s="508">
        <f t="shared" si="6"/>
        <v>14114712.642356759</v>
      </c>
      <c r="U33" s="48">
        <f t="shared" si="7"/>
        <v>5.8905450620070172E-3</v>
      </c>
      <c r="V33" s="20">
        <f t="shared" si="8"/>
        <v>-1.631534831112275</v>
      </c>
      <c r="W33" s="15">
        <f t="shared" si="9"/>
        <v>10873.203530372701</v>
      </c>
      <c r="X33" s="19"/>
      <c r="Y33" s="375">
        <f>Tabelad[[#This Row],[Exp %]]*$Y$10*$AD$7/Tabelad[[#This Row],[Price Today]]</f>
        <v>14944.788918274642</v>
      </c>
      <c r="Z33" s="266">
        <f>Tabelad[[#This Row],[Vol 10d]]/16*Tabelad[[#This Row],[Exp %]]*100</f>
        <v>1.2582775460700701</v>
      </c>
      <c r="AA33" s="19">
        <f>Tabelad[[#This Row],[Exp %]]*Tabelad[[#This Row],[Beta Adj2]]</f>
        <v>8.7215578684215981E-3</v>
      </c>
      <c r="AB33" s="36">
        <f>_xll.BDP($B33&amp;" Equity","volatility_10d")</f>
        <v>34.177551525701475</v>
      </c>
      <c r="AC33" s="36" cm="1">
        <f t="array" ref="AC33">_xll.BDP(B33&amp;" EQUITY","eqy_beta")</f>
        <v>1.4806028604507446</v>
      </c>
      <c r="AD33" s="15">
        <f>Tabelad[[#This Row],[D1 P&amp;L bps]]*$AD$5/10000</f>
        <v>-43802.201771376283</v>
      </c>
      <c r="AE33" s="277"/>
      <c r="AF33" s="231" t="str">
        <f>_xll.BDP(B33&amp;" Equity","EXPECTED_REPORT_DT")</f>
        <v>17/04/2026</v>
      </c>
      <c r="AG33" s="172" t="e">
        <f>_xll.BDP(B33&amp;" Index","CHG_PCT_1D_PRE_FROM_REGULAR")/100</f>
        <v>#VALUE!</v>
      </c>
      <c r="AH33" s="20" t="e">
        <f t="shared" si="10"/>
        <v>#VALUE!</v>
      </c>
      <c r="AI33" s="509" t="str">
        <f>_xll.BDP(B33&amp;" Equity","DVD_EX_DT")</f>
        <v>17/03/2026</v>
      </c>
    </row>
    <row r="34" spans="1:35" s="506" customFormat="1">
      <c r="A34" s="336"/>
      <c r="B34" s="40" t="s">
        <v>708</v>
      </c>
      <c r="C34" s="506" t="s">
        <v>1880</v>
      </c>
      <c r="E34" s="506" t="s">
        <v>194</v>
      </c>
      <c r="F34" s="507" t="s">
        <v>99</v>
      </c>
      <c r="G34" s="15"/>
      <c r="H34" s="518"/>
      <c r="I34" s="36" cm="1">
        <f t="array" ref="I34">_xll.BDP(B34&amp;" Equity","LAST_PRICE")</f>
        <v>46.47</v>
      </c>
      <c r="J34" s="51">
        <f t="shared" ref="J34" si="86">I34/K34-1</f>
        <v>-4.5006165228113404E-2</v>
      </c>
      <c r="K34" s="430" cm="1">
        <f t="array" ref="K34">_xll.BDP(B34&amp;" EQUITY","PX_YEST_CLOSE")</f>
        <v>48.66</v>
      </c>
      <c r="L34" s="53" cm="1">
        <f t="array" ref="L34">_xll.BDP(E34&amp;" Curncy","PX_LAST")</f>
        <v>1</v>
      </c>
      <c r="M34" s="52">
        <v>1</v>
      </c>
      <c r="N34" s="15">
        <f t="shared" ref="N34" si="87">IFERROR(IF(((I34/L34)*H34*M34)&lt;&gt;0,((I34/L34)*H34*M34),0),"-")</f>
        <v>0</v>
      </c>
      <c r="O34" s="357">
        <f>IFERROR(IF(Tabelad[[#This Row],[D1 Exp USD]]&lt;&gt;0,N34/$AE$7,0),"-")</f>
        <v>0</v>
      </c>
      <c r="P34" s="20">
        <f>IFERROR(IF(Tabelad[[#This Row],[D1 Exp USD]]&lt;&gt;0,((I34-K34)/L34*M34*H34)/$AD$7*10000,0),"-")</f>
        <v>0</v>
      </c>
      <c r="Q34" s="15">
        <f>IF(SUM(SUMIFS(Options!$AL$4:$AL$20, Options!$D$4:$D$20, B34), SUMIFS(Options!$AL$4:$AL$20, Options!$D$4:$D$20, B34 &amp; " US"))=0,0,SUM(SUMIFS(Options!$AL$4:$AL$20, Options!$D$4:$D$20, B34), SUMIFS(Options!$AL$4:$AL$20, Options!$D$4:$D$20, B34 &amp; " US")))</f>
        <v>548114.80579376221</v>
      </c>
      <c r="R34" s="19">
        <f t="shared" ref="R34" si="88">Q34/$AE$7</f>
        <v>2.2874677256924165E-4</v>
      </c>
      <c r="S34" s="20">
        <f>IF(SUM(SUMIFS(Options!$AK$4:$AK$20, Options!$D$4:$D$20, B34), SUMIFS(Options!$AK$4:$AK$20, Options!$D$4:$D$20, B34 &amp; " US"))=0,0,SUM(SUMIFS(Options!$AK$4:$AK$20, Options!$D$4:$D$20, B34), SUMIFS(Options!AK$4:$AK$20, Options!$D$4:$D$20, B34 &amp; " US")))</f>
        <v>-0.11581009802506403</v>
      </c>
      <c r="T34" s="508">
        <f t="shared" ref="T34" si="89">N34+Q34</f>
        <v>548114.80579376221</v>
      </c>
      <c r="U34" s="48">
        <f t="shared" ref="U34" si="90">T34/$AE$7</f>
        <v>2.2874677256924165E-4</v>
      </c>
      <c r="V34" s="20">
        <f t="shared" ref="V34" si="91">P34+S34</f>
        <v>-0.11581009802506403</v>
      </c>
      <c r="W34" s="15">
        <f t="shared" ref="W34" si="92">$W$10/(I34/L34*M34)</f>
        <v>77345.516655907035</v>
      </c>
      <c r="X34" s="19"/>
      <c r="Y34" s="375">
        <f>Tabelad[[#This Row],[Exp %]]*$Y$10*$AD$7/Tabelad[[#This Row],[Price Today]]</f>
        <v>4128.2587051391602</v>
      </c>
      <c r="Z34" s="266">
        <f>Tabelad[[#This Row],[Vol 10d]]/16*Tabelad[[#This Row],[Exp %]]*100</f>
        <v>0.20925366492566042</v>
      </c>
      <c r="AA34" s="19">
        <f>Tabelad[[#This Row],[Exp %]]*Tabelad[[#This Row],[Beta Adj2]]</f>
        <v>3.3669408933394336E-4</v>
      </c>
      <c r="AB34" s="36">
        <f>_xll.BDP($B34&amp;" Equity","volatility_10d")</f>
        <v>146.36528424885685</v>
      </c>
      <c r="AC34" s="36" cm="1">
        <f t="array" ref="AC34">_xll.BDP(B34&amp;" EQUITY","eqy_beta")</f>
        <v>1.4719074964523315</v>
      </c>
      <c r="AD34" s="15">
        <f>Tabelad[[#This Row],[D1 P&amp;L bps]]*$AD$5/10000</f>
        <v>0</v>
      </c>
      <c r="AE34" s="277"/>
      <c r="AF34" s="231" t="str">
        <f>_xll.BDP(B34&amp;" Equity","EXPECTED_REPORT_DT")</f>
        <v>24/04/2026</v>
      </c>
      <c r="AG34" s="172" t="e">
        <f>_xll.BDP(B34&amp;" Index","CHG_PCT_1D_PRE_FROM_REGULAR")/100</f>
        <v>#VALUE!</v>
      </c>
      <c r="AH34" s="20" t="e">
        <f t="shared" ref="AH34" si="93">(T34*AG34)/$AD$7*10000</f>
        <v>#VALUE!</v>
      </c>
      <c r="AI34" s="509" t="str">
        <f>_xll.BDP(B34&amp;" Equity","DVD_EX_DT")</f>
        <v>03/09/2024</v>
      </c>
    </row>
    <row r="35" spans="1:35" s="506" customFormat="1">
      <c r="A35" s="336"/>
      <c r="B35" s="40" t="s">
        <v>94</v>
      </c>
      <c r="C35" s="506" t="s">
        <v>1880</v>
      </c>
      <c r="E35" s="506" t="s">
        <v>194</v>
      </c>
      <c r="F35" s="507" t="s">
        <v>99</v>
      </c>
      <c r="G35" s="15"/>
      <c r="H35" s="518">
        <v>20008</v>
      </c>
      <c r="I35" s="36" cm="1">
        <f t="array" ref="I35">_xll.BDP(B35&amp;" Equity","LAST_PRICE")</f>
        <v>191.13</v>
      </c>
      <c r="J35" s="51">
        <f t="shared" si="3"/>
        <v>-7.1684587813619638E-3</v>
      </c>
      <c r="K35" s="430" cm="1">
        <f t="array" ref="K35">_xll.BDP(B35&amp;" EQUITY","PX_YEST_CLOSE")</f>
        <v>192.51</v>
      </c>
      <c r="L35" s="53" cm="1">
        <f t="array" ref="L35">_xll.BDP(E35&amp;" Curncy","PX_LAST")</f>
        <v>1</v>
      </c>
      <c r="M35" s="52">
        <v>1</v>
      </c>
      <c r="N35" s="15">
        <f t="shared" si="4"/>
        <v>3824129.04</v>
      </c>
      <c r="O35" s="357">
        <f>IFERROR(IF(Tabelad[[#This Row],[D1 Exp USD]]&lt;&gt;0,N35/$AE$7,0),"-")</f>
        <v>1.5959378702086276E-3</v>
      </c>
      <c r="P35" s="20">
        <f>IFERROR(IF(Tabelad[[#This Row],[D1 Exp USD]]&lt;&gt;0,((I35-K35)/L35*M35*H35)/$AD$7*10000,0),"-")</f>
        <v>-0.11523017113419656</v>
      </c>
      <c r="Q35" s="15">
        <f>IF(SUM(SUMIFS(Options!$AL$4:$AL$20, Options!$D$4:$D$20, B35), SUMIFS(Options!$AL$4:$AL$20, Options!$D$4:$D$20, B35 &amp; " US"))=0,0,SUM(SUMIFS(Options!$AL$4:$AL$20, Options!$D$4:$D$20, B35), SUMIFS(Options!$AL$4:$AL$20, Options!$D$4:$D$20, B35 &amp; " US")))</f>
        <v>1395122.7535218</v>
      </c>
      <c r="R35" s="19">
        <f t="shared" si="85"/>
        <v>5.8223172195443948E-4</v>
      </c>
      <c r="S35" s="20">
        <f>IF(SUM(SUMIFS(Options!$AK$4:$AK$20, Options!$D$4:$D$20, B35), SUMIFS(Options!$AK$4:$AK$20, Options!$D$4:$D$20, B35 &amp; " US"))=0,0,SUM(SUMIFS(Options!$AK$4:$AK$20, Options!$D$4:$D$20, B35), SUMIFS(Options!AK$4:$AK$20, Options!$D$4:$D$20, B35 &amp; " US")))</f>
        <v>-4.5385038415227674E-2</v>
      </c>
      <c r="T35" s="508">
        <f t="shared" si="6"/>
        <v>5219251.7935218001</v>
      </c>
      <c r="U35" s="48">
        <f t="shared" si="7"/>
        <v>2.178169592163067E-3</v>
      </c>
      <c r="V35" s="20">
        <f t="shared" si="8"/>
        <v>-0.16061520954942424</v>
      </c>
      <c r="W35" s="15">
        <f t="shared" si="9"/>
        <v>18805.243336995762</v>
      </c>
      <c r="X35" s="19"/>
      <c r="Y35" s="375">
        <f>Tabelad[[#This Row],[Exp %]]*$Y$10*$AD$7/Tabelad[[#This Row],[Price Today]]</f>
        <v>9557.5688156366341</v>
      </c>
      <c r="Z35" s="266">
        <f>Tabelad[[#This Row],[Vol 10d]]/16*Tabelad[[#This Row],[Exp %]]*100</f>
        <v>0.46078783212713664</v>
      </c>
      <c r="AA35" s="19">
        <f>Tabelad[[#This Row],[Exp %]]*Tabelad[[#This Row],[Beta Adj2]]</f>
        <v>4.0294258050053711E-3</v>
      </c>
      <c r="AB35" s="36">
        <f>_xll.BDP($B35&amp;" Equity","volatility_10d")</f>
        <v>33.84771020842642</v>
      </c>
      <c r="AC35" s="36" cm="1">
        <f t="array" ref="AC35">_xll.BDP(B35&amp;" EQUITY","eqy_beta")</f>
        <v>1.8499137163162231</v>
      </c>
      <c r="AD35" s="15">
        <f>Tabelad[[#This Row],[D1 P&amp;L bps]]*$AD$5/10000</f>
        <v>-25881.100525904683</v>
      </c>
      <c r="AE35" s="277"/>
      <c r="AF35" s="231" t="str">
        <f>_xll.BDP(B35&amp;" Equity","EXPECTED_REPORT_DT")</f>
        <v>25/02/2026</v>
      </c>
      <c r="AG35" s="172">
        <f>_xll.BDP(B35&amp;" Index","CHG_PCT_1D_PRE_FROM_REGULAR")/100</f>
        <v>-6.9606579999999998E-3</v>
      </c>
      <c r="AH35" s="20">
        <f t="shared" si="10"/>
        <v>-0.15161493597046588</v>
      </c>
      <c r="AI35" s="509" t="str">
        <f>_xll.BDP(B35&amp;" Equity","DVD_EX_DT")</f>
        <v>04/12/2025</v>
      </c>
    </row>
    <row r="36" spans="1:35" s="506" customFormat="1">
      <c r="A36" s="336"/>
      <c r="B36" s="40" t="s">
        <v>138</v>
      </c>
      <c r="C36" s="506" t="s">
        <v>1880</v>
      </c>
      <c r="E36" s="506" t="s">
        <v>194</v>
      </c>
      <c r="F36" s="507" t="s">
        <v>100</v>
      </c>
      <c r="G36" s="15"/>
      <c r="H36" s="518">
        <v>2951</v>
      </c>
      <c r="I36" s="36" cm="1">
        <f t="array" ref="I36">_xll.BDP(B36&amp;" Equity","LAST_PRICE")</f>
        <v>78.92</v>
      </c>
      <c r="J36" s="51">
        <f t="shared" si="3"/>
        <v>-2.975165970002458E-2</v>
      </c>
      <c r="K36" s="430" cm="1">
        <f t="array" ref="K36">_xll.BDP(B36&amp;" EQUITY","PX_YEST_CLOSE")</f>
        <v>81.34</v>
      </c>
      <c r="L36" s="53" cm="1">
        <f t="array" ref="L36">_xll.BDP(E36&amp;" Curncy","PX_LAST")</f>
        <v>1</v>
      </c>
      <c r="M36" s="52">
        <v>1</v>
      </c>
      <c r="N36" s="15">
        <f t="shared" si="4"/>
        <v>232892.92</v>
      </c>
      <c r="O36" s="357">
        <f>IFERROR(IF(Tabelad[[#This Row],[D1 Exp USD]]&lt;&gt;0,N36/$AE$7,0),"-")</f>
        <v>9.7194060881237488E-5</v>
      </c>
      <c r="P36" s="20">
        <f>IFERROR(IF(Tabelad[[#This Row],[D1 Exp USD]]&lt;&gt;0,((I36-K36)/L36*M36*H36)/$AD$7*10000,0),"-")</f>
        <v>-2.9803551359933463E-2</v>
      </c>
      <c r="Q36" s="15">
        <f>IF(SUM(SUMIFS(Options!$AL$4:$AL$20, Options!$D$4:$D$20, B36), SUMIFS(Options!$AL$4:$AL$20, Options!$D$4:$D$20, B36 &amp; " US"))=0,0,SUM(SUMIFS(Options!$AL$4:$AL$20, Options!$D$4:$D$20, B36), SUMIFS(Options!$AL$4:$AL$20, Options!$D$4:$D$20, B36 &amp; " US")))</f>
        <v>-616785.72825193405</v>
      </c>
      <c r="R36" s="19">
        <f t="shared" si="85"/>
        <v>-2.5740546179934057E-4</v>
      </c>
      <c r="S36" s="20">
        <f>IF(SUM(SUMIFS(Options!$AK$4:$AK$20, Options!$D$4:$D$20, B36), SUMIFS(Options!$AK$4:$AK$20, Options!$D$4:$D$20, B36 &amp; " US"))=0,0,SUM(SUMIFS(Options!$AK$4:$AK$20, Options!$D$4:$D$20, B36), SUMIFS(Options!AK$4:$AK$20, Options!$D$4:$D$20, B36 &amp; " US")))</f>
        <v>7.6267731221911508E-2</v>
      </c>
      <c r="T36" s="508">
        <f t="shared" si="6"/>
        <v>-383892.80825193401</v>
      </c>
      <c r="U36" s="48">
        <f t="shared" si="7"/>
        <v>-1.6021140091810305E-4</v>
      </c>
      <c r="V36" s="20">
        <f t="shared" si="8"/>
        <v>4.6464179861978046E-2</v>
      </c>
      <c r="W36" s="15">
        <f t="shared" si="9"/>
        <v>45542.906221490113</v>
      </c>
      <c r="X36" s="19"/>
      <c r="Y36" s="375">
        <f>Tabelad[[#This Row],[Exp %]]*$Y$10*$AD$7/Tabelad[[#This Row],[Price Today]]</f>
        <v>-1702.5149884462348</v>
      </c>
      <c r="Z36" s="266">
        <f>Tabelad[[#This Row],[Vol 10d]]/16*Tabelad[[#This Row],[Exp %]]*100</f>
        <v>-3.9378564978888315E-2</v>
      </c>
      <c r="AA36" s="19">
        <f>Tabelad[[#This Row],[Exp %]]*Tabelad[[#This Row],[Beta Adj2]]</f>
        <v>-3.177317204035102E-4</v>
      </c>
      <c r="AB36" s="36">
        <f>_xll.BDP($B36&amp;" Equity","volatility_10d")</f>
        <v>39.326604477061274</v>
      </c>
      <c r="AC36" s="36" cm="1">
        <f t="array" ref="AC36">_xll.BDP(B36&amp;" EQUITY","eqy_beta")</f>
        <v>1.9832029342651367</v>
      </c>
      <c r="AD36" s="15">
        <f>Tabelad[[#This Row],[D1 P&amp;L bps]]*$AD$5/10000</f>
        <v>-6693.9821505349646</v>
      </c>
      <c r="AE36" s="277"/>
      <c r="AF36" s="231" t="str">
        <f>_xll.BDP(B36&amp;" Equity","EXPECTED_REPORT_DT")</f>
        <v>05/03/2026</v>
      </c>
      <c r="AG36" s="172">
        <f>_xll.BDP(B36&amp;" Index","CHG_PCT_1D_PRE_FROM_REGULAR")/100</f>
        <v>-1.4629890000000001E-2</v>
      </c>
      <c r="AH36" s="20">
        <f t="shared" si="10"/>
        <v>2.3438751721777468E-2</v>
      </c>
      <c r="AI36" s="509" t="str">
        <f>_xll.BDP(B36&amp;" Equity","DVD_EX_DT")</f>
        <v>09/01/2026</v>
      </c>
    </row>
    <row r="37" spans="1:35">
      <c r="B37" s="40" t="s">
        <v>2128</v>
      </c>
      <c r="C37" t="s">
        <v>2129</v>
      </c>
      <c r="E37" t="s">
        <v>194</v>
      </c>
      <c r="F37" s="22" t="s">
        <v>99</v>
      </c>
      <c r="G37" s="15"/>
      <c r="H37" s="438">
        <v>34500</v>
      </c>
      <c r="I37" s="36" cm="1">
        <f t="array" ref="I37">_xll.BDP(B37&amp;" Equity","LAST_PRICE")</f>
        <v>15.47</v>
      </c>
      <c r="J37" s="51">
        <f>I37/K37-1</f>
        <v>-8.8391278727165457E-2</v>
      </c>
      <c r="K37" s="430" cm="1">
        <f t="array" ref="K37">_xll.BDP(B37&amp;" EQUITY","PX_YEST_CLOSE")</f>
        <v>16.97</v>
      </c>
      <c r="L37" s="53" cm="1">
        <f t="array" ref="L37">_xll.BDP(E37&amp;" Curncy","PX_LAST")</f>
        <v>1</v>
      </c>
      <c r="M37" s="52">
        <v>1</v>
      </c>
      <c r="N37" s="15">
        <f>IFERROR(IF(((I37/L37)*H37*M37)&lt;&gt;0,((I37/L37)*H37*M37),0),"-")</f>
        <v>533715</v>
      </c>
      <c r="O37" s="357">
        <f>IFERROR(IF(Tabelad[[#This Row],[D1 Exp USD]]&lt;&gt;0,N37/$AE$7,0),"-")</f>
        <v>2.2273724853134078E-4</v>
      </c>
      <c r="P37" s="20">
        <f>IFERROR(IF(Tabelad[[#This Row],[D1 Exp USD]]&lt;&gt;0,((I37-K37)/L37*M37*H37)/$AD$7*10000,0),"-")</f>
        <v>-0.21597018280349761</v>
      </c>
      <c r="Q37" s="15">
        <f>IF(SUM(SUMIFS(Options!$AL$4:$AL$20, Options!$D$4:$D$20, B37), SUMIFS(Options!$AL$4:$AL$20, Options!$D$4:$D$20, B37 &amp; " US"))=0,0,SUM(SUMIFS(Options!$AL$4:$AL$20, Options!$D$4:$D$20, B37), SUMIFS(Options!$AL$4:$AL$20, Options!$D$4:$D$20, B37 &amp; " US")))</f>
        <v>0</v>
      </c>
      <c r="R37" s="19">
        <f t="shared" si="85"/>
        <v>0</v>
      </c>
      <c r="S37" s="20">
        <f>IF(SUM(SUMIFS(Options!$AK$4:$AK$20, Options!$D$4:$D$20, B37), SUMIFS(Options!$AK$4:$AK$20, Options!$D$4:$D$20, B37 &amp; " US"))=0,0,SUM(SUMIFS(Options!$AK$4:$AK$20, Options!$D$4:$D$20, B37), SUMIFS(Options!AK$4:$AK$20, Options!$D$4:$D$20, B37 &amp; " US")))</f>
        <v>0</v>
      </c>
      <c r="T37" s="13">
        <f>N37+Q37</f>
        <v>533715</v>
      </c>
      <c r="U37" s="48">
        <f>T37/$AE$7</f>
        <v>2.2273724853134078E-4</v>
      </c>
      <c r="V37" s="20">
        <f>P37+S37</f>
        <v>-0.21597018280349761</v>
      </c>
      <c r="W37" s="15">
        <f>$W$10/(I37/L37*M37)</f>
        <v>232336.5325791855</v>
      </c>
      <c r="X37" s="19"/>
      <c r="Y37" s="375">
        <f>Tabelad[[#This Row],[Exp %]]*$Y$10*$AD$7/Tabelad[[#This Row],[Price Today]]</f>
        <v>12074.999999999998</v>
      </c>
      <c r="Z37" s="266">
        <f>Tabelad[[#This Row],[Vol 10d]]/16*Tabelad[[#This Row],[Exp %]]*100</f>
        <v>0.11426791295937977</v>
      </c>
      <c r="AA37" s="19">
        <f>Tabelad[[#This Row],[Exp %]]*Tabelad[[#This Row],[Beta Adj2]]</f>
        <v>4.6145741811239033E-4</v>
      </c>
      <c r="AB37" s="36">
        <f>_xll.BDP($B37&amp;" Equity","volatility_10d")</f>
        <v>82.082661045928418</v>
      </c>
      <c r="AC37" s="36" cm="1">
        <f t="array" ref="AC37">_xll.BDP(B37&amp;" EQUITY","eqy_beta")</f>
        <v>2.0717568397521973</v>
      </c>
      <c r="AD37" s="15">
        <f>Tabelad[[#This Row],[D1 P&amp;L bps]]*$AD$5/10000</f>
        <v>-48507.660421902619</v>
      </c>
      <c r="AE37" s="277"/>
      <c r="AF37" s="231" t="str">
        <f>_xll.BDP(B37&amp;" Equity","EXPECTED_REPORT_DT")</f>
        <v>24/02/2026</v>
      </c>
      <c r="AG37" s="172">
        <f>_xll.BDP(B37&amp;" Index","CHG_PCT_1D_PRE_FROM_REGULAR")/100</f>
        <v>-3.5945709999999999E-2</v>
      </c>
      <c r="AH37" s="20">
        <f>(T37*AG37)/$AD$7*10000</f>
        <v>-8.0064485419055004E-2</v>
      </c>
      <c r="AI37" s="437" t="str">
        <f>_xll.BDP(B37&amp;" Equity","DVD_EX_DT")</f>
        <v>12/10/2017</v>
      </c>
    </row>
    <row r="38" spans="1:35">
      <c r="B38" s="40" t="s">
        <v>88</v>
      </c>
      <c r="C38" t="s">
        <v>2247</v>
      </c>
      <c r="E38" t="s">
        <v>194</v>
      </c>
      <c r="F38" s="22" t="s">
        <v>99</v>
      </c>
      <c r="G38" s="15"/>
      <c r="H38" s="438">
        <v>45750</v>
      </c>
      <c r="I38" s="36" cm="1">
        <f t="array" ref="I38">_xll.BDP(B38&amp;" Equity","LAST_PRICE")</f>
        <v>53.44</v>
      </c>
      <c r="J38" s="51">
        <f t="shared" ref="J38:J40" si="94">I38/K38-1</f>
        <v>-2.0541549953314586E-3</v>
      </c>
      <c r="K38" s="430" cm="1">
        <f t="array" ref="K38">_xll.BDP(B38&amp;" EQUITY","PX_YEST_CLOSE")</f>
        <v>53.55</v>
      </c>
      <c r="L38" s="53" cm="1">
        <f t="array" ref="L38">_xll.BDP(E38&amp;" Curncy","PX_LAST")</f>
        <v>1</v>
      </c>
      <c r="M38" s="52">
        <v>1</v>
      </c>
      <c r="N38" s="15">
        <f t="shared" ref="N38:N40" si="95">IFERROR(IF(((I38/L38)*H38*M38)&lt;&gt;0,((I38/L38)*H38*M38),0),"-")</f>
        <v>2444880</v>
      </c>
      <c r="O38" s="357">
        <f>IFERROR(IF(Tabelad[[#This Row],[D1 Exp USD]]&lt;&gt;0,N38/$AE$7,0),"-")</f>
        <v>1.0203307836379051E-3</v>
      </c>
      <c r="P38" s="20">
        <f>IFERROR(IF(Tabelad[[#This Row],[D1 Exp USD]]&lt;&gt;0,((I38-K38)/L38*M38*H38)/$AD$7*10000,0),"-")</f>
        <v>-2.1002317776977725E-2</v>
      </c>
      <c r="Q38" s="15">
        <f>IF(SUM(SUMIFS(Options!$AL$4:$AL$20, Options!$D$4:$D$20, B38), SUMIFS(Options!$AL$4:$AL$20, Options!$D$4:$D$20, B38 &amp; " US"))=0,0,SUM(SUMIFS(Options!$AL$4:$AL$20, Options!$D$4:$D$20, B38), SUMIFS(Options!$AL$4:$AL$20, Options!$D$4:$D$20, B38 &amp; " US")))</f>
        <v>0</v>
      </c>
      <c r="R38" s="19">
        <f t="shared" si="85"/>
        <v>0</v>
      </c>
      <c r="S38" s="20">
        <f>IF(SUM(SUMIFS(Options!$AK$4:$AK$20, Options!$D$4:$D$20, B38), SUMIFS(Options!$AK$4:$AK$20, Options!$D$4:$D$20, B38 &amp; " US"))=0,0,SUM(SUMIFS(Options!$AK$4:$AK$20, Options!$D$4:$D$20, B38), SUMIFS(Options!AK$4:$AK$20, Options!$D$4:$D$20, B38 &amp; " US")))</f>
        <v>0</v>
      </c>
      <c r="T38" s="13">
        <f t="shared" ref="T38:T40" si="96">N38+Q38</f>
        <v>2444880</v>
      </c>
      <c r="U38" s="48">
        <f t="shared" ref="U38:U40" si="97">T38/$AE$7</f>
        <v>1.0203307836379051E-3</v>
      </c>
      <c r="V38" s="20">
        <f t="shared" ref="V38:V40" si="98">P38+S38</f>
        <v>-2.1002317776977725E-2</v>
      </c>
      <c r="W38" s="15">
        <f t="shared" ref="W38:W40" si="99">$W$10/(I38/L38*M38)</f>
        <v>67257.600280688624</v>
      </c>
      <c r="X38" s="19"/>
      <c r="Y38" s="375">
        <f>Tabelad[[#This Row],[Exp %]]*$Y$10*$AD$7/Tabelad[[#This Row],[Price Today]]</f>
        <v>16012.5</v>
      </c>
      <c r="Z38" s="266">
        <f>Tabelad[[#This Row],[Vol 10d]]/16*Tabelad[[#This Row],[Exp %]]*100</f>
        <v>0.11305495016311413</v>
      </c>
      <c r="AA38" s="19">
        <f>Tabelad[[#This Row],[Exp %]]*Tabelad[[#This Row],[Beta Adj2]]</f>
        <v>1.0201689510540449E-3</v>
      </c>
      <c r="AB38" s="36">
        <f>_xll.BDP($B38&amp;" Equity","volatility_10d")</f>
        <v>17.728360563232414</v>
      </c>
      <c r="AC38" s="36">
        <f>_xll.BDP(B38&amp;" EQUITY","eqy_beta")</f>
        <v>0.99984139204025269</v>
      </c>
      <c r="AD38" s="15">
        <f>Tabelad[[#This Row],[D1 P&amp;L bps]]*$AD$5/10000</f>
        <v>-4717.1942236371769</v>
      </c>
      <c r="AE38" s="277"/>
      <c r="AF38" s="231" t="str">
        <f>_xll.BDP(B38&amp;" Equity","EXPECTED_REPORT_DT")</f>
        <v>#N/A N/A</v>
      </c>
      <c r="AG38" s="172">
        <f>_xll.BDP(B38&amp;" Index","CHG_PCT_1D_PRE_FROM_REGULAR")/100</f>
        <v>-3.9962779999999998E-3</v>
      </c>
      <c r="AH38" s="20">
        <f t="shared" ref="AH38:AH40" si="100">(T38*AG38)/$AD$7*10000</f>
        <v>-4.0775254633749189E-2</v>
      </c>
      <c r="AI38" s="437" t="str">
        <f>_xll.BDP(B38&amp;" Equity","DVD_EX_DT")</f>
        <v>22/12/2025</v>
      </c>
    </row>
    <row r="39" spans="1:35">
      <c r="B39" s="40" t="s">
        <v>2261</v>
      </c>
      <c r="C39" t="s">
        <v>2247</v>
      </c>
      <c r="E39" t="s">
        <v>194</v>
      </c>
      <c r="F39" s="22" t="s">
        <v>100</v>
      </c>
      <c r="G39" s="15"/>
      <c r="H39" s="438">
        <v>-11500</v>
      </c>
      <c r="I39" s="36" cm="1">
        <f t="array" ref="I39">_xll.BDP(B39&amp;" Equity","LAST_PRICE")</f>
        <v>23.74</v>
      </c>
      <c r="J39" s="51">
        <f t="shared" ref="J39" si="101">I39/K39-1</f>
        <v>2.5929127052722434E-2</v>
      </c>
      <c r="K39" s="430" cm="1">
        <f t="array" ref="K39">_xll.BDP(B39&amp;" EQUITY","PX_YEST_CLOSE")</f>
        <v>23.14</v>
      </c>
      <c r="L39" s="53" cm="1">
        <f t="array" ref="L39">_xll.BDP(E39&amp;" Curncy","PX_LAST")</f>
        <v>1</v>
      </c>
      <c r="M39" s="52">
        <v>1</v>
      </c>
      <c r="N39" s="15">
        <f t="shared" ref="N39" si="102">IFERROR(IF(((I39/L39)*H39*M39)&lt;&gt;0,((I39/L39)*H39*M39),0),"-")</f>
        <v>-273010</v>
      </c>
      <c r="O39" s="357">
        <f>IFERROR(IF(Tabelad[[#This Row],[D1 Exp USD]]&lt;&gt;0,N39/$AE$7,0),"-")</f>
        <v>-1.1393626977233419E-4</v>
      </c>
      <c r="P39" s="20">
        <f>IFERROR(IF(Tabelad[[#This Row],[D1 Exp USD]]&lt;&gt;0,((I39-K39)/L39*M39*H39)/$AD$7*10000,0),"-")</f>
        <v>-2.8796024373799609E-2</v>
      </c>
      <c r="Q39" s="15">
        <f>IF(SUM(SUMIFS(Options!$AL$4:$AL$20, Options!$D$4:$D$20, B39), SUMIFS(Options!$AL$4:$AL$20, Options!$D$4:$D$20, B39 &amp; " US"))=0,0,SUM(SUMIFS(Options!$AL$4:$AL$20, Options!$D$4:$D$20, B39), SUMIFS(Options!$AL$4:$AL$20, Options!$D$4:$D$20, B39 &amp; " US")))</f>
        <v>0</v>
      </c>
      <c r="R39" s="19">
        <f t="shared" si="85"/>
        <v>0</v>
      </c>
      <c r="S39" s="20">
        <f>IF(SUM(SUMIFS(Options!$AK$4:$AK$20, Options!$D$4:$D$20, B39), SUMIFS(Options!$AK$4:$AK$20, Options!$D$4:$D$20, B39 &amp; " US"))=0,0,SUM(SUMIFS(Options!$AK$4:$AK$20, Options!$D$4:$D$20, B39), SUMIFS(Options!AK$4:$AK$20, Options!$D$4:$D$20, B39 &amp; " US")))</f>
        <v>0</v>
      </c>
      <c r="T39" s="13">
        <f t="shared" ref="T39" si="103">N39+Q39</f>
        <v>-273010</v>
      </c>
      <c r="U39" s="48">
        <f t="shared" ref="U39" si="104">T39/$AE$7</f>
        <v>-1.1393626977233419E-4</v>
      </c>
      <c r="V39" s="20">
        <f t="shared" ref="V39" si="105">P39+S39</f>
        <v>-2.8796024373799609E-2</v>
      </c>
      <c r="W39" s="15">
        <f t="shared" ref="W39" si="106">$W$10/(I39/L39*M39)</f>
        <v>151400.42792754844</v>
      </c>
      <c r="X39" s="19"/>
      <c r="Y39" s="375">
        <f>Tabelad[[#This Row],[Exp %]]*$Y$10*$AD$7/Tabelad[[#This Row],[Price Today]]</f>
        <v>-4024.9999999999995</v>
      </c>
      <c r="Z39" s="266">
        <f>Tabelad[[#This Row],[Vol 10d]]/16*Tabelad[[#This Row],[Exp %]]*100</f>
        <v>-3.0436924850639875E-2</v>
      </c>
      <c r="AA39" s="19">
        <f>Tabelad[[#This Row],[Exp %]]*Tabelad[[#This Row],[Beta Adj2]]</f>
        <v>-4.1591140206297576E-5</v>
      </c>
      <c r="AB39" s="36">
        <f>_xll.BDP($B39&amp;" Equity","volatility_10d")</f>
        <v>42.742385597083</v>
      </c>
      <c r="AC39" s="36">
        <f>_xll.BDP(B39&amp;" EQUITY","eqy_beta")</f>
        <v>0.36503863334655762</v>
      </c>
      <c r="AD39" s="15">
        <f>Tabelad[[#This Row],[D1 P&amp;L bps]]*$AD$5/10000</f>
        <v>-6467.6880562536662</v>
      </c>
      <c r="AE39" s="277"/>
      <c r="AF39" s="231" t="str">
        <f>_xll.BDP(B39&amp;" Equity","EXPECTED_REPORT_DT")</f>
        <v>11/02/2026</v>
      </c>
      <c r="AG39" s="172" t="e">
        <f>_xll.BDP(B39&amp;" Index","CHG_PCT_1D_PRE_FROM_REGULAR")/100</f>
        <v>#VALUE!</v>
      </c>
      <c r="AH39" s="20" t="e">
        <f t="shared" ref="AH39" si="107">(T39*AG39)/$AD$7*10000</f>
        <v>#VALUE!</v>
      </c>
      <c r="AI39" s="437" t="str">
        <f>_xll.BDP(B39&amp;" Equity","DVD_EX_DT")</f>
        <v>28/11/2025</v>
      </c>
    </row>
    <row r="40" spans="1:35">
      <c r="B40" s="40" t="s">
        <v>4</v>
      </c>
      <c r="C40" t="s">
        <v>2247</v>
      </c>
      <c r="E40" t="s">
        <v>194</v>
      </c>
      <c r="F40" s="22" t="s">
        <v>100</v>
      </c>
      <c r="G40" s="15"/>
      <c r="H40" s="438">
        <v>-27500</v>
      </c>
      <c r="I40" s="36" cm="1">
        <f t="array" ref="I40">_xll.BDP(B40&amp;" Equity","LAST_PRICE")</f>
        <v>83.51</v>
      </c>
      <c r="J40" s="51">
        <f t="shared" si="94"/>
        <v>1.680262997686599E-2</v>
      </c>
      <c r="K40" s="430" cm="1">
        <f t="array" ref="K40">_xll.BDP(B40&amp;" EQUITY","PX_YEST_CLOSE")</f>
        <v>82.13</v>
      </c>
      <c r="L40" s="53" cm="1">
        <f t="array" ref="L40">_xll.BDP(E40&amp;" Curncy","PX_LAST")</f>
        <v>1</v>
      </c>
      <c r="M40" s="52">
        <v>1</v>
      </c>
      <c r="N40" s="15">
        <f t="shared" si="95"/>
        <v>-2296525</v>
      </c>
      <c r="O40" s="357">
        <f>IFERROR(IF(Tabelad[[#This Row],[D1 Exp USD]]&lt;&gt;0,N40/$AE$7,0),"-")</f>
        <v>-9.5841724456580276E-4</v>
      </c>
      <c r="P40" s="20">
        <f>IFERROR(IF(Tabelad[[#This Row],[D1 Exp USD]]&lt;&gt;0,((I40-K40)/L40*M40*H40)/$AD$7*10000,0),"-")</f>
        <v>-0.15837813405589954</v>
      </c>
      <c r="Q40" s="15">
        <f>IF(SUM(SUMIFS(Options!$AL$4:$AL$20, Options!$D$4:$D$20, B40), SUMIFS(Options!$AL$4:$AL$20, Options!$D$4:$D$20, B40 &amp; " US"))=0,0,SUM(SUMIFS(Options!$AL$4:$AL$20, Options!$D$4:$D$20, B40), SUMIFS(Options!$AL$4:$AL$20, Options!$D$4:$D$20, B40 &amp; " US")))</f>
        <v>0</v>
      </c>
      <c r="R40" s="19">
        <f t="shared" si="85"/>
        <v>0</v>
      </c>
      <c r="S40" s="20">
        <f>IF(SUM(SUMIFS(Options!$AK$4:$AK$20, Options!$D$4:$D$20, B40), SUMIFS(Options!$AK$4:$AK$20, Options!$D$4:$D$20, B40 &amp; " US"))=0,0,SUM(SUMIFS(Options!$AK$4:$AK$20, Options!$D$4:$D$20, B40), SUMIFS(Options!AK$4:$AK$20, Options!$D$4:$D$20, B40 &amp; " US")))</f>
        <v>0</v>
      </c>
      <c r="T40" s="13">
        <f t="shared" si="96"/>
        <v>-2296525</v>
      </c>
      <c r="U40" s="48">
        <f t="shared" si="97"/>
        <v>-9.5841724456580276E-4</v>
      </c>
      <c r="V40" s="20">
        <f t="shared" si="98"/>
        <v>-0.15837813405589954</v>
      </c>
      <c r="W40" s="15">
        <f t="shared" si="99"/>
        <v>43039.709723386419</v>
      </c>
      <c r="X40" s="19"/>
      <c r="Y40" s="375">
        <f>Tabelad[[#This Row],[Exp %]]*$Y$10*$AD$7/Tabelad[[#This Row],[Price Today]]</f>
        <v>-9625</v>
      </c>
      <c r="Z40" s="266">
        <f>Tabelad[[#This Row],[Vol 10d]]/16*Tabelad[[#This Row],[Exp %]]*100</f>
        <v>-7.0376339872308069E-2</v>
      </c>
      <c r="AA40" s="19">
        <f>Tabelad[[#This Row],[Exp %]]*Tabelad[[#This Row],[Beta Adj2]]</f>
        <v>-9.609713533645771E-4</v>
      </c>
      <c r="AB40" s="36">
        <f>_xll.BDP($B40&amp;" Equity","volatility_10d")</f>
        <v>11.748760201691249</v>
      </c>
      <c r="AC40" s="36">
        <f>_xll.BDP(B40&amp;" EQUITY","eqy_beta")</f>
        <v>1.0026649236679077</v>
      </c>
      <c r="AD40" s="15">
        <f>Tabelad[[#This Row],[D1 P&amp;L bps]]*$AD$5/10000</f>
        <v>-35572.284309395545</v>
      </c>
      <c r="AE40" s="277"/>
      <c r="AF40" s="231" t="str">
        <f>_xll.BDP(B40&amp;" Equity","EXPECTED_REPORT_DT")</f>
        <v>#N/A N/A</v>
      </c>
      <c r="AG40" s="172">
        <f>_xll.BDP(B40&amp;" Index","CHG_PCT_1D_PRE_FROM_REGULAR")/100</f>
        <v>2.313435E-3</v>
      </c>
      <c r="AH40" s="20">
        <f t="shared" si="100"/>
        <v>-2.2172359981820877E-2</v>
      </c>
      <c r="AI40" s="437" t="str">
        <f>_xll.BDP(B40&amp;" Equity","DVD_EX_DT")</f>
        <v>22/12/2025</v>
      </c>
    </row>
    <row r="41" spans="1:35">
      <c r="C41" s="40"/>
      <c r="D41" s="40"/>
      <c r="E41" s="40"/>
      <c r="H41" s="13"/>
      <c r="I41" s="53"/>
      <c r="K41" s="53"/>
      <c r="L41" s="53"/>
      <c r="M41" s="36"/>
      <c r="S41" s="277"/>
      <c r="U41" s="71"/>
      <c r="V41" s="65"/>
      <c r="X41" s="53"/>
      <c r="Y41" s="436"/>
      <c r="Z41" s="19"/>
      <c r="AG41" s="53"/>
      <c r="AI41" s="48"/>
    </row>
    <row r="42" spans="1:35">
      <c r="C42" s="21"/>
      <c r="D42" s="21"/>
      <c r="E42" s="21"/>
      <c r="H42" s="13"/>
      <c r="L42" s="3"/>
      <c r="S42" s="276"/>
    </row>
    <row r="43" spans="1:35">
      <c r="C43" s="21"/>
      <c r="D43" s="21"/>
      <c r="E43" s="21"/>
      <c r="H43" s="13"/>
      <c r="L43" s="3"/>
      <c r="S43" s="276"/>
    </row>
    <row r="44" spans="1:35">
      <c r="C44" s="21"/>
      <c r="D44" s="21"/>
      <c r="E44" s="21"/>
      <c r="H44" s="13"/>
      <c r="L44" s="3"/>
      <c r="S44" s="276"/>
    </row>
    <row r="45" spans="1:35">
      <c r="C45" s="21"/>
      <c r="D45" s="21"/>
      <c r="E45" s="21"/>
      <c r="H45" s="13"/>
      <c r="S45" s="276"/>
    </row>
    <row r="46" spans="1:35">
      <c r="C46" s="21"/>
      <c r="D46" s="21"/>
      <c r="E46" s="21"/>
      <c r="H46" s="13"/>
      <c r="S46" s="276"/>
    </row>
    <row r="47" spans="1:35">
      <c r="C47" s="21"/>
      <c r="D47" s="21"/>
      <c r="E47" s="21"/>
      <c r="H47" s="13"/>
    </row>
    <row r="48" spans="1:35">
      <c r="C48" s="21"/>
      <c r="D48" s="21"/>
      <c r="E48" s="21"/>
    </row>
    <row r="49" spans="3:5">
      <c r="C49" s="21"/>
      <c r="D49" s="21"/>
      <c r="E49" s="21"/>
    </row>
    <row r="50" spans="3:5">
      <c r="C50" s="21"/>
      <c r="D50" s="21"/>
      <c r="E50" s="21"/>
    </row>
    <row r="51" spans="3:5">
      <c r="C51" s="21"/>
      <c r="D51" s="21"/>
      <c r="E51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0">
    <cfRule type="colorScale" priority="563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0">
    <cfRule type="colorScale" priority="563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0">
    <cfRule type="dataBar" priority="56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0">
    <cfRule type="colorScale" priority="56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0">
    <cfRule type="dataBar" priority="563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0">
    <cfRule type="colorScale" priority="56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0">
    <cfRule type="colorScale" priority="563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0">
    <cfRule type="colorScale" priority="56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0">
    <cfRule type="colorScale" priority="56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AB12:AB40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1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C12" sqref="C12"/>
    </sheetView>
  </sheetViews>
  <sheetFormatPr defaultRowHeight="15" outlineLevelCol="1"/>
  <cols>
    <col min="1" max="1" width="4.42578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-4.7839018528775048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SUM(V4:V20)</f>
        <v>20.348835823851537</v>
      </c>
      <c r="W1" s="50">
        <f>SUM(W4:W20)</f>
        <v>19.257299566609898</v>
      </c>
      <c r="X1" s="50">
        <f>SUM(X4:X20)</f>
        <v>23.659999999999997</v>
      </c>
      <c r="Y1" s="269"/>
      <c r="AG1" s="43"/>
      <c r="AI1" s="415">
        <f>SUM(AI4:AI20)*252</f>
        <v>-18.487448376926853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2121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2224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21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0.27418999883347839</v>
      </c>
      <c r="K4" s="14">
        <f t="shared" ref="K4" si="0">+J4</f>
        <v>0.27418999883347839</v>
      </c>
      <c r="L4" s="74" cm="1">
        <f t="array" ref="L4">_xll.BDP($B4&amp;" Equity","mid")</f>
        <v>0.18</v>
      </c>
      <c r="M4" s="75">
        <f t="shared" ref="M4:M20" si="1">L4/Z4</f>
        <v>5.3827751196172252E-3</v>
      </c>
      <c r="N4" s="352"/>
      <c r="O4" s="75">
        <f t="shared" ref="O4:O20" si="2">L4/K4-1</f>
        <v>-0.34352091336008961</v>
      </c>
      <c r="P4" s="74" cm="1">
        <f t="array" ref="P4">_xll.BDP($B4&amp;" Equity","bid")</f>
        <v>0.12</v>
      </c>
      <c r="Q4" s="74" cm="1">
        <f t="array" ref="Q4">_xll.BDP($B4&amp;" Equity","ask")</f>
        <v>0.24</v>
      </c>
      <c r="R4" s="76">
        <f t="shared" ref="R4:R20" si="3">(Q4/P4-1)</f>
        <v>1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0" si="4">(L4/S4)*H4*T4</f>
        <v>18000</v>
      </c>
      <c r="V4" s="113">
        <f>U4/'Master P&amp;L'!$AD$7*10000</f>
        <v>7.5120063583825336E-2</v>
      </c>
      <c r="W4" s="113">
        <f>(Y4*H4*T4/S4)/'Master P&amp;L'!$AD$7*10000</f>
        <v>7.5120063583825336E-2</v>
      </c>
      <c r="X4" s="118">
        <f t="shared" ref="X4:X20" si="5">IF(C4="Put",IF(Z4&lt;AA4,AA4-Z4,0),IF(Z4&gt;AA4,Z4-AA4,0))</f>
        <v>0</v>
      </c>
      <c r="Y4" s="272">
        <f t="shared" ref="Y4:Y20" si="6">L4-X4</f>
        <v>0.18</v>
      </c>
      <c r="Z4" s="77">
        <f>_xll.BDP(D4&amp;" Equity","LAST_PRICE")</f>
        <v>33.44</v>
      </c>
      <c r="AA4" s="77" cm="1">
        <f t="array" ref="AA4">_xll.BDP(B4&amp;" Equity","OPT_STRIKE_PX")</f>
        <v>35</v>
      </c>
      <c r="AB4" s="76">
        <f t="shared" ref="AB4:AB20" si="7">AA4/Z4-1</f>
        <v>4.6650717703349276E-2</v>
      </c>
      <c r="AC4" s="323" cm="1">
        <f t="array" ref="AC4">_xll.BDP($D4&amp;" Equity","volatility_10d")</f>
        <v>11.545185106406811</v>
      </c>
      <c r="AD4" s="77" cm="1">
        <f t="array" ref="AD4">_xll.BDP(B4&amp;" Equity","ivol_mid")</f>
        <v>19.82328</v>
      </c>
      <c r="AE4" s="77">
        <f t="shared" ref="AE4:AE20" si="8">AD4/AC4</f>
        <v>1.717017078314266</v>
      </c>
      <c r="AF4" s="78" cm="1">
        <f t="array" ref="AF4">_xll.BDP(B4&amp;" Equity","DELTA_MID_RT")</f>
        <v>0.19848623871803284</v>
      </c>
      <c r="AG4" s="75">
        <f>AL4/'Master P&amp;L'!$AE$7</f>
        <v>2.7700021906308523E-4</v>
      </c>
      <c r="AH4" s="75">
        <f>AM4/'Master P&amp;L'!$AE$7</f>
        <v>1.3955638479128442E-3</v>
      </c>
      <c r="AI4" s="427">
        <f>AO4/'Master P&amp;L'!$AD$7*10000</f>
        <v>-4.7992899869428391E-3</v>
      </c>
      <c r="AJ4" s="350">
        <f t="shared" ref="AJ4:AJ20" si="9">(252*AI4)/$AI$1</f>
        <v>6.5418496487541569E-2</v>
      </c>
      <c r="AK4" s="78">
        <f>AP4/'Master P&amp;L'!$AD$7*10000</f>
        <v>-3.9308659451840727E-2</v>
      </c>
      <c r="AL4" s="42">
        <f t="shared" ref="AL4:AL20" si="10">Z4*AF4*H4*T4/S4</f>
        <v>663737.98227310181</v>
      </c>
      <c r="AM4" s="42">
        <f t="shared" ref="AM4:AM20" si="11">IF(C4="Put",-Z4*H4*T4/S4,Z4*H4*T4/S4)</f>
        <v>3344000</v>
      </c>
      <c r="AN4" s="78" cm="1">
        <f t="array" ref="AN4">_xll.BDP($B4&amp;" Equity","theta_mid_rt")</f>
        <v>-1.1499886400997639E-2</v>
      </c>
      <c r="AO4" s="42">
        <f t="shared" ref="AO4:AO20" si="12">AN4*H4*T4/S4</f>
        <v>-1149.9886400997639</v>
      </c>
      <c r="AP4" s="42">
        <f t="shared" ref="AP4:AP20" si="13">(L4-K4)*T4/S4*H4</f>
        <v>-9418.9998833478385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5.6452000000000002E-2</v>
      </c>
      <c r="AS4" s="73">
        <f t="shared" ref="AS4:AS20" si="14">$Z4*($AR4*$Z4*$AS$3)*$H4*$T4/$S4</f>
        <v>63126.523187199993</v>
      </c>
      <c r="AT4" s="73">
        <f t="shared" ref="AT4:AT20" si="15">$Z4*($AR4*$Z4*$AT$3)*$H4*$T4/$S4</f>
        <v>315632.61593600002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0.18</v>
      </c>
      <c r="AZ4" s="354"/>
      <c r="BA4" s="42">
        <f t="shared" ref="BA4:BA20" si="16">+AY4</f>
        <v>0.18</v>
      </c>
      <c r="BB4" s="346">
        <f t="shared" ref="BB4:BB20" si="17">+J4</f>
        <v>0.27418999883347839</v>
      </c>
      <c r="BC4" s="346">
        <f t="shared" ref="BC4:BC20" si="18">(BB4-BA4)*H4*100</f>
        <v>9418.9998833478403</v>
      </c>
      <c r="BD4" s="346">
        <f>BC4/'Master P&amp;L'!$AD$7*10000</f>
        <v>3.9308659451840734E-2</v>
      </c>
    </row>
    <row r="5" spans="1:56" s="59" customFormat="1">
      <c r="A5" s="356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139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35.125</v>
      </c>
      <c r="K5" s="14">
        <f t="shared" ref="K5:K20" si="19">+J5</f>
        <v>35.125</v>
      </c>
      <c r="L5" s="74" cm="1">
        <f t="array" ref="L5">_xll.BDP($B5&amp;" Equity","mid")</f>
        <v>35.22</v>
      </c>
      <c r="M5" s="19">
        <f t="shared" si="1"/>
        <v>0.10630848173860549</v>
      </c>
      <c r="N5" s="350"/>
      <c r="O5" s="19">
        <f t="shared" si="2"/>
        <v>2.704626334519622E-3</v>
      </c>
      <c r="P5" s="36" cm="1">
        <f t="array" ref="P5">_xll.BDP($B5&amp;" Equity","bid")</f>
        <v>34.9</v>
      </c>
      <c r="Q5" s="36" cm="1">
        <f t="array" ref="Q5">_xll.BDP($B5&amp;" Equity","ask")</f>
        <v>35.549999999999997</v>
      </c>
      <c r="R5" s="40">
        <f t="shared" si="3"/>
        <v>1.862464183381074E-2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422639.99999999994</v>
      </c>
      <c r="V5" s="124">
        <f>U5/'Master P&amp;L'!$AD$7*10000</f>
        <v>1.7638190929482187</v>
      </c>
      <c r="W5" s="124">
        <f>(Y5*H5*T5/S5)/'Master P&amp;L'!$AD$7*10000</f>
        <v>1.7638190929482187</v>
      </c>
      <c r="X5" s="413">
        <f t="shared" si="5"/>
        <v>0</v>
      </c>
      <c r="Y5" s="273">
        <f t="shared" si="6"/>
        <v>35.22</v>
      </c>
      <c r="Z5" s="37">
        <f>_xll.BDP(D5&amp;" Equity","LAST_PRICE")</f>
        <v>331.3</v>
      </c>
      <c r="AA5" s="37" cm="1">
        <f t="array" ref="AA5">_xll.BDP(B5&amp;" Equity","OPT_STRIKE_PX")</f>
        <v>350</v>
      </c>
      <c r="AB5" s="40">
        <f t="shared" si="7"/>
        <v>5.6444310292785849E-2</v>
      </c>
      <c r="AC5" s="324" cm="1">
        <f t="array" ref="AC5">_xll.BDP($D5&amp;" Equity","volatility_10d")</f>
        <v>36.607186665412257</v>
      </c>
      <c r="AD5" s="37" cm="1">
        <f t="array" ref="AD5">_xll.BDP(B5&amp;" Equity","ivol_mid")</f>
        <v>50.514809999999997</v>
      </c>
      <c r="AE5" s="37">
        <f t="shared" si="8"/>
        <v>1.3799151096122921</v>
      </c>
      <c r="AF5" s="38" cm="1">
        <f t="array" ref="AF5">_xll.BDP(B5&amp;" Equity","DELTA_MID_RT")</f>
        <v>0.50905394554138184</v>
      </c>
      <c r="AG5" s="19">
        <f>AL5/'Master P&amp;L'!$AE$7</f>
        <v>8.4459777225889116E-4</v>
      </c>
      <c r="AH5" s="19">
        <f>AM5/'Master P&amp;L'!$AE$7</f>
        <v>1.6591518043547557E-3</v>
      </c>
      <c r="AI5" s="426">
        <f>AO5/'Master P&amp;L'!$AD$7*10000</f>
        <v>-7.2641543839143969E-3</v>
      </c>
      <c r="AJ5" s="350">
        <f t="shared" si="9"/>
        <v>9.9016741922647145E-2</v>
      </c>
      <c r="AK5" s="38">
        <f>AP5/'Master P&amp;L'!$AD$7*10000</f>
        <v>4.757604026975548E-3</v>
      </c>
      <c r="AL5" s="15">
        <f t="shared" si="10"/>
        <v>2023794.8658943176</v>
      </c>
      <c r="AM5" s="15">
        <f t="shared" si="11"/>
        <v>3975600</v>
      </c>
      <c r="AN5" s="38" cm="1">
        <f t="array" ref="AN5">_xll.BDP($B5&amp;" Equity","theta_mid_rt")</f>
        <v>-0.14505088329315186</v>
      </c>
      <c r="AO5" s="15">
        <f t="shared" si="12"/>
        <v>-1740.6105995178223</v>
      </c>
      <c r="AP5" s="15">
        <f t="shared" si="13"/>
        <v>1139.9999999999864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1.2605999999999999E-2</v>
      </c>
      <c r="AS5">
        <f t="shared" si="14"/>
        <v>166035.67825679999</v>
      </c>
      <c r="AT5">
        <f t="shared" si="15"/>
        <v>830178.3912839999</v>
      </c>
      <c r="AU5" t="s">
        <v>151</v>
      </c>
      <c r="AV5" s="277" cm="1">
        <f t="array" ref="AV5">_xll.BDP($D5&amp;" Equity","EST_PE_NXT_YR")*(AA5/Z5)</f>
        <v>24.60599034642291</v>
      </c>
      <c r="AW5"/>
      <c r="AX5" s="15"/>
      <c r="AY5" s="277">
        <v>35.22</v>
      </c>
      <c r="AZ5" s="355"/>
      <c r="BA5" s="15">
        <f t="shared" si="16"/>
        <v>35.22</v>
      </c>
      <c r="BB5" s="414">
        <f t="shared" si="17"/>
        <v>35.125</v>
      </c>
      <c r="BC5" s="414">
        <f t="shared" si="18"/>
        <v>-1139.9999999999864</v>
      </c>
      <c r="BD5" s="414">
        <f>BC5/'Master P&amp;L'!$AD$7*10000</f>
        <v>-4.757604026975548E-3</v>
      </c>
    </row>
    <row r="6" spans="1:56">
      <c r="A6" s="335"/>
      <c r="B6" s="73" t="s">
        <v>2390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NVDA US</v>
      </c>
      <c r="E6" s="73" t="str" cm="1">
        <f t="array" ref="E6">_xll.BDP($B6&amp;" Equity","mifid_Maturity_date")</f>
        <v>15/05/2026</v>
      </c>
      <c r="F6" s="73" cm="1">
        <f t="array" ref="F6">_xll.BDP($B6&amp;" Equity","opt_days_expire")</f>
        <v>105</v>
      </c>
      <c r="G6" s="73" t="str" cm="1">
        <f t="array" ref="G6">_xll.BDP(B6&amp;" Equity","QUOTED_CURRENCY_REALTIME")</f>
        <v>USD</v>
      </c>
      <c r="H6" s="42">
        <v>150</v>
      </c>
      <c r="I6" s="409">
        <v>14.91</v>
      </c>
      <c r="J6" s="14">
        <f>VLOOKUP(B6,Precificação!$B:$O,14,FALSE)</f>
        <v>15.524999999999999</v>
      </c>
      <c r="K6" s="14">
        <f t="shared" si="19"/>
        <v>15.524999999999999</v>
      </c>
      <c r="L6" s="74" cm="1">
        <f t="array" ref="L6">_xll.BDP($B6&amp;" Equity","mid")</f>
        <v>14.8</v>
      </c>
      <c r="M6" s="75">
        <f t="shared" ref="M6" si="20">L6/Z6</f>
        <v>7.743420708418354E-2</v>
      </c>
      <c r="N6" s="352"/>
      <c r="O6" s="75">
        <f t="shared" ref="O6" si="21">L6/K6-1</f>
        <v>-4.6698872785829182E-2</v>
      </c>
      <c r="P6" s="74" cm="1">
        <f t="array" ref="P6">_xll.BDP($B6&amp;" Equity","bid")</f>
        <v>14.7</v>
      </c>
      <c r="Q6" s="74" cm="1">
        <f t="array" ref="Q6">_xll.BDP($B6&amp;" Equity","ask")</f>
        <v>14.9</v>
      </c>
      <c r="R6" s="76">
        <f t="shared" ref="R6" si="22">(Q6/P6-1)</f>
        <v>1.3605442176870763E-2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ref="U6" si="23">(L6/S6)*H6*T6</f>
        <v>222000</v>
      </c>
      <c r="V6" s="113">
        <f>U6/'Master P&amp;L'!$AD$7*10000</f>
        <v>0.9264807842005125</v>
      </c>
      <c r="W6" s="113">
        <f>(Y6*H6*T6/S6)/'Master P&amp;L'!$AD$7*10000</f>
        <v>0.9264807842005125</v>
      </c>
      <c r="X6" s="118">
        <f t="shared" ref="X6" si="24">IF(C6="Put",IF(Z6&lt;AA6,AA6-Z6,0),IF(Z6&gt;AA6,Z6-AA6,0))</f>
        <v>0</v>
      </c>
      <c r="Y6" s="272">
        <f t="shared" ref="Y6" si="25">L6-X6</f>
        <v>14.8</v>
      </c>
      <c r="Z6" s="77">
        <f>_xll.BDP(D6&amp;" Equity","LAST_PRICE")</f>
        <v>191.13</v>
      </c>
      <c r="AA6" s="77" cm="1">
        <f t="array" ref="AA6">_xll.BDP(B6&amp;" Equity","OPT_STRIKE_PX")</f>
        <v>200</v>
      </c>
      <c r="AB6" s="76">
        <f t="shared" ref="AB6" si="26">AA6/Z6-1</f>
        <v>4.6408203840318185E-2</v>
      </c>
      <c r="AC6" s="323" cm="1">
        <f t="array" ref="AC6">_xll.BDP($D6&amp;" Equity","volatility_10d")</f>
        <v>33.943417679274731</v>
      </c>
      <c r="AD6" s="77" cm="1">
        <f t="array" ref="AD6">_xll.BDP(B6&amp;" Equity","ivol_mid")</f>
        <v>42.928899999999999</v>
      </c>
      <c r="AE6" s="77">
        <f t="shared" ref="AE6" si="27">AD6/AC6</f>
        <v>1.2647194341367589</v>
      </c>
      <c r="AF6" s="78" cm="1">
        <f t="array" ref="AF6">_xll.BDP(B6&amp;" Equity","DELTA_MID_RT")</f>
        <v>0.48662263154983521</v>
      </c>
      <c r="AG6" s="75">
        <f>AL6/'Master P&amp;L'!$AE$7</f>
        <v>5.8223172195443948E-4</v>
      </c>
      <c r="AH6" s="75">
        <f>AM6/'Master P&amp;L'!$AE$7</f>
        <v>1.1964748127313782E-3</v>
      </c>
      <c r="AI6" s="427">
        <f>AO6/'Master P&amp;L'!$AD$7*10000</f>
        <v>-5.1457009224711598E-3</v>
      </c>
      <c r="AJ6" s="350">
        <f t="shared" ref="AJ6" si="28">(252*AI6)/$AI$1</f>
        <v>7.0140378814043988E-2</v>
      </c>
      <c r="AK6" s="78">
        <f>AP6/'Master P&amp;L'!$AD$7*10000</f>
        <v>-4.5385038415227674E-2</v>
      </c>
      <c r="AL6" s="42">
        <f t="shared" ref="AL6" si="29">Z6*AF6*H6*T6/S6</f>
        <v>1395122.7535218</v>
      </c>
      <c r="AM6" s="42">
        <f t="shared" ref="AM6" si="30">IF(C6="Put",-Z6*H6*T6/S6,Z6*H6*T6/S6)</f>
        <v>2866950</v>
      </c>
      <c r="AN6" s="78" cm="1">
        <f t="array" ref="AN6">_xll.BDP($B6&amp;" Equity","theta_mid_rt")</f>
        <v>-8.2199625670909882E-2</v>
      </c>
      <c r="AO6" s="42">
        <f t="shared" ref="AO6" si="31">AN6*H6*T6/S6</f>
        <v>-1232.9943850636482</v>
      </c>
      <c r="AP6" s="42">
        <f t="shared" ref="AP6" si="32">(L6-K6)*T6/S6*H6</f>
        <v>-10874.999999999967</v>
      </c>
      <c r="AQ6" s="74" t="str" cm="1">
        <f t="array" ref="AQ6">_xll.BDP($D6&amp;" Equity","EXPECTED_REPORT_DT")</f>
        <v>25/02/2026</v>
      </c>
      <c r="AR6" s="235" cm="1">
        <f t="array" ref="AR6">_xll.BDP($B6&amp;" Equity","GAMMA_LAST")</f>
        <v>1.7198999999999999E-2</v>
      </c>
      <c r="AS6" s="73">
        <f t="shared" si="14"/>
        <v>94243.666800464998</v>
      </c>
      <c r="AT6" s="73">
        <f t="shared" si="15"/>
        <v>471218.33400232496</v>
      </c>
      <c r="AU6" s="73" t="s">
        <v>151</v>
      </c>
      <c r="AV6" s="322" cm="1">
        <f t="array" ref="AV6">_xll.BDP($D6&amp;" Equity","EST_PE_NXT_YR")*(AA6/Z6)</f>
        <v>25.727245921933864</v>
      </c>
      <c r="AW6" s="73"/>
      <c r="AX6" s="42"/>
      <c r="AY6" s="322">
        <v>14.8</v>
      </c>
      <c r="AZ6" s="354"/>
      <c r="BA6" s="42">
        <f t="shared" ref="BA6" si="33">+AY6</f>
        <v>14.8</v>
      </c>
      <c r="BB6" s="346">
        <f t="shared" ref="BB6" si="34">+J6</f>
        <v>15.524999999999999</v>
      </c>
      <c r="BC6" s="346">
        <f t="shared" ref="BC6" si="35">(BB6-BA6)*H6*100</f>
        <v>10874.999999999969</v>
      </c>
      <c r="BD6" s="346">
        <f>BC6/'Master P&amp;L'!$AD$7*10000</f>
        <v>4.5385038415227681E-2</v>
      </c>
    </row>
    <row r="7" spans="1:56" s="59" customFormat="1">
      <c r="A7" s="356"/>
      <c r="B7" t="s">
        <v>2285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20/03/2026</v>
      </c>
      <c r="F7" cm="1">
        <f t="array" ref="F7">_xll.BDP($B7&amp;" Equity","opt_days_expire")</f>
        <v>49</v>
      </c>
      <c r="G7" t="str" cm="1">
        <f t="array" ref="G7">_xll.BDP(B7&amp;" Equity","QUOTED_CURRENCY_REALTIME")</f>
        <v>USD</v>
      </c>
      <c r="H7" s="15">
        <v>60</v>
      </c>
      <c r="I7" s="410">
        <v>39.83</v>
      </c>
      <c r="J7" s="14">
        <f>VLOOKUP(B7,Precificação!$B:$O,14,FALSE)</f>
        <v>45.85</v>
      </c>
      <c r="K7" s="14">
        <f t="shared" si="19"/>
        <v>45.85</v>
      </c>
      <c r="L7" s="74" cm="1">
        <f t="array" ref="L7">_xll.BDP($B7&amp;" Equity","mid")</f>
        <v>52.35</v>
      </c>
      <c r="M7" s="19">
        <f t="shared" si="1"/>
        <v>0.13360044916292366</v>
      </c>
      <c r="N7" s="350"/>
      <c r="O7" s="19">
        <f t="shared" si="2"/>
        <v>0.14176663031624859</v>
      </c>
      <c r="P7" s="36" cm="1">
        <f t="array" ref="P7">_xll.BDP($B7&amp;" Equity","bid")</f>
        <v>51</v>
      </c>
      <c r="Q7" s="36" cm="1">
        <f t="array" ref="Q7">_xll.BDP($B7&amp;" Equity","ask")</f>
        <v>53.7</v>
      </c>
      <c r="R7" s="40">
        <f t="shared" si="3"/>
        <v>5.2941176470588269E-2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314100</v>
      </c>
      <c r="V7" s="124">
        <f>U7/'Master P&amp;L'!$AD$7*10000</f>
        <v>1.3108451095377522</v>
      </c>
      <c r="W7" s="124">
        <f>(Y7*H7*T7/S7)/'Master P&amp;L'!$AD$7*10000</f>
        <v>1.3108451095377522</v>
      </c>
      <c r="X7" s="413">
        <f t="shared" si="5"/>
        <v>0</v>
      </c>
      <c r="Y7" s="273">
        <f t="shared" si="6"/>
        <v>52.35</v>
      </c>
      <c r="Z7" s="37">
        <f>_xll.BDP(D7&amp;" Equity","LAST_PRICE")</f>
        <v>391.84</v>
      </c>
      <c r="AA7" s="37" cm="1">
        <f t="array" ref="AA7">_xll.BDP(B7&amp;" Equity","OPT_STRIKE_PX")</f>
        <v>420</v>
      </c>
      <c r="AB7" s="40">
        <f t="shared" si="7"/>
        <v>7.1866067782768495E-2</v>
      </c>
      <c r="AC7" s="324" cm="1">
        <f t="array" ref="AC7">_xll.BDP($D7&amp;" Equity","volatility_10d")</f>
        <v>85.167573373027992</v>
      </c>
      <c r="AD7" s="37" cm="1">
        <f t="array" ref="AD7">_xll.BDP(B7&amp;" Equity","ivol_mid")</f>
        <v>109.3038</v>
      </c>
      <c r="AE7" s="37">
        <f t="shared" si="8"/>
        <v>1.2833969041392905</v>
      </c>
      <c r="AF7" s="38" cm="1">
        <f t="array" ref="AF7">_xll.BDP(B7&amp;" Equity","DELTA_MID_RT")</f>
        <v>0.51702898740768433</v>
      </c>
      <c r="AG7" s="19">
        <f>AL7/'Master P&amp;L'!$AE$7</f>
        <v>5.0729239600543548E-4</v>
      </c>
      <c r="AH7" s="19">
        <f>AM7/'Master P&amp;L'!$AE$7</f>
        <v>9.8116819048953727E-4</v>
      </c>
      <c r="AI7" s="426">
        <f>AO7/'Master P&amp;L'!$AD$7*10000</f>
        <v>-1.582727168791153E-2</v>
      </c>
      <c r="AJ7" s="350">
        <f t="shared" si="9"/>
        <v>0.21573947816030115</v>
      </c>
      <c r="AK7" s="38">
        <f>AP7/'Master P&amp;L'!$AD$7*10000</f>
        <v>0.1627601377649549</v>
      </c>
      <c r="AL7" s="15">
        <f t="shared" si="10"/>
        <v>1215555.8305549622</v>
      </c>
      <c r="AM7" s="15">
        <f t="shared" si="11"/>
        <v>2351040</v>
      </c>
      <c r="AN7" s="38" cm="1">
        <f t="array" ref="AN7">_xll.BDP($B7&amp;" Equity","theta_mid_rt")</f>
        <v>-0.63207900524139404</v>
      </c>
      <c r="AO7" s="15">
        <f t="shared" si="12"/>
        <v>-3792.4740314483643</v>
      </c>
      <c r="AP7" s="15">
        <f t="shared" si="13"/>
        <v>39000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9.9319999999999999E-3</v>
      </c>
      <c r="AS7">
        <f t="shared" si="14"/>
        <v>91496.713930751997</v>
      </c>
      <c r="AT7">
        <f t="shared" si="15"/>
        <v>457483.56965376006</v>
      </c>
      <c r="AU7" t="s">
        <v>151</v>
      </c>
      <c r="AV7" s="277" cm="1">
        <f t="array" ref="AV7">_xll.BDP($D7&amp;" Equity","EST_PE_NXT_YR")*(AA7/Z7)</f>
        <v>44.757932227814592</v>
      </c>
      <c r="AW7"/>
      <c r="AX7" s="15"/>
      <c r="AY7" s="277">
        <v>52.35</v>
      </c>
      <c r="AZ7" s="355"/>
      <c r="BA7" s="15">
        <f t="shared" si="16"/>
        <v>52.35</v>
      </c>
      <c r="BB7" s="414">
        <f t="shared" si="17"/>
        <v>45.85</v>
      </c>
      <c r="BC7" s="414">
        <f t="shared" si="18"/>
        <v>-39000</v>
      </c>
      <c r="BD7" s="414">
        <f>BC7/'Master P&amp;L'!$AD$7*10000</f>
        <v>-0.1627601377649549</v>
      </c>
    </row>
    <row r="8" spans="1:56">
      <c r="A8" s="335"/>
      <c r="B8" s="73" t="s">
        <v>2459</v>
      </c>
      <c r="C8" s="73" t="str" cm="1">
        <f t="array" ref="C8">_xll.BDP($B8&amp;" Equity","opt_put_call")</f>
        <v>Call</v>
      </c>
      <c r="D8" s="73" t="str" cm="1">
        <f t="array" ref="D8">_xll.BDP(B8&amp;" Equity","OPT_UNDL_TICKER")</f>
        <v>META US</v>
      </c>
      <c r="E8" s="73" t="str" cm="1">
        <f t="array" ref="E8">_xll.BDP($B8&amp;" Equity","mifid_Maturity_date")</f>
        <v>17/07/2026</v>
      </c>
      <c r="F8" s="73" cm="1">
        <f t="array" ref="F8">_xll.BDP($B8&amp;" Equity","opt_days_expire")</f>
        <v>168</v>
      </c>
      <c r="G8" s="73" t="str" cm="1">
        <f t="array" ref="G8">_xll.BDP(B8&amp;" Equity","QUOTED_CURRENCY_REALTIME")</f>
        <v>USD</v>
      </c>
      <c r="H8" s="42">
        <v>60</v>
      </c>
      <c r="I8" s="409">
        <v>59.2</v>
      </c>
      <c r="J8" s="14"/>
      <c r="K8" s="14">
        <v>59.2</v>
      </c>
      <c r="L8" s="74" cm="1">
        <f t="array" ref="L8">_xll.BDP($B8&amp;" Equity","mid")</f>
        <v>54.65</v>
      </c>
      <c r="M8" s="75">
        <f t="shared" si="1"/>
        <v>7.6273551988834606E-2</v>
      </c>
      <c r="N8" s="352"/>
      <c r="O8" s="75">
        <f t="shared" si="2"/>
        <v>-7.6858108108108225E-2</v>
      </c>
      <c r="P8" s="74" cm="1">
        <f t="array" ref="P8">_xll.BDP($B8&amp;" Equity","bid")</f>
        <v>54.4</v>
      </c>
      <c r="Q8" s="74" cm="1">
        <f t="array" ref="Q8">_xll.BDP($B8&amp;" Equity","ask")</f>
        <v>54.9</v>
      </c>
      <c r="R8" s="76">
        <f t="shared" si="3"/>
        <v>9.1911764705883137E-3</v>
      </c>
      <c r="S8" s="36" cm="1">
        <f t="array" ref="S8">_xll.BDP(G8&amp;" Curncy","PX_LAST")</f>
        <v>1</v>
      </c>
      <c r="T8" s="42" cm="1">
        <f t="array" ref="T8">_xll.BDP(B8&amp;" Equity","OPT_MULTIPLIER")</f>
        <v>100</v>
      </c>
      <c r="U8" s="42">
        <f t="shared" si="4"/>
        <v>327900</v>
      </c>
      <c r="V8" s="113">
        <f>U8/'Master P&amp;L'!$AD$7*10000</f>
        <v>1.3684371582853516</v>
      </c>
      <c r="W8" s="113">
        <f>(Y8*H8*T8/S8)/'Master P&amp;L'!$AD$7*10000</f>
        <v>1.3684371582853516</v>
      </c>
      <c r="X8" s="118">
        <f t="shared" si="5"/>
        <v>0</v>
      </c>
      <c r="Y8" s="272">
        <f t="shared" si="6"/>
        <v>54.65</v>
      </c>
      <c r="Z8" s="77">
        <f>_xll.BDP(D8&amp;" Equity","LAST_PRICE")</f>
        <v>716.5</v>
      </c>
      <c r="AA8" s="77" cm="1">
        <f t="array" ref="AA8">_xll.BDP(B8&amp;" Equity","OPT_STRIKE_PX")</f>
        <v>750</v>
      </c>
      <c r="AB8" s="76">
        <f t="shared" si="7"/>
        <v>4.6755059316120118E-2</v>
      </c>
      <c r="AC8" s="323" cm="1">
        <f t="array" ref="AC8">_xll.BDP($D8&amp;" Equity","volatility_10d")</f>
        <v>64.652064674377812</v>
      </c>
      <c r="AD8" s="77" cm="1">
        <f t="array" ref="AD8">_xll.BDP(B8&amp;" Equity","ivol_mid")</f>
        <v>33.056510000000003</v>
      </c>
      <c r="AE8" s="77">
        <f t="shared" si="8"/>
        <v>0.5112985976007135</v>
      </c>
      <c r="AF8" s="78" cm="1">
        <f t="array" ref="AF8">_xll.BDP(B8&amp;" Equity","DELTA_MID_RT")</f>
        <v>0.49094825983047485</v>
      </c>
      <c r="AG8" s="75">
        <f>AL8/'Master P&amp;L'!$AE$7</f>
        <v>8.8081887368494428E-4</v>
      </c>
      <c r="AH8" s="75">
        <f>AM8/'Master P&amp;L'!$AE$7</f>
        <v>1.7941175185936951E-3</v>
      </c>
      <c r="AI8" s="427">
        <f>AO8/'Master P&amp;L'!$AD$7*10000</f>
        <v>-5.794820171038129E-3</v>
      </c>
      <c r="AJ8" s="350">
        <f t="shared" si="9"/>
        <v>7.8988438714134315E-2</v>
      </c>
      <c r="AK8" s="78">
        <f>AP8/'Master P&amp;L'!$AD$7*10000</f>
        <v>-0.11393209643546856</v>
      </c>
      <c r="AL8" s="42">
        <f t="shared" si="10"/>
        <v>2110586.5690112114</v>
      </c>
      <c r="AM8" s="42">
        <f t="shared" si="11"/>
        <v>4299000</v>
      </c>
      <c r="AN8" s="78" cm="1">
        <f t="array" ref="AN8">_xll.BDP($B8&amp;" Equity","theta_mid_rt")</f>
        <v>-0.23142233490943909</v>
      </c>
      <c r="AO8" s="42">
        <f t="shared" si="12"/>
        <v>-1388.5340094566345</v>
      </c>
      <c r="AP8" s="42">
        <f t="shared" si="13"/>
        <v>-27300.000000000029</v>
      </c>
      <c r="AQ8" s="74" t="str" cm="1">
        <f t="array" ref="AQ8">_xll.BDP($D8&amp;" Equity","EXPECTED_REPORT_DT")</f>
        <v>30/04/2026</v>
      </c>
      <c r="AR8" s="235" cm="1">
        <f t="array" ref="AR8">_xll.BDP($B8&amp;" Equity","GAMMA_LAST")</f>
        <v>1.7756000000000001E-2</v>
      </c>
      <c r="AS8" s="73">
        <f t="shared" si="14"/>
        <v>546926.26026000001</v>
      </c>
      <c r="AT8" s="73">
        <f t="shared" si="15"/>
        <v>2734631.3013000004</v>
      </c>
      <c r="AU8" s="73" t="s">
        <v>151</v>
      </c>
      <c r="AV8" s="322" cm="1">
        <f t="array" ref="AV8">_xll.BDP($D8&amp;" Equity","EST_PE_NXT_YR")*(AA8/Z8)</f>
        <v>19.938576328798714</v>
      </c>
      <c r="AW8" s="73"/>
      <c r="AX8" s="42"/>
      <c r="AY8" s="322">
        <v>54.65</v>
      </c>
      <c r="AZ8" s="354"/>
      <c r="BA8" s="42">
        <f t="shared" si="16"/>
        <v>54.65</v>
      </c>
      <c r="BB8" s="346">
        <f t="shared" si="17"/>
        <v>0</v>
      </c>
      <c r="BC8" s="346">
        <f t="shared" si="18"/>
        <v>-327900</v>
      </c>
      <c r="BD8" s="346">
        <f>BC8/'Master P&amp;L'!$AD$7*10000</f>
        <v>-1.3684371582853516</v>
      </c>
    </row>
    <row r="9" spans="1:56" s="59" customFormat="1">
      <c r="A9" s="356"/>
      <c r="B9" t="s">
        <v>2404</v>
      </c>
      <c r="C9" t="str" cm="1">
        <f t="array" ref="C9">_xll.BDP($B9&amp;" Equity","opt_put_call")</f>
        <v>Call</v>
      </c>
      <c r="D9" t="str" cm="1">
        <f t="array" ref="D9">_xll.BDP(B9&amp;" Equity","OPT_UNDL_TICKER")</f>
        <v>META US</v>
      </c>
      <c r="E9" t="str" cm="1">
        <f t="array" ref="E9">_xll.BDP($B9&amp;" Equity","mifid_Maturity_date")</f>
        <v>17/07/2026</v>
      </c>
      <c r="F9" cm="1">
        <f t="array" ref="F9">_xll.BDP($B9&amp;" Equity","opt_days_expire")</f>
        <v>168</v>
      </c>
      <c r="G9" t="str" cm="1">
        <f t="array" ref="G9">_xll.BDP(B9&amp;" Equity","QUOTED_CURRENCY_REALTIME")</f>
        <v>USD</v>
      </c>
      <c r="H9" s="15">
        <v>75</v>
      </c>
      <c r="I9" s="410">
        <v>59.27</v>
      </c>
      <c r="J9" s="14">
        <f>VLOOKUP(B9,Precificação!$B:$O,14,FALSE)</f>
        <v>95.775000000000006</v>
      </c>
      <c r="K9" s="14">
        <f t="shared" si="19"/>
        <v>95.775000000000006</v>
      </c>
      <c r="L9" s="74" cm="1">
        <f t="array" ref="L9">_xll.BDP($B9&amp;" Equity","mid")</f>
        <v>78.8</v>
      </c>
      <c r="M9" s="19">
        <f t="shared" ref="M9" si="36">L9/Z9</f>
        <v>0.10997906489881368</v>
      </c>
      <c r="N9" s="350"/>
      <c r="O9" s="19">
        <f t="shared" ref="O9" si="37">L9/K9-1</f>
        <v>-0.17723831897676856</v>
      </c>
      <c r="P9" s="36" cm="1">
        <f t="array" ref="P9">_xll.BDP($B9&amp;" Equity","bid")</f>
        <v>77.599999999999994</v>
      </c>
      <c r="Q9" s="36" cm="1">
        <f t="array" ref="Q9">_xll.BDP($B9&amp;" Equity","ask")</f>
        <v>80</v>
      </c>
      <c r="R9" s="40">
        <f t="shared" ref="R9" si="38">(Q9/P9-1)</f>
        <v>3.0927835051546504E-2</v>
      </c>
      <c r="S9" s="36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ref="U9" si="39">(L9/S9)*H9*T9</f>
        <v>591000</v>
      </c>
      <c r="V9" s="124">
        <f>U9/'Master P&amp;L'!$AD$7*10000</f>
        <v>2.4664420876689324</v>
      </c>
      <c r="W9" s="124">
        <f>(Y9*H9*T9/S9)/'Master P&amp;L'!$AD$7*10000</f>
        <v>1.9499916505301329</v>
      </c>
      <c r="X9" s="413">
        <f t="shared" ref="X9" si="40">IF(C9="Put",IF(Z9&lt;AA9,AA9-Z9,0),IF(Z9&gt;AA9,Z9-AA9,0))</f>
        <v>16.5</v>
      </c>
      <c r="Y9" s="273">
        <f t="shared" ref="Y9" si="41">L9-X9</f>
        <v>62.3</v>
      </c>
      <c r="Z9" s="37">
        <f>_xll.BDP(D9&amp;" Equity","LAST_PRICE")</f>
        <v>716.5</v>
      </c>
      <c r="AA9" s="37" cm="1">
        <f t="array" ref="AA9">_xll.BDP(B9&amp;" Equity","OPT_STRIKE_PX")</f>
        <v>700</v>
      </c>
      <c r="AB9" s="40">
        <f t="shared" ref="AB9" si="42">AA9/Z9-1</f>
        <v>-2.3028611304954594E-2</v>
      </c>
      <c r="AC9" s="324" cm="1">
        <f t="array" ref="AC9">_xll.BDP($D9&amp;" Equity","volatility_10d")</f>
        <v>64.652064674377812</v>
      </c>
      <c r="AD9" s="37" cm="1">
        <f t="array" ref="AD9">_xll.BDP(B9&amp;" Equity","ivol_mid")</f>
        <v>34.02355</v>
      </c>
      <c r="AE9" s="37">
        <f t="shared" ref="AE9" si="43">AD9/AC9</f>
        <v>0.52625620189178324</v>
      </c>
      <c r="AF9" s="38" cm="1">
        <f t="array" ref="AF9">_xll.BDP(B9&amp;" Equity","DELTA_MID_RT")</f>
        <v>0.61183708906173706</v>
      </c>
      <c r="AG9" s="19">
        <f>AL9/'Master P&amp;L'!$AE$7</f>
        <v>1.3721345500137918E-3</v>
      </c>
      <c r="AH9" s="19">
        <f>AM9/'Master P&amp;L'!$AE$7</f>
        <v>2.2426468982421192E-3</v>
      </c>
      <c r="AI9" s="426">
        <f>AO9/'Master P&amp;L'!$AD$7*10000</f>
        <v>-7.4068519924693505E-3</v>
      </c>
      <c r="AJ9" s="350">
        <f t="shared" ref="AJ9" si="44">(252*AI9)/$AI$1</f>
        <v>0.10096183443204544</v>
      </c>
      <c r="AK9" s="38">
        <f>AP9/'Master P&amp;L'!$AD$7*10000</f>
        <v>-0.53131794972309832</v>
      </c>
      <c r="AL9" s="15">
        <f t="shared" ref="AL9" si="45">Z9*AF9*H9*T9/S9</f>
        <v>3287859.5573455095</v>
      </c>
      <c r="AM9" s="15">
        <f t="shared" ref="AM9" si="46">IF(C9="Put",-Z9*H9*T9/S9,Z9*H9*T9/S9)</f>
        <v>5373750</v>
      </c>
      <c r="AN9" s="38" cm="1">
        <f t="array" ref="AN9">_xll.BDP($B9&amp;" Equity","theta_mid_rt")</f>
        <v>-0.23664043843746185</v>
      </c>
      <c r="AO9" s="15">
        <f t="shared" ref="AO9" si="47">AN9*H9*T9/S9</f>
        <v>-1774.8032882809639</v>
      </c>
      <c r="AP9" s="15">
        <f t="shared" ref="AP9" si="48">(L9-K9)*T9/S9*H9</f>
        <v>-127312.50000000007</v>
      </c>
      <c r="AQ9" s="36" t="str" cm="1">
        <f t="array" ref="AQ9">_xll.BDP($D9&amp;" Equity","EXPECTED_REPORT_DT")</f>
        <v>30/04/2026</v>
      </c>
      <c r="AR9" s="66" cm="1">
        <f t="array" ref="AR9">_xll.BDP($B9&amp;" Equity","GAMMA_LAST")</f>
        <v>1.6566000000000001E-2</v>
      </c>
      <c r="AS9">
        <f t="shared" si="14"/>
        <v>637839.35201250005</v>
      </c>
      <c r="AT9">
        <f t="shared" si="15"/>
        <v>3189196.7600625004</v>
      </c>
      <c r="AU9" t="s">
        <v>151</v>
      </c>
      <c r="AV9" s="277" cm="1">
        <f t="array" ref="AV9">_xll.BDP($D9&amp;" Equity","EST_PE_NXT_YR")*(AA9/Z9)</f>
        <v>18.6093379068788</v>
      </c>
      <c r="AW9"/>
      <c r="AX9" s="15"/>
      <c r="AY9" s="277">
        <v>78.8</v>
      </c>
      <c r="AZ9" s="355"/>
      <c r="BA9" s="15">
        <f t="shared" ref="BA9" si="49">+AY9</f>
        <v>78.8</v>
      </c>
      <c r="BB9" s="414">
        <f t="shared" ref="BB9" si="50">+J9</f>
        <v>95.775000000000006</v>
      </c>
      <c r="BC9" s="414">
        <f t="shared" ref="BC9" si="51">(BB9-BA9)*H9*100</f>
        <v>127312.50000000007</v>
      </c>
      <c r="BD9" s="414">
        <f>BC9/'Master P&amp;L'!$AD$7*10000</f>
        <v>0.53131794972309832</v>
      </c>
    </row>
    <row r="10" spans="1:56">
      <c r="A10" s="335"/>
      <c r="B10" s="73" t="s">
        <v>2094</v>
      </c>
      <c r="C10" s="73" t="str" cm="1">
        <f t="array" ref="C10">_xll.BDP($B10&amp;" Equity","opt_put_call")</f>
        <v>Put</v>
      </c>
      <c r="D10" s="73" t="str" cm="1">
        <f t="array" ref="D10">_xll.BDP(B10&amp;" Equity","OPT_UNDL_TICKER")</f>
        <v>MRVL US</v>
      </c>
      <c r="E10" s="73" t="str" cm="1">
        <f t="array" ref="E10">_xll.BDP($B10&amp;" Equity","mifid_Maturity_date")</f>
        <v>20/03/2026</v>
      </c>
      <c r="F10" s="73" cm="1">
        <f t="array" ref="F10">_xll.BDP($B10&amp;" Equity","opt_days_expire")</f>
        <v>49</v>
      </c>
      <c r="G10" s="73" t="str" cm="1">
        <f t="array" ref="G10">_xll.BDP(B10&amp;" Equity","QUOTED_CURRENCY_REALTIME")</f>
        <v>USD</v>
      </c>
      <c r="H10" s="42">
        <v>200</v>
      </c>
      <c r="I10" s="409">
        <v>9.1999999999999993</v>
      </c>
      <c r="J10" s="14">
        <f>VLOOKUP(B10,Precificação!$B:$O,14,FALSE)</f>
        <v>9.2249999999999996</v>
      </c>
      <c r="K10" s="14">
        <f t="shared" si="19"/>
        <v>9.2249999999999996</v>
      </c>
      <c r="L10" s="74" cm="1">
        <f t="array" ref="L10">_xll.BDP($B10&amp;" Equity","mid")</f>
        <v>10.4</v>
      </c>
      <c r="M10" s="75">
        <f t="shared" si="1"/>
        <v>0.13177901672579828</v>
      </c>
      <c r="N10" s="352"/>
      <c r="O10" s="75">
        <f t="shared" si="2"/>
        <v>0.12737127371273727</v>
      </c>
      <c r="P10" s="74" cm="1">
        <f t="array" ref="P10">_xll.BDP($B10&amp;" Equity","bid")</f>
        <v>10.3</v>
      </c>
      <c r="Q10" s="74" cm="1">
        <f t="array" ref="Q10">_xll.BDP($B10&amp;" Equity","ask")</f>
        <v>10.5</v>
      </c>
      <c r="R10" s="76">
        <f t="shared" si="3"/>
        <v>1.9417475728155331E-2</v>
      </c>
      <c r="S10" s="36" cm="1">
        <f t="array" ref="S10">_xll.BDP(G10&amp;" Curncy","PX_LAST")</f>
        <v>1</v>
      </c>
      <c r="T10" s="42" cm="1">
        <f t="array" ref="T10">_xll.BDP(B10&amp;" Equity","OPT_MULTIPLIER")</f>
        <v>100</v>
      </c>
      <c r="U10" s="42">
        <f t="shared" si="4"/>
        <v>208000</v>
      </c>
      <c r="V10" s="113">
        <f>U10/'Master P&amp;L'!$AD$7*10000</f>
        <v>0.86805406807975949</v>
      </c>
      <c r="W10" s="113">
        <f>(Y10*H10*T10/S10)/'Master P&amp;L'!$AD$7*10000</f>
        <v>0.36057630520236178</v>
      </c>
      <c r="X10" s="118">
        <f t="shared" si="5"/>
        <v>6.0799999999999983</v>
      </c>
      <c r="Y10" s="272">
        <f t="shared" si="6"/>
        <v>4.3200000000000021</v>
      </c>
      <c r="Z10" s="77">
        <f>_xll.BDP(D10&amp;" Equity","LAST_PRICE")</f>
        <v>78.92</v>
      </c>
      <c r="AA10" s="77" cm="1">
        <f t="array" ref="AA10">_xll.BDP(B10&amp;" Equity","OPT_STRIKE_PX")</f>
        <v>85</v>
      </c>
      <c r="AB10" s="76">
        <f t="shared" si="7"/>
        <v>7.7040040547389665E-2</v>
      </c>
      <c r="AC10" s="323" cm="1">
        <f t="array" ref="AC10">_xll.BDP($D10&amp;" Equity","volatility_10d")</f>
        <v>38.477761120853856</v>
      </c>
      <c r="AD10" s="77" cm="1">
        <f t="array" ref="AD10">_xll.BDP(B10&amp;" Equity","ivol_mid")</f>
        <v>60.063420000000001</v>
      </c>
      <c r="AE10" s="77">
        <f t="shared" si="8"/>
        <v>1.5609905111513187</v>
      </c>
      <c r="AF10" s="78" cm="1">
        <f t="array" ref="AF10">_xll.BDP(B10&amp;" Equity","DELTA_MID_RT")</f>
        <v>-0.58483940362930298</v>
      </c>
      <c r="AG10" s="75">
        <f>AL10/'Master P&amp;L'!$AE$7</f>
        <v>-3.8524511421276245E-4</v>
      </c>
      <c r="AH10" s="75">
        <f>AM10/'Master P&amp;L'!$AE$7</f>
        <v>-6.5871949089283289E-4</v>
      </c>
      <c r="AI10" s="427">
        <f>AO10/'Master P&amp;L'!$AD$7*10000</f>
        <v>-5.783003911745398E-3</v>
      </c>
      <c r="AJ10" s="350">
        <f t="shared" si="9"/>
        <v>7.8827372823317018E-2</v>
      </c>
      <c r="AK10" s="78">
        <f>AP10/'Master P&amp;L'!$AD$7*10000</f>
        <v>9.8073416345549808E-2</v>
      </c>
      <c r="AL10" s="42">
        <f t="shared" si="10"/>
        <v>-923110.51468849182</v>
      </c>
      <c r="AM10" s="42">
        <f t="shared" si="11"/>
        <v>-1578400</v>
      </c>
      <c r="AN10" s="78" cm="1">
        <f t="array" ref="AN10">_xll.BDP($B10&amp;" Equity","theta_mid_rt")</f>
        <v>-6.9285131990909576E-2</v>
      </c>
      <c r="AO10" s="42">
        <f t="shared" si="12"/>
        <v>-1385.7026398181915</v>
      </c>
      <c r="AP10" s="42">
        <f t="shared" si="13"/>
        <v>23500.000000000015</v>
      </c>
      <c r="AQ10" s="74" t="str" cm="1">
        <f t="array" ref="AQ10">_xll.BDP($D10&amp;" Equity","EXPECTED_REPORT_DT")</f>
        <v>05/03/2026</v>
      </c>
      <c r="AR10" s="235" cm="1">
        <f t="array" ref="AR10">_xll.BDP($B10&amp;" Equity","GAMMA_LAST")</f>
        <v>1.7378000000000001E-2</v>
      </c>
      <c r="AS10" s="73">
        <f t="shared" si="14"/>
        <v>21647.310259840004</v>
      </c>
      <c r="AT10" s="73">
        <f t="shared" si="15"/>
        <v>108236.5512992</v>
      </c>
      <c r="AU10" s="73" t="s">
        <v>151</v>
      </c>
      <c r="AV10" s="322" cm="1">
        <f t="array" ref="AV10">_xll.BDP($D10&amp;" Equity","EST_PE_NXT_YR")*(AA10/Z10)</f>
        <v>23.525691845494528</v>
      </c>
      <c r="AW10" s="73"/>
      <c r="AX10" s="42"/>
      <c r="AY10" s="322">
        <v>10.4</v>
      </c>
      <c r="AZ10" s="354"/>
      <c r="BA10" s="42">
        <f t="shared" si="16"/>
        <v>10.4</v>
      </c>
      <c r="BB10" s="346">
        <f t="shared" si="17"/>
        <v>9.2249999999999996</v>
      </c>
      <c r="BC10" s="346">
        <f t="shared" si="18"/>
        <v>-23500.000000000015</v>
      </c>
      <c r="BD10" s="346">
        <f>BC10/'Master P&amp;L'!$AD$7*10000</f>
        <v>-9.8073416345549808E-2</v>
      </c>
    </row>
    <row r="11" spans="1:56" s="59" customFormat="1">
      <c r="A11" s="356"/>
      <c r="B11" t="s">
        <v>2095</v>
      </c>
      <c r="C11" t="str" cm="1">
        <f t="array" ref="C11">_xll.BDP($B11&amp;" Equity","opt_put_call")</f>
        <v>Put</v>
      </c>
      <c r="D11" t="str" cm="1">
        <f t="array" ref="D11">_xll.BDP(B11&amp;" Equity","OPT_UNDL_TICKER")</f>
        <v>MRVL US</v>
      </c>
      <c r="E11" t="str" cm="1">
        <f t="array" ref="E11">_xll.BDP($B11&amp;" Equity","mifid_Maturity_date")</f>
        <v>20/03/2026</v>
      </c>
      <c r="F11" cm="1">
        <f t="array" ref="F11">_xll.BDP($B11&amp;" Equity","opt_days_expire")</f>
        <v>49</v>
      </c>
      <c r="G11" t="str" cm="1">
        <f t="array" ref="G11">_xll.BDP(B11&amp;" Equity","QUOTED_CURRENCY_REALTIME")</f>
        <v>USD</v>
      </c>
      <c r="H11" s="15">
        <v>-200</v>
      </c>
      <c r="I11" s="410">
        <v>4.5999999999999996</v>
      </c>
      <c r="J11" s="14">
        <f>VLOOKUP(B11,Precificação!$B:$O,14,FALSE)</f>
        <v>4.1999999999999993</v>
      </c>
      <c r="K11" s="14">
        <f t="shared" si="19"/>
        <v>4.1999999999999993</v>
      </c>
      <c r="L11" s="74" cm="1">
        <f t="array" ref="L11">_xll.BDP($B11&amp;" Equity","mid")</f>
        <v>4.9000000000000004</v>
      </c>
      <c r="M11" s="19">
        <f t="shared" si="1"/>
        <v>6.2088190572731884E-2</v>
      </c>
      <c r="N11" s="350"/>
      <c r="O11" s="19">
        <f t="shared" si="2"/>
        <v>0.16666666666666696</v>
      </c>
      <c r="P11" s="36" cm="1">
        <f t="array" ref="P11">_xll.BDP($B11&amp;" Equity","bid")</f>
        <v>4.8</v>
      </c>
      <c r="Q11" s="36" cm="1">
        <f t="array" ref="Q11">_xll.BDP($B11&amp;" Equity","ask")</f>
        <v>5</v>
      </c>
      <c r="R11" s="40">
        <f t="shared" si="3"/>
        <v>4.1666666666666741E-2</v>
      </c>
      <c r="S11" s="36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4"/>
        <v>-98000.000000000015</v>
      </c>
      <c r="V11" s="124">
        <f>U11/'Master P&amp;L'!$AD$7*10000</f>
        <v>-0.40898701284527134</v>
      </c>
      <c r="W11" s="124">
        <f>(Y11*H11*T11/S11)/'Master P&amp;L'!$AD$7*10000</f>
        <v>-0.40898701284527134</v>
      </c>
      <c r="X11" s="413">
        <f t="shared" si="5"/>
        <v>0</v>
      </c>
      <c r="Y11" s="273">
        <f t="shared" si="6"/>
        <v>4.9000000000000004</v>
      </c>
      <c r="Z11" s="37">
        <f>_xll.BDP(D11&amp;" Equity","LAST_PRICE")</f>
        <v>78.92</v>
      </c>
      <c r="AA11" s="37" cm="1">
        <f t="array" ref="AA11">_xll.BDP(B11&amp;" Equity","OPT_STRIKE_PX")</f>
        <v>75</v>
      </c>
      <c r="AB11" s="40">
        <f t="shared" si="7"/>
        <v>-4.9670552458185524E-2</v>
      </c>
      <c r="AC11" s="324" cm="1">
        <f t="array" ref="AC11">_xll.BDP($D11&amp;" Equity","volatility_10d")</f>
        <v>38.477761120853856</v>
      </c>
      <c r="AD11" s="37" cm="1">
        <f t="array" ref="AD11">_xll.BDP(B11&amp;" Equity","ivol_mid")</f>
        <v>61.181159999999998</v>
      </c>
      <c r="AE11" s="37">
        <f t="shared" si="8"/>
        <v>1.5900394986038193</v>
      </c>
      <c r="AF11" s="38" cm="1">
        <f t="array" ref="AF11">_xll.BDP(B11&amp;" Equity","DELTA_MID_RT")</f>
        <v>-0.35994637012481689</v>
      </c>
      <c r="AG11" s="19">
        <f>AL11/'Master P&amp;L'!$AE$7</f>
        <v>2.3710368967734256E-4</v>
      </c>
      <c r="AH11" s="19">
        <f>AM11/'Master P&amp;L'!$AE$7</f>
        <v>6.5871949089283289E-4</v>
      </c>
      <c r="AI11" s="426">
        <f>AO11/'Master P&amp;L'!$AD$7*10000</f>
        <v>5.6028154411349737E-3</v>
      </c>
      <c r="AJ11" s="350">
        <f t="shared" si="9"/>
        <v>-7.6371247258120181E-2</v>
      </c>
      <c r="AK11" s="38">
        <f>AP11/'Master P&amp;L'!$AD$7*10000</f>
        <v>-5.8426716120753133E-2</v>
      </c>
      <c r="AL11" s="15">
        <f t="shared" si="10"/>
        <v>568139.35060501099</v>
      </c>
      <c r="AM11" s="15">
        <f t="shared" si="11"/>
        <v>1578400</v>
      </c>
      <c r="AN11" s="38" cm="1">
        <f t="array" ref="AN11">_xll.BDP($B11&amp;" Equity","theta_mid_rt")</f>
        <v>-6.7126326262950897E-2</v>
      </c>
      <c r="AO11" s="15">
        <f t="shared" si="12"/>
        <v>1342.5265252590179</v>
      </c>
      <c r="AP11" s="15">
        <f t="shared" si="13"/>
        <v>-14000.000000000022</v>
      </c>
      <c r="AQ11" s="36" t="str" cm="1">
        <f t="array" ref="AQ11">_xll.BDP($D11&amp;" Equity","EXPECTED_REPORT_DT")</f>
        <v>05/03/2026</v>
      </c>
      <c r="AR11" s="66" cm="1">
        <f t="array" ref="AR11">_xll.BDP($B11&amp;" Equity","GAMMA_LAST")</f>
        <v>1.7121000000000001E-2</v>
      </c>
      <c r="AS11">
        <f t="shared" si="14"/>
        <v>-21327.17222688</v>
      </c>
      <c r="AT11">
        <f t="shared" si="15"/>
        <v>-106635.86113439999</v>
      </c>
      <c r="AU11" t="s">
        <v>151</v>
      </c>
      <c r="AV11" s="277" cm="1">
        <f t="array" ref="AV11">_xll.BDP($D11&amp;" Equity","EST_PE_NXT_YR")*(AA11/Z11)</f>
        <v>20.757963393083408</v>
      </c>
      <c r="AW11"/>
      <c r="AX11" s="15"/>
      <c r="AY11" s="277">
        <v>4.9000000000000004</v>
      </c>
      <c r="AZ11" s="355"/>
      <c r="BA11" s="15">
        <f t="shared" si="16"/>
        <v>4.9000000000000004</v>
      </c>
      <c r="BB11" s="414">
        <f t="shared" si="17"/>
        <v>4.1999999999999993</v>
      </c>
      <c r="BC11" s="414">
        <f t="shared" si="18"/>
        <v>14000.000000000022</v>
      </c>
      <c r="BD11" s="414">
        <f>BC11/'Master P&amp;L'!$AD$7*10000</f>
        <v>5.8426716120753133E-2</v>
      </c>
    </row>
    <row r="12" spans="1:56">
      <c r="A12" s="335"/>
      <c r="B12" s="73" t="s">
        <v>2058</v>
      </c>
      <c r="C12" s="73" t="str" cm="1">
        <f t="array" ref="C12">_xll.BDP($B12&amp;" Equity","opt_put_call")</f>
        <v>Put</v>
      </c>
      <c r="D12" s="73" t="str" cm="1">
        <f t="array" ref="D12">_xll.BDP(B12&amp;" Equity","OPT_UNDL_TICKER")</f>
        <v>MRVL US</v>
      </c>
      <c r="E12" s="73" t="str" cm="1">
        <f t="array" ref="E12">_xll.BDP($B12&amp;" Equity","mifid_Maturity_date")</f>
        <v>20/03/2026</v>
      </c>
      <c r="F12" s="73" cm="1">
        <f t="array" ref="F12">_xll.BDP($B12&amp;" Equity","opt_days_expire")</f>
        <v>49</v>
      </c>
      <c r="G12" s="73" t="str" cm="1">
        <f t="array" ref="G12">_xll.BDP(B12&amp;" Equity","QUOTED_CURRENCY_REALTIME")</f>
        <v>USD</v>
      </c>
      <c r="H12" s="42">
        <v>150</v>
      </c>
      <c r="I12" s="409">
        <v>6.13</v>
      </c>
      <c r="J12" s="14">
        <f>VLOOKUP(B12,Precificação!$B:$O,14,FALSE)</f>
        <v>6.4</v>
      </c>
      <c r="K12" s="14">
        <f t="shared" si="19"/>
        <v>6.4</v>
      </c>
      <c r="L12" s="74" cm="1">
        <f t="array" ref="L12">_xll.BDP($B12&amp;" Equity","mid")</f>
        <v>7.38</v>
      </c>
      <c r="M12" s="75">
        <f t="shared" si="1"/>
        <v>9.3512417638114548E-2</v>
      </c>
      <c r="N12" s="352"/>
      <c r="O12" s="75">
        <f t="shared" si="2"/>
        <v>0.15312499999999996</v>
      </c>
      <c r="P12" s="74" cm="1">
        <f t="array" ref="P12">_xll.BDP($B12&amp;" Equity","bid")</f>
        <v>7.25</v>
      </c>
      <c r="Q12" s="74" cm="1">
        <f t="array" ref="Q12">_xll.BDP($B12&amp;" Equity","ask")</f>
        <v>7.5</v>
      </c>
      <c r="R12" s="76">
        <f t="shared" si="3"/>
        <v>3.4482758620689724E-2</v>
      </c>
      <c r="S12" s="36" cm="1">
        <f t="array" ref="S12">_xll.BDP(G12&amp;" Curncy","PX_LAST")</f>
        <v>1</v>
      </c>
      <c r="T12" s="42" cm="1">
        <f t="array" ref="T12">_xll.BDP(B12&amp;" Equity","OPT_MULTIPLIER")</f>
        <v>100</v>
      </c>
      <c r="U12" s="42">
        <f t="shared" si="4"/>
        <v>110700</v>
      </c>
      <c r="V12" s="113">
        <f>U12/'Master P&amp;L'!$AD$7*10000</f>
        <v>0.46198839104052586</v>
      </c>
      <c r="W12" s="113">
        <f>(Y12*H12*T12/S12)/'Master P&amp;L'!$AD$7*10000</f>
        <v>0.39438033381508314</v>
      </c>
      <c r="X12" s="118">
        <f t="shared" si="5"/>
        <v>1.0799999999999983</v>
      </c>
      <c r="Y12" s="272">
        <f t="shared" si="6"/>
        <v>6.3000000000000016</v>
      </c>
      <c r="Z12" s="77">
        <f>_xll.BDP(D12&amp;" Equity","LAST_PRICE")</f>
        <v>78.92</v>
      </c>
      <c r="AA12" s="77" cm="1">
        <f t="array" ref="AA12">_xll.BDP(B12&amp;" Equity","OPT_STRIKE_PX")</f>
        <v>80</v>
      </c>
      <c r="AB12" s="76">
        <f t="shared" si="7"/>
        <v>1.3684744044602182E-2</v>
      </c>
      <c r="AC12" s="323" cm="1">
        <f t="array" ref="AC12">_xll.BDP($D12&amp;" Equity","volatility_10d")</f>
        <v>38.477761120853856</v>
      </c>
      <c r="AD12" s="77" cm="1">
        <f t="array" ref="AD12">_xll.BDP(B12&amp;" Equity","ivol_mid")</f>
        <v>60.808819999999997</v>
      </c>
      <c r="AE12" s="77">
        <f t="shared" si="8"/>
        <v>1.5803627401554645</v>
      </c>
      <c r="AF12" s="78" cm="1">
        <f t="array" ref="AF12">_xll.BDP(B12&amp;" Equity","DELTA_MID_RT")</f>
        <v>-0.47396191954612732</v>
      </c>
      <c r="AG12" s="75">
        <f>AL12/'Master P&amp;L'!$AE$7</f>
        <v>-2.341559657595111E-4</v>
      </c>
      <c r="AH12" s="75">
        <f>AM12/'Master P&amp;L'!$AE$7</f>
        <v>-4.9403961816962469E-4</v>
      </c>
      <c r="AI12" s="427">
        <f>AO12/'Master P&amp;L'!$AD$7*10000</f>
        <v>-4.4507660734127352E-3</v>
      </c>
      <c r="AJ12" s="350">
        <f t="shared" si="9"/>
        <v>6.0667812433207749E-2</v>
      </c>
      <c r="AK12" s="78">
        <f>AP12/'Master P&amp;L'!$AD$7*10000</f>
        <v>6.1348051926790666E-2</v>
      </c>
      <c r="AL12" s="42">
        <f t="shared" si="10"/>
        <v>-561076.12035870552</v>
      </c>
      <c r="AM12" s="42">
        <f t="shared" si="11"/>
        <v>-1183800</v>
      </c>
      <c r="AN12" s="78" cm="1">
        <f t="array" ref="AN12">_xll.BDP($B12&amp;" Equity","theta_mid_rt")</f>
        <v>-7.1098439395427704E-2</v>
      </c>
      <c r="AO12" s="42">
        <f t="shared" si="12"/>
        <v>-1066.4765909314156</v>
      </c>
      <c r="AP12" s="42">
        <f t="shared" si="13"/>
        <v>14699.999999999993</v>
      </c>
      <c r="AQ12" s="74" t="str" cm="1">
        <f t="array" ref="AQ12">_xll.BDP($D12&amp;" Equity","EXPECTED_REPORT_DT")</f>
        <v>05/03/2026</v>
      </c>
      <c r="AR12" s="235" cm="1">
        <f t="array" ref="AR12">_xll.BDP($B12&amp;" Equity","GAMMA_LAST")</f>
        <v>1.8154E-2</v>
      </c>
      <c r="AS12" s="73">
        <f t="shared" si="14"/>
        <v>16960.46454384</v>
      </c>
      <c r="AT12" s="73">
        <f t="shared" si="15"/>
        <v>84802.322719200005</v>
      </c>
      <c r="AU12" s="73" t="s">
        <v>151</v>
      </c>
      <c r="AV12" s="322" cm="1">
        <f t="array" ref="AV12">_xll.BDP($D12&amp;" Equity","EST_PE_NXT_YR")*(AA12/Z12)</f>
        <v>22.141827619288971</v>
      </c>
      <c r="AW12" s="73"/>
      <c r="AX12" s="42"/>
      <c r="AY12" s="322">
        <v>7.38</v>
      </c>
      <c r="AZ12" s="354"/>
      <c r="BA12" s="42">
        <f t="shared" si="16"/>
        <v>7.38</v>
      </c>
      <c r="BB12" s="346">
        <f t="shared" si="17"/>
        <v>6.4</v>
      </c>
      <c r="BC12" s="346">
        <f t="shared" si="18"/>
        <v>-14699.999999999995</v>
      </c>
      <c r="BD12" s="346">
        <f>BC12/'Master P&amp;L'!$AD$7*10000</f>
        <v>-6.1348051926790673E-2</v>
      </c>
    </row>
    <row r="13" spans="1:56" s="59" customFormat="1">
      <c r="A13" s="356"/>
      <c r="B13" t="s">
        <v>2271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49</v>
      </c>
      <c r="G13" t="str" cm="1">
        <f t="array" ref="G13">_xll.BDP(B13&amp;" Equity","QUOTED_CURRENCY_REALTIME")</f>
        <v>USD</v>
      </c>
      <c r="H13" s="15">
        <v>-150</v>
      </c>
      <c r="I13" s="410">
        <v>2.52</v>
      </c>
      <c r="J13" s="14">
        <f>VLOOKUP(B13,Precificação!$B:$O,14,FALSE)</f>
        <v>2.645</v>
      </c>
      <c r="K13" s="14">
        <f t="shared" si="19"/>
        <v>2.645</v>
      </c>
      <c r="L13" s="74" cm="1">
        <f t="array" ref="L13">_xll.BDP($B13&amp;" Equity","mid")</f>
        <v>3.04</v>
      </c>
      <c r="M13" s="19">
        <f t="shared" si="1"/>
        <v>3.8520020273694881E-2</v>
      </c>
      <c r="N13" s="350"/>
      <c r="O13" s="19">
        <f t="shared" si="2"/>
        <v>0.14933837429111541</v>
      </c>
      <c r="P13" s="36" cm="1">
        <f t="array" ref="P13">_xll.BDP($B13&amp;" Equity","bid")</f>
        <v>2.98</v>
      </c>
      <c r="Q13" s="36" cm="1">
        <f t="array" ref="Q13">_xll.BDP($B13&amp;" Equity","ask")</f>
        <v>3.1</v>
      </c>
      <c r="R13" s="40">
        <f t="shared" si="3"/>
        <v>4.0268456375838868E-2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4"/>
        <v>-45600</v>
      </c>
      <c r="V13" s="124">
        <f>U13/'Master P&amp;L'!$AD$7*10000</f>
        <v>-0.1903041610790242</v>
      </c>
      <c r="W13" s="124">
        <f>(Y13*H13*T13/S13)/'Master P&amp;L'!$AD$7*10000</f>
        <v>-0.1903041610790242</v>
      </c>
      <c r="X13" s="413">
        <f t="shared" si="5"/>
        <v>0</v>
      </c>
      <c r="Y13" s="273">
        <f t="shared" si="6"/>
        <v>3.04</v>
      </c>
      <c r="Z13" s="37">
        <f>_xll.BDP(D13&amp;" Equity","LAST_PRICE")</f>
        <v>78.92</v>
      </c>
      <c r="AA13" s="37" cm="1">
        <f t="array" ref="AA13">_xll.BDP(B13&amp;" Equity","OPT_STRIKE_PX")</f>
        <v>70</v>
      </c>
      <c r="AB13" s="40">
        <f t="shared" si="7"/>
        <v>-0.11302584896097312</v>
      </c>
      <c r="AC13" s="324" cm="1">
        <f t="array" ref="AC13">_xll.BDP($D13&amp;" Equity","volatility_10d")</f>
        <v>38.477761120853856</v>
      </c>
      <c r="AD13" s="37" cm="1">
        <f t="array" ref="AD13">_xll.BDP(B13&amp;" Equity","ivol_mid")</f>
        <v>62.04318</v>
      </c>
      <c r="AE13" s="37">
        <f t="shared" si="8"/>
        <v>1.6124425692318765</v>
      </c>
      <c r="AF13" s="38" cm="1">
        <f t="array" ref="AF13">_xll.BDP(B13&amp;" Equity","DELTA_MID_RT")</f>
        <v>-0.25279739499092102</v>
      </c>
      <c r="AG13" s="19">
        <f>AL13/'Master P&amp;L'!$AE$7</f>
        <v>1.2489192849559041E-4</v>
      </c>
      <c r="AH13" s="19">
        <f>AM13/'Master P&amp;L'!$AE$7</f>
        <v>4.9403961816962469E-4</v>
      </c>
      <c r="AI13" s="426">
        <f>AO13/'Master P&amp;L'!$AD$7*10000</f>
        <v>3.6045755185243849E-3</v>
      </c>
      <c r="AJ13" s="350">
        <f t="shared" si="9"/>
        <v>-4.9133499234097086E-2</v>
      </c>
      <c r="AK13" s="38">
        <f>AP13/'Master P&amp;L'!$AD$7*10000</f>
        <v>-2.4727020929675839E-2</v>
      </c>
      <c r="AL13" s="15">
        <f t="shared" si="10"/>
        <v>299261.5561902523</v>
      </c>
      <c r="AM13" s="15">
        <f t="shared" si="11"/>
        <v>1183800</v>
      </c>
      <c r="AN13" s="38" cm="1">
        <f t="array" ref="AN13">_xll.BDP($B13&amp;" Equity","theta_mid_rt")</f>
        <v>-5.7581029832363129E-2</v>
      </c>
      <c r="AO13" s="15">
        <f t="shared" si="12"/>
        <v>863.71544748544693</v>
      </c>
      <c r="AP13" s="15">
        <f t="shared" si="13"/>
        <v>-5925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1.4348E-2</v>
      </c>
      <c r="AS13">
        <f t="shared" si="14"/>
        <v>-13404.690166079999</v>
      </c>
      <c r="AT13">
        <f t="shared" si="15"/>
        <v>-67023.450830400005</v>
      </c>
      <c r="AU13" t="s">
        <v>151</v>
      </c>
      <c r="AV13" s="277" cm="1">
        <f t="array" ref="AV13">_xll.BDP($D13&amp;" Equity","EST_PE_NXT_YR")*(AA13/Z13)</f>
        <v>19.374099166877851</v>
      </c>
      <c r="AW13"/>
      <c r="AX13" s="15"/>
      <c r="AY13" s="277">
        <v>3.04</v>
      </c>
      <c r="AZ13" s="355"/>
      <c r="BA13" s="15">
        <f t="shared" si="16"/>
        <v>3.04</v>
      </c>
      <c r="BB13" s="414">
        <f t="shared" si="17"/>
        <v>2.645</v>
      </c>
      <c r="BC13" s="414">
        <f t="shared" si="18"/>
        <v>5925</v>
      </c>
      <c r="BD13" s="414">
        <f>BC13/'Master P&amp;L'!$AD$7*10000</f>
        <v>2.4727020929675839E-2</v>
      </c>
    </row>
    <row r="14" spans="1:56">
      <c r="A14" s="335"/>
      <c r="B14" s="73" t="s">
        <v>2460</v>
      </c>
      <c r="C14" s="73" t="str" cm="1">
        <f t="array" ref="C14">_xll.BDP($B14&amp;" Equity","opt_put_call")</f>
        <v>Call</v>
      </c>
      <c r="D14" s="73" t="str" cm="1">
        <f t="array" ref="D14">_xll.BDP(B14&amp;" Equity","OPT_UNDL_TICKER")</f>
        <v>AAPL US</v>
      </c>
      <c r="E14" s="73" t="str" cm="1">
        <f t="array" ref="E14">_xll.BDP($B14&amp;" Equity","mifid_Maturity_date")</f>
        <v>17/04/2026</v>
      </c>
      <c r="F14" s="73" cm="1">
        <f t="array" ref="F14">_xll.BDP($B14&amp;" Equity","opt_days_expire")</f>
        <v>77</v>
      </c>
      <c r="G14" s="73" t="str" cm="1">
        <f t="array" ref="G14">_xll.BDP(B14&amp;" Equity","QUOTED_CURRENCY_REALTIME")</f>
        <v>USD</v>
      </c>
      <c r="H14" s="42">
        <v>350</v>
      </c>
      <c r="I14" s="409">
        <v>9.99</v>
      </c>
      <c r="J14" s="14"/>
      <c r="K14" s="14">
        <v>9.99</v>
      </c>
      <c r="L14" s="74" cm="1">
        <f t="array" ref="L14">_xll.BDP($B14&amp;" Equity","mid")</f>
        <v>12.18</v>
      </c>
      <c r="M14" s="75">
        <f t="shared" ref="M14:M15" si="52">L14/Z14</f>
        <v>4.6940033913981806E-2</v>
      </c>
      <c r="N14" s="352"/>
      <c r="O14" s="75">
        <f t="shared" ref="O14:O15" si="53">L14/K14-1</f>
        <v>0.21921921921921927</v>
      </c>
      <c r="P14" s="74" cm="1">
        <f t="array" ref="P14">_xll.BDP($B14&amp;" Equity","bid")</f>
        <v>12.05</v>
      </c>
      <c r="Q14" s="74" cm="1">
        <f t="array" ref="Q14">_xll.BDP($B14&amp;" Equity","ask")</f>
        <v>12.3</v>
      </c>
      <c r="R14" s="76">
        <f t="shared" ref="R14:R15" si="54">(Q14/P14-1)</f>
        <v>2.0746887966804906E-2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ref="U14:U15" si="55">(L14/S14)*H14*T14</f>
        <v>426300</v>
      </c>
      <c r="V14" s="113">
        <f>U14/'Master P&amp;L'!$AD$7*10000</f>
        <v>1.7790935058769302</v>
      </c>
      <c r="W14" s="113">
        <f>(Y14*H14*T14/S14)/'Master P&amp;L'!$AD$7*10000</f>
        <v>1.7790935058769302</v>
      </c>
      <c r="X14" s="118">
        <f t="shared" ref="X14:X15" si="56">IF(C14="Put",IF(Z14&lt;AA14,AA14-Z14,0),IF(Z14&gt;AA14,Z14-AA14,0))</f>
        <v>0</v>
      </c>
      <c r="Y14" s="272">
        <f t="shared" ref="Y14:Y15" si="57">L14-X14</f>
        <v>12.18</v>
      </c>
      <c r="Z14" s="77">
        <f>_xll.BDP(D14&amp;" Equity","LAST_PRICE")</f>
        <v>259.48</v>
      </c>
      <c r="AA14" s="77" cm="1">
        <f t="array" ref="AA14">_xll.BDP(B14&amp;" Equity","OPT_STRIKE_PX")</f>
        <v>260</v>
      </c>
      <c r="AB14" s="76">
        <f t="shared" ref="AB14:AB15" si="58">AA14/Z14-1</f>
        <v>2.0040080160319551E-3</v>
      </c>
      <c r="AC14" s="323" cm="1">
        <f t="array" ref="AC14">_xll.BDP($D14&amp;" Equity","volatility_10d")</f>
        <v>28.212294667089115</v>
      </c>
      <c r="AD14" s="77" cm="1">
        <f t="array" ref="AD14">_xll.BDP(B14&amp;" Equity","ivol_mid")</f>
        <v>24.766390000000001</v>
      </c>
      <c r="AE14" s="77">
        <f t="shared" ref="AE14:AE15" si="59">AD14/AC14</f>
        <v>0.87785805062113886</v>
      </c>
      <c r="AF14" s="78" cm="1">
        <f t="array" ref="AF14">_xll.BDP(B14&amp;" Equity","DELTA_MID_RT")</f>
        <v>0.53755307197570801</v>
      </c>
      <c r="AG14" s="75">
        <f>AL14/'Master P&amp;L'!$AE$7</f>
        <v>2.0374019779549214E-3</v>
      </c>
      <c r="AH14" s="75">
        <f>AM14/'Master P&amp;L'!$AE$7</f>
        <v>3.7901410747532499E-3</v>
      </c>
      <c r="AI14" s="427">
        <f>AO14/'Master P&amp;L'!$AD$7*10000</f>
        <v>-1.0953347900739006E-2</v>
      </c>
      <c r="AJ14" s="350">
        <f t="shared" ref="AJ14:AJ15" si="60">(252*AI14)/$AI$1</f>
        <v>0.14930365806625509</v>
      </c>
      <c r="AK14" s="78">
        <f>AP14/'Master P&amp;L'!$AD$7*10000</f>
        <v>0.3198862707611228</v>
      </c>
      <c r="AL14" s="42">
        <f t="shared" ref="AL14:AL15" si="61">Z14*AF14*H14*T14/S14</f>
        <v>4881949.4890689859</v>
      </c>
      <c r="AM14" s="42">
        <f t="shared" ref="AM14:AM15" si="62">IF(C14="Put",-Z14*H14*T14/S14,Z14*H14*T14/S14)</f>
        <v>9081800</v>
      </c>
      <c r="AN14" s="78" cm="1">
        <f t="array" ref="AN14">_xll.BDP($B14&amp;" Equity","theta_mid_rt")</f>
        <v>-7.4988625943660736E-2</v>
      </c>
      <c r="AO14" s="42">
        <f t="shared" ref="AO14:AO15" si="63">AN14*H14*T14/S14</f>
        <v>-2624.6019080281258</v>
      </c>
      <c r="AP14" s="42">
        <f t="shared" ref="AP14:AP15" si="64">(L14-K14)*T14/S14*H14</f>
        <v>76649.999999999985</v>
      </c>
      <c r="AQ14" s="74" t="str" cm="1">
        <f t="array" ref="AQ14">_xll.BDP($D14&amp;" Equity","EXPECTED_REPORT_DT")</f>
        <v>01/05/2026</v>
      </c>
      <c r="AR14" s="235" cm="1">
        <f t="array" ref="AR14">_xll.BDP($B14&amp;" Equity","GAMMA_LAST")</f>
        <v>3.4431999999999997E-2</v>
      </c>
      <c r="AS14" s="73">
        <f t="shared" si="14"/>
        <v>811405.73416448</v>
      </c>
      <c r="AT14" s="73">
        <f t="shared" si="15"/>
        <v>4057028.6708223997</v>
      </c>
      <c r="AU14" s="73" t="s">
        <v>151</v>
      </c>
      <c r="AV14" s="322" cm="1">
        <f t="array" ref="AV14">_xll.BDP($D14&amp;" Equity","EST_PE_NXT_YR")*(AA14/Z14)</f>
        <v>28.300474294935562</v>
      </c>
      <c r="AW14" s="73"/>
      <c r="AX14" s="42"/>
      <c r="AY14" s="322">
        <v>12.18</v>
      </c>
      <c r="AZ14" s="354"/>
      <c r="BA14" s="42">
        <f t="shared" ref="BA14:BA15" si="65">+AY14</f>
        <v>12.18</v>
      </c>
      <c r="BB14" s="346">
        <f t="shared" ref="BB14:BB15" si="66">+J14</f>
        <v>0</v>
      </c>
      <c r="BC14" s="346">
        <f t="shared" ref="BC14:BC15" si="67">(BB14-BA14)*H14*100</f>
        <v>-426300</v>
      </c>
      <c r="BD14" s="346">
        <f>BC14/'Master P&amp;L'!$AD$7*10000</f>
        <v>-1.7790935058769302</v>
      </c>
    </row>
    <row r="15" spans="1:56" s="59" customFormat="1">
      <c r="A15" s="356"/>
      <c r="B15" t="s">
        <v>2461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AAPL US</v>
      </c>
      <c r="E15" t="str" cm="1">
        <f t="array" ref="E15">_xll.BDP($B15&amp;" Equity","mifid_Maturity_date")</f>
        <v>17/04/2026</v>
      </c>
      <c r="F15" cm="1">
        <f t="array" ref="F15">_xll.BDP($B15&amp;" Equity","opt_days_expire")</f>
        <v>77</v>
      </c>
      <c r="G15" t="str" cm="1">
        <f t="array" ref="G15">_xll.BDP(B15&amp;" Equity","QUOTED_CURRENCY_REALTIME")</f>
        <v>USD</v>
      </c>
      <c r="H15" s="15">
        <v>-350</v>
      </c>
      <c r="I15" s="410">
        <v>3.3</v>
      </c>
      <c r="J15" s="14"/>
      <c r="K15" s="14">
        <v>3.3</v>
      </c>
      <c r="L15" s="74" cm="1">
        <f t="array" ref="L15">_xll.BDP($B15&amp;" Equity","mid")</f>
        <v>4.33</v>
      </c>
      <c r="M15" s="19">
        <f t="shared" si="52"/>
        <v>1.6687220595036224E-2</v>
      </c>
      <c r="N15" s="350"/>
      <c r="O15" s="19">
        <f t="shared" si="53"/>
        <v>0.31212121212121224</v>
      </c>
      <c r="P15" s="36" cm="1">
        <f t="array" ref="P15">_xll.BDP($B15&amp;" Equity","bid")</f>
        <v>4.25</v>
      </c>
      <c r="Q15" s="36" cm="1">
        <f t="array" ref="Q15">_xll.BDP($B15&amp;" Equity","ask")</f>
        <v>4.4000000000000004</v>
      </c>
      <c r="R15" s="40">
        <f t="shared" si="54"/>
        <v>3.529411764705892E-2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55"/>
        <v>-151550</v>
      </c>
      <c r="V15" s="124">
        <f>U15/'Master P&amp;L'!$AD$7*10000</f>
        <v>-0.63246920200715173</v>
      </c>
      <c r="W15" s="124">
        <f>(Y15*H15*T15/S15)/'Master P&amp;L'!$AD$7*10000</f>
        <v>-0.63246920200715173</v>
      </c>
      <c r="X15" s="413">
        <f t="shared" si="56"/>
        <v>0</v>
      </c>
      <c r="Y15" s="273">
        <f t="shared" si="57"/>
        <v>4.33</v>
      </c>
      <c r="Z15" s="37">
        <f>_xll.BDP(D15&amp;" Equity","LAST_PRICE")</f>
        <v>259.48</v>
      </c>
      <c r="AA15" s="37" cm="1">
        <f t="array" ref="AA15">_xll.BDP(B15&amp;" Equity","OPT_STRIKE_PX")</f>
        <v>280</v>
      </c>
      <c r="AB15" s="40">
        <f t="shared" si="58"/>
        <v>7.9081239401880499E-2</v>
      </c>
      <c r="AC15" s="324" cm="1">
        <f t="array" ref="AC15">_xll.BDP($D15&amp;" Equity","volatility_10d")</f>
        <v>28.212294667089115</v>
      </c>
      <c r="AD15" s="37" cm="1">
        <f t="array" ref="AD15">_xll.BDP(B15&amp;" Equity","ivol_mid")</f>
        <v>23.02262</v>
      </c>
      <c r="AE15" s="37">
        <f t="shared" si="59"/>
        <v>0.81604918251675929</v>
      </c>
      <c r="AF15" s="38" cm="1">
        <f t="array" ref="AF15">_xll.BDP(B15&amp;" Equity","DELTA_MID_RT")</f>
        <v>0.27131485939025879</v>
      </c>
      <c r="AG15" s="19">
        <f>AL15/'Master P&amp;L'!$AE$7</f>
        <v>-1.0283215927659225E-3</v>
      </c>
      <c r="AH15" s="19">
        <f>AM15/'Master P&amp;L'!$AE$7</f>
        <v>-3.7901410747532499E-3</v>
      </c>
      <c r="AI15" s="426">
        <f>AO15/'Master P&amp;L'!$AD$7*10000</f>
        <v>8.6445758474927043E-3</v>
      </c>
      <c r="AJ15" s="350">
        <f t="shared" si="60"/>
        <v>-0.11783308703038445</v>
      </c>
      <c r="AK15" s="38">
        <f>AP15/'Master P&amp;L'!$AD$7*10000</f>
        <v>-0.15044879401093911</v>
      </c>
      <c r="AL15" s="15">
        <f t="shared" si="61"/>
        <v>-2464027.2900104527</v>
      </c>
      <c r="AM15" s="15">
        <f t="shared" si="62"/>
        <v>-9081800</v>
      </c>
      <c r="AN15" s="38" cm="1">
        <f t="array" ref="AN15">_xll.BDP($B15&amp;" Equity","theta_mid_rt")</f>
        <v>-5.9182349592447281E-2</v>
      </c>
      <c r="AO15" s="15">
        <f t="shared" si="63"/>
        <v>2071.3822357356548</v>
      </c>
      <c r="AP15" s="15">
        <f t="shared" si="64"/>
        <v>-36050.000000000007</v>
      </c>
      <c r="AQ15" s="36" t="str" cm="1">
        <f t="array" ref="AQ15">_xll.BDP($D15&amp;" Equity","EXPECTED_REPORT_DT")</f>
        <v>01/05/2026</v>
      </c>
      <c r="AR15" s="66" cm="1">
        <f t="array" ref="AR15">_xll.BDP($B15&amp;" Equity","GAMMA_LAST")</f>
        <v>3.2863000000000003E-2</v>
      </c>
      <c r="AS15">
        <f t="shared" si="14"/>
        <v>-774431.53583432036</v>
      </c>
      <c r="AT15">
        <f t="shared" si="15"/>
        <v>-3872157.6791716013</v>
      </c>
      <c r="AU15" t="s">
        <v>151</v>
      </c>
      <c r="AV15" s="277" cm="1">
        <f t="array" ref="AV15">_xll.BDP($D15&amp;" Equity","EST_PE_NXT_YR")*(AA15/Z15)</f>
        <v>30.477433856084449</v>
      </c>
      <c r="AW15"/>
      <c r="AX15" s="15"/>
      <c r="AY15" s="277">
        <v>4.33</v>
      </c>
      <c r="AZ15" s="355"/>
      <c r="BA15" s="15">
        <f t="shared" si="65"/>
        <v>4.33</v>
      </c>
      <c r="BB15" s="414">
        <f t="shared" si="66"/>
        <v>0</v>
      </c>
      <c r="BC15" s="414">
        <f t="shared" si="67"/>
        <v>151550</v>
      </c>
      <c r="BD15" s="414">
        <f>BC15/'Master P&amp;L'!$AD$7*10000</f>
        <v>0.63246920200715173</v>
      </c>
    </row>
    <row r="16" spans="1:56">
      <c r="A16" s="335"/>
      <c r="B16" s="73" t="s">
        <v>2328</v>
      </c>
      <c r="C16" s="73" t="str" cm="1">
        <f t="array" ref="C16">_xll.BDP($B16&amp;" Equity","opt_put_call")</f>
        <v>Call</v>
      </c>
      <c r="D16" s="73" t="str" cm="1">
        <f t="array" ref="D16">_xll.BDP(B16&amp;" Equity","OPT_UNDL_TICKER")</f>
        <v>INTC US</v>
      </c>
      <c r="E16" s="73" t="str" cm="1">
        <f t="array" ref="E16">_xll.BDP($B16&amp;" Equity","mifid_Maturity_date")</f>
        <v>17/07/2026</v>
      </c>
      <c r="F16" s="73" cm="1">
        <f t="array" ref="F16">_xll.BDP($B16&amp;" Equity","opt_days_expire")</f>
        <v>168</v>
      </c>
      <c r="G16" s="73" t="str" cm="1">
        <f t="array" ref="G16">_xll.BDP(B16&amp;" Equity","QUOTED_CURRENCY_REALTIME")</f>
        <v>USD</v>
      </c>
      <c r="H16" s="42">
        <v>-150</v>
      </c>
      <c r="I16" s="409">
        <v>3.7</v>
      </c>
      <c r="J16" s="14">
        <f>VLOOKUP(B16,Precificação!$B:$O,14,FALSE)</f>
        <v>4.625</v>
      </c>
      <c r="K16" s="14">
        <f t="shared" si="19"/>
        <v>4.625</v>
      </c>
      <c r="L16" s="74" cm="1">
        <f t="array" ref="L16">_xll.BDP($B16&amp;" Equity","mid")</f>
        <v>3.7</v>
      </c>
      <c r="M16" s="75">
        <f t="shared" ref="M16:M18" si="68">L16/Z16</f>
        <v>7.9621261028620618E-2</v>
      </c>
      <c r="N16" s="352"/>
      <c r="O16" s="75">
        <f t="shared" ref="O16:O18" si="69">L16/K16-1</f>
        <v>-0.19999999999999996</v>
      </c>
      <c r="P16" s="74" cm="1">
        <f t="array" ref="P16">_xll.BDP($B16&amp;" Equity","bid")</f>
        <v>3.55</v>
      </c>
      <c r="Q16" s="74" cm="1">
        <f t="array" ref="Q16">_xll.BDP($B16&amp;" Equity","ask")</f>
        <v>3.85</v>
      </c>
      <c r="R16" s="76">
        <f t="shared" ref="R16:R18" si="70">(Q16/P16-1)</f>
        <v>8.4507042253521236E-2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ref="U16:U18" si="71">(L16/S16)*H16*T16</f>
        <v>-55500</v>
      </c>
      <c r="V16" s="113">
        <f>U16/'Master P&amp;L'!$AD$7*10000</f>
        <v>-0.23162019605012812</v>
      </c>
      <c r="W16" s="113">
        <f>(Y16*H16*T16/S16)/'Master P&amp;L'!$AD$7*10000</f>
        <v>-0.23162019605012812</v>
      </c>
      <c r="X16" s="118">
        <f t="shared" ref="X16:X18" si="72">IF(C16="Put",IF(Z16&lt;AA16,AA16-Z16,0),IF(Z16&gt;AA16,Z16-AA16,0))</f>
        <v>0</v>
      </c>
      <c r="Y16" s="272">
        <f t="shared" ref="Y16:Y18" si="73">L16-X16</f>
        <v>3.7</v>
      </c>
      <c r="Z16" s="77">
        <f>_xll.BDP(D16&amp;" Equity","LAST_PRICE")</f>
        <v>46.47</v>
      </c>
      <c r="AA16" s="77" cm="1">
        <f t="array" ref="AA16">_xll.BDP(B16&amp;" Equity","OPT_STRIKE_PX")</f>
        <v>60</v>
      </c>
      <c r="AB16" s="76">
        <f t="shared" ref="AB16:AB18" si="74">AA16/Z16-1</f>
        <v>0.29115558424790189</v>
      </c>
      <c r="AC16" s="323" cm="1">
        <f t="array" ref="AC16">_xll.BDP($D16&amp;" Equity","volatility_10d")</f>
        <v>146.02403615929796</v>
      </c>
      <c r="AD16" s="77" cm="1">
        <f t="array" ref="AD16">_xll.BDP(B16&amp;" Equity","ivol_mid")</f>
        <v>60.450969999999998</v>
      </c>
      <c r="AE16" s="77">
        <f t="shared" ref="AE16:AE18" si="75">AD16/AC16</f>
        <v>0.4139795857584288</v>
      </c>
      <c r="AF16" s="78" cm="1">
        <f t="array" ref="AF16">_xll.BDP(B16&amp;" Equity","DELTA_MID_RT")</f>
        <v>0.35406368970870972</v>
      </c>
      <c r="AG16" s="75">
        <f>AL16/'Master P&amp;L'!$AE$7</f>
        <v>-1.0299799345690393E-4</v>
      </c>
      <c r="AH16" s="75">
        <f>AM16/'Master P&amp;L'!$AE$7</f>
        <v>-2.9090244622836361E-4</v>
      </c>
      <c r="AI16" s="427">
        <f>AO16/'Master P&amp;L'!$AD$7*10000</f>
        <v>1.3152134870433013E-3</v>
      </c>
      <c r="AJ16" s="350">
        <f t="shared" ref="AJ16:AJ18" si="76">(252*AI16)/$AI$1</f>
        <v>-1.792750367587535E-2</v>
      </c>
      <c r="AK16" s="78">
        <f>AP16/'Master P&amp;L'!$AD$7*10000</f>
        <v>5.7905049012532024E-2</v>
      </c>
      <c r="AL16" s="42">
        <f t="shared" ref="AL16:AL18" si="77">Z16*AF16*H16*T16/S16</f>
        <v>-246800.09491145605</v>
      </c>
      <c r="AM16" s="42">
        <f t="shared" ref="AM16:AM18" si="78">IF(C16="Put",-Z16*H16*T16/S16,Z16*H16*T16/S16)</f>
        <v>-697050</v>
      </c>
      <c r="AN16" s="78" cm="1">
        <f t="array" ref="AN16">_xll.BDP($B16&amp;" Equity","theta_mid_rt")</f>
        <v>-2.1009782329201698E-2</v>
      </c>
      <c r="AO16" s="42">
        <f t="shared" ref="AO16:AO18" si="79">AN16*H16*T16/S16</f>
        <v>315.14673493802547</v>
      </c>
      <c r="AP16" s="42">
        <f t="shared" ref="AP16:AP18" si="80">(L16-K16)*T16/S16*H16</f>
        <v>13874.999999999998</v>
      </c>
      <c r="AQ16" s="74" t="str" cm="1">
        <f t="array" ref="AQ16">_xll.BDP($D16&amp;" Equity","EXPECTED_REPORT_DT")</f>
        <v>24/04/2026</v>
      </c>
      <c r="AR16" s="235" cm="1">
        <f t="array" ref="AR16">_xll.BDP($B16&amp;" Equity","GAMMA_LAST")</f>
        <v>8.9289999999999994E-3</v>
      </c>
      <c r="AS16" s="73">
        <f t="shared" si="14"/>
        <v>-2892.2739564149997</v>
      </c>
      <c r="AT16" s="73">
        <f t="shared" si="15"/>
        <v>-14461.369782074999</v>
      </c>
      <c r="AU16" s="73" t="s">
        <v>151</v>
      </c>
      <c r="AV16" s="322" cm="1">
        <f t="array" ref="AV16">_xll.BDP($D16&amp;" Equity","EST_PE_NXT_YR")*(AA16/Z16)</f>
        <v>59.98547774705041</v>
      </c>
      <c r="AW16" s="73"/>
      <c r="AX16" s="42"/>
      <c r="AY16" s="322">
        <v>3.7</v>
      </c>
      <c r="AZ16" s="354"/>
      <c r="BA16" s="42">
        <f t="shared" ref="BA16:BA18" si="81">+AY16</f>
        <v>3.7</v>
      </c>
      <c r="BB16" s="346">
        <f t="shared" ref="BB16:BB18" si="82">+J16</f>
        <v>4.625</v>
      </c>
      <c r="BC16" s="346">
        <f t="shared" ref="BC16:BC18" si="83">(BB16-BA16)*H16*100</f>
        <v>-13874.999999999996</v>
      </c>
      <c r="BD16" s="346">
        <f>BC16/'Master P&amp;L'!$AD$7*10000</f>
        <v>-5.7905049012532017E-2</v>
      </c>
    </row>
    <row r="17" spans="1:56" s="59" customFormat="1">
      <c r="A17" s="356"/>
      <c r="B17" t="s">
        <v>2327</v>
      </c>
      <c r="C17" t="str" cm="1">
        <f t="array" ref="C17">_xll.BDP($B17&amp;" Equity","opt_put_call")</f>
        <v>Call</v>
      </c>
      <c r="D17" t="str" cm="1">
        <f t="array" ref="D17">_xll.BDP(B17&amp;" Equity","OPT_UNDL_TICKER")</f>
        <v>INTC US</v>
      </c>
      <c r="E17" t="str" cm="1">
        <f t="array" ref="E17">_xll.BDP($B17&amp;" Equity","mifid_Maturity_date")</f>
        <v>17/07/2026</v>
      </c>
      <c r="F17" cm="1">
        <f t="array" ref="F17">_xll.BDP($B17&amp;" Equity","opt_days_expire")</f>
        <v>168</v>
      </c>
      <c r="G17" t="str" cm="1">
        <f t="array" ref="G17">_xll.BDP(B17&amp;" Equity","QUOTED_CURRENCY_REALTIME")</f>
        <v>USD</v>
      </c>
      <c r="H17" s="15">
        <v>250</v>
      </c>
      <c r="I17" s="410">
        <v>6.6</v>
      </c>
      <c r="J17" s="14">
        <f>VLOOKUP(B17,Precificação!$B:$O,14,FALSE)</f>
        <v>7.6499999999999995</v>
      </c>
      <c r="K17" s="14">
        <f t="shared" si="19"/>
        <v>7.6499999999999995</v>
      </c>
      <c r="L17" s="74" cm="1">
        <f t="array" ref="L17">_xll.BDP($B17&amp;" Equity","mid")</f>
        <v>6.3</v>
      </c>
      <c r="M17" s="19">
        <f t="shared" si="68"/>
        <v>0.13557133634602969</v>
      </c>
      <c r="N17" s="350"/>
      <c r="O17" s="19">
        <f t="shared" si="69"/>
        <v>-0.17647058823529405</v>
      </c>
      <c r="P17" s="36" cm="1">
        <f t="array" ref="P17">_xll.BDP($B17&amp;" Equity","bid")</f>
        <v>5.95</v>
      </c>
      <c r="Q17" s="36" cm="1">
        <f t="array" ref="Q17">_xll.BDP($B17&amp;" Equity","ask")</f>
        <v>6.65</v>
      </c>
      <c r="R17" s="40">
        <f t="shared" si="70"/>
        <v>0.11764705882352944</v>
      </c>
      <c r="S17" s="36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71"/>
        <v>157500</v>
      </c>
      <c r="V17" s="124">
        <f>U17/'Master P&amp;L'!$AD$7*10000</f>
        <v>0.65730055635847173</v>
      </c>
      <c r="W17" s="124">
        <f>(Y17*H17*T17/S17)/'Master P&amp;L'!$AD$7*10000</f>
        <v>0.65730055635847173</v>
      </c>
      <c r="X17" s="413">
        <f t="shared" si="72"/>
        <v>0</v>
      </c>
      <c r="Y17" s="273">
        <f t="shared" si="73"/>
        <v>6.3</v>
      </c>
      <c r="Z17" s="37">
        <f>_xll.BDP(D17&amp;" Equity","LAST_PRICE")</f>
        <v>46.47</v>
      </c>
      <c r="AA17" s="37" cm="1">
        <f t="array" ref="AA17">_xll.BDP(B17&amp;" Equity","OPT_STRIKE_PX")</f>
        <v>50</v>
      </c>
      <c r="AB17" s="40">
        <f t="shared" si="74"/>
        <v>7.5962986873251648E-2</v>
      </c>
      <c r="AC17" s="324" cm="1">
        <f t="array" ref="AC17">_xll.BDP($D17&amp;" Equity","volatility_10d")</f>
        <v>146.02403615929796</v>
      </c>
      <c r="AD17" s="37" cm="1">
        <f t="array" ref="AD17">_xll.BDP(B17&amp;" Equity","ivol_mid")</f>
        <v>58.12959</v>
      </c>
      <c r="AE17" s="37">
        <f t="shared" si="75"/>
        <v>0.39808233992783415</v>
      </c>
      <c r="AF17" s="38" cm="1">
        <f t="array" ref="AF17">_xll.BDP(B17&amp;" Equity","DELTA_MID_RT")</f>
        <v>0.52264863252639771</v>
      </c>
      <c r="AG17" s="19">
        <f>AL17/'Master P&amp;L'!$AE$7</f>
        <v>2.5339960953306363E-4</v>
      </c>
      <c r="AH17" s="19">
        <f>AM17/'Master P&amp;L'!$AE$7</f>
        <v>4.8483741038060602E-4</v>
      </c>
      <c r="AI17" s="426">
        <f>AO17/'Master P&amp;L'!$AD$7*10000</f>
        <v>-2.261741735267359E-3</v>
      </c>
      <c r="AJ17" s="350">
        <f t="shared" si="76"/>
        <v>3.0829506899324635E-2</v>
      </c>
      <c r="AK17" s="38">
        <f>AP17/'Master P&amp;L'!$AD$7*10000</f>
        <v>-0.14085011921967247</v>
      </c>
      <c r="AL17" s="15">
        <f t="shared" si="77"/>
        <v>607187.04883754253</v>
      </c>
      <c r="AM17" s="15">
        <f t="shared" si="78"/>
        <v>1161750</v>
      </c>
      <c r="AN17" s="38" cm="1">
        <f t="array" ref="AN17">_xll.BDP($B17&amp;" Equity","theta_mid_rt")</f>
        <v>-2.16780174523592E-2</v>
      </c>
      <c r="AO17" s="15">
        <f t="shared" si="79"/>
        <v>-541.95043630897999</v>
      </c>
      <c r="AP17" s="15">
        <f t="shared" si="80"/>
        <v>-33749.999999999993</v>
      </c>
      <c r="AQ17" s="36" t="str" cm="1">
        <f t="array" ref="AQ17">_xll.BDP($D17&amp;" Equity","EXPECTED_REPORT_DT")</f>
        <v>24/04/2026</v>
      </c>
      <c r="AR17" s="66" cm="1">
        <f t="array" ref="AR17">_xll.BDP($B17&amp;" Equity","GAMMA_LAST")</f>
        <v>9.9430000000000004E-3</v>
      </c>
      <c r="AS17">
        <f t="shared" si="14"/>
        <v>5367.8799321749993</v>
      </c>
      <c r="AT17">
        <f t="shared" si="15"/>
        <v>26839.399660874999</v>
      </c>
      <c r="AU17" t="s">
        <v>151</v>
      </c>
      <c r="AV17" s="277" cm="1">
        <f t="array" ref="AV17">_xll.BDP($D17&amp;" Equity","EST_PE_NXT_YR")*(AA17/Z17)</f>
        <v>49.987898122542013</v>
      </c>
      <c r="AW17"/>
      <c r="AX17" s="15"/>
      <c r="AY17" s="277">
        <v>6.3</v>
      </c>
      <c r="AZ17" s="355"/>
      <c r="BA17" s="15">
        <f t="shared" si="81"/>
        <v>6.3</v>
      </c>
      <c r="BB17" s="414">
        <f t="shared" si="82"/>
        <v>7.6499999999999995</v>
      </c>
      <c r="BC17" s="414">
        <f t="shared" si="83"/>
        <v>33749.999999999985</v>
      </c>
      <c r="BD17" s="414">
        <f>BC17/'Master P&amp;L'!$AD$7*10000</f>
        <v>0.14085011921967244</v>
      </c>
    </row>
    <row r="18" spans="1:56">
      <c r="A18" s="335"/>
      <c r="B18" s="73" t="s">
        <v>2326</v>
      </c>
      <c r="C18" s="73" t="str" cm="1">
        <f t="array" ref="C18">_xll.BDP($B18&amp;" Equity","opt_put_call")</f>
        <v>Put</v>
      </c>
      <c r="D18" s="73" t="str" cm="1">
        <f t="array" ref="D18">_xll.BDP(B18&amp;" Equity","OPT_UNDL_TICKER")</f>
        <v>INTC US</v>
      </c>
      <c r="E18" s="73" t="str" cm="1">
        <f t="array" ref="E18">_xll.BDP($B18&amp;" Equity","mifid_Maturity_date")</f>
        <v>17/07/2026</v>
      </c>
      <c r="F18" s="73" cm="1">
        <f t="array" ref="F18">_xll.BDP($B18&amp;" Equity","opt_days_expire")</f>
        <v>168</v>
      </c>
      <c r="G18" s="73" t="str" cm="1">
        <f t="array" ref="G18">_xll.BDP(B18&amp;" Equity","QUOTED_CURRENCY_REALTIME")</f>
        <v>USD</v>
      </c>
      <c r="H18" s="42">
        <v>-150</v>
      </c>
      <c r="I18" s="409">
        <v>3.8</v>
      </c>
      <c r="J18" s="14">
        <f>VLOOKUP(B18,Precificação!$B:$O,14,FALSE)</f>
        <v>3.145</v>
      </c>
      <c r="K18" s="14">
        <f t="shared" si="19"/>
        <v>3.145</v>
      </c>
      <c r="L18" s="74" cm="1">
        <f t="array" ref="L18">_xll.BDP($B18&amp;" Equity","mid")</f>
        <v>3.67</v>
      </c>
      <c r="M18" s="75">
        <f t="shared" si="68"/>
        <v>7.897568323649666E-2</v>
      </c>
      <c r="N18" s="352"/>
      <c r="O18" s="75">
        <f t="shared" si="69"/>
        <v>0.16693163751987283</v>
      </c>
      <c r="P18" s="74" cm="1">
        <f t="array" ref="P18">_xll.BDP($B18&amp;" Equity","bid")</f>
        <v>3.5</v>
      </c>
      <c r="Q18" s="74" cm="1">
        <f t="array" ref="Q18">_xll.BDP($B18&amp;" Equity","ask")</f>
        <v>3.85</v>
      </c>
      <c r="R18" s="76">
        <f t="shared" si="70"/>
        <v>0.10000000000000009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 t="shared" si="71"/>
        <v>-55050</v>
      </c>
      <c r="V18" s="113">
        <f>U18/'Master P&amp;L'!$AD$7*10000</f>
        <v>-0.22974219446053248</v>
      </c>
      <c r="W18" s="113">
        <f>(Y18*H18*T18/S18)/'Master P&amp;L'!$AD$7*10000</f>
        <v>-0.22974219446053248</v>
      </c>
      <c r="X18" s="118">
        <f t="shared" si="72"/>
        <v>0</v>
      </c>
      <c r="Y18" s="272">
        <f t="shared" si="73"/>
        <v>3.67</v>
      </c>
      <c r="Z18" s="77">
        <f>_xll.BDP(D18&amp;" Equity","LAST_PRICE")</f>
        <v>46.47</v>
      </c>
      <c r="AA18" s="77" cm="1">
        <f t="array" ref="AA18">_xll.BDP(B18&amp;" Equity","OPT_STRIKE_PX")</f>
        <v>40</v>
      </c>
      <c r="AB18" s="76">
        <f t="shared" si="74"/>
        <v>-0.1392296105013987</v>
      </c>
      <c r="AC18" s="323" cm="1">
        <f t="array" ref="AC18">_xll.BDP($D18&amp;" Equity","volatility_10d")</f>
        <v>146.02403615929796</v>
      </c>
      <c r="AD18" s="77" cm="1">
        <f t="array" ref="AD18">_xll.BDP(B18&amp;" Equity","ivol_mid")</f>
        <v>57.963999999999999</v>
      </c>
      <c r="AE18" s="77">
        <f t="shared" si="75"/>
        <v>0.39694834853603783</v>
      </c>
      <c r="AF18" s="78" cm="1">
        <f t="array" ref="AF18">_xll.BDP(B18&amp;" Equity","DELTA_MID_RT")</f>
        <v>-0.269317626953125</v>
      </c>
      <c r="AG18" s="75">
        <f>AL18/'Master P&amp;L'!$AE$7</f>
        <v>7.8345156493081944E-5</v>
      </c>
      <c r="AH18" s="75">
        <f>AM18/'Master P&amp;L'!$AE$7</f>
        <v>2.9090244622836361E-4</v>
      </c>
      <c r="AI18" s="427">
        <f>AO18/'Master P&amp;L'!$AD$7*10000</f>
        <v>1.1169667191350632E-3</v>
      </c>
      <c r="AJ18" s="350">
        <f t="shared" si="76"/>
        <v>-1.5225227813121568E-2</v>
      </c>
      <c r="AK18" s="78">
        <f>AP18/'Master P&amp;L'!$AD$7*10000</f>
        <v>-3.2865027817923581E-2</v>
      </c>
      <c r="AL18" s="42">
        <f t="shared" si="77"/>
        <v>187727.85186767578</v>
      </c>
      <c r="AM18" s="42">
        <f t="shared" si="78"/>
        <v>697050</v>
      </c>
      <c r="AN18" s="78" cm="1">
        <f t="array" ref="AN18">_xll.BDP($B18&amp;" Equity","theta_mid_rt")</f>
        <v>-1.7842903733253479E-2</v>
      </c>
      <c r="AO18" s="42">
        <f t="shared" si="79"/>
        <v>267.64355599880219</v>
      </c>
      <c r="AP18" s="42">
        <f t="shared" si="80"/>
        <v>-7874.9999999999991</v>
      </c>
      <c r="AQ18" s="74" t="str" cm="1">
        <f t="array" ref="AQ18">_xll.BDP($D18&amp;" Equity","EXPECTED_REPORT_DT")</f>
        <v>24/04/2026</v>
      </c>
      <c r="AR18" s="235" cm="1">
        <f t="array" ref="AR18">_xll.BDP($B18&amp;" Equity","GAMMA_LAST")</f>
        <v>8.0059999999999992E-3</v>
      </c>
      <c r="AS18" s="73">
        <f t="shared" si="14"/>
        <v>-2593.2965948099995</v>
      </c>
      <c r="AT18" s="73">
        <f t="shared" si="15"/>
        <v>-12966.482974049999</v>
      </c>
      <c r="AU18" s="73" t="s">
        <v>151</v>
      </c>
      <c r="AV18" s="322" cm="1">
        <f t="array" ref="AV18">_xll.BDP($D18&amp;" Equity","EST_PE_NXT_YR")*(AA18/Z18)</f>
        <v>39.990318498033609</v>
      </c>
      <c r="AW18" s="73"/>
      <c r="AX18" s="42"/>
      <c r="AY18" s="322">
        <v>3.67</v>
      </c>
      <c r="AZ18" s="354"/>
      <c r="BA18" s="42">
        <f t="shared" si="81"/>
        <v>3.67</v>
      </c>
      <c r="BB18" s="346">
        <f t="shared" si="82"/>
        <v>3.145</v>
      </c>
      <c r="BC18" s="346">
        <f t="shared" si="83"/>
        <v>7874.9999999999982</v>
      </c>
      <c r="BD18" s="346">
        <f>BC18/'Master P&amp;L'!$AD$7*10000</f>
        <v>3.2865027817923581E-2</v>
      </c>
    </row>
    <row r="19" spans="1:56" s="59" customFormat="1">
      <c r="A19" s="356"/>
      <c r="B19" t="s">
        <v>2225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TSM US</v>
      </c>
      <c r="E19" t="str" cm="1">
        <f t="array" ref="E19">_xll.BDP($B19&amp;" Equity","mifid_Maturity_date")</f>
        <v>18/06/2026</v>
      </c>
      <c r="F19" cm="1">
        <f t="array" ref="F19">_xll.BDP($B19&amp;" Equity","opt_days_expire")</f>
        <v>139</v>
      </c>
      <c r="G19" t="str" cm="1">
        <f t="array" ref="G19">_xll.BDP(B19&amp;" Equity","QUOTED_CURRENCY_REALTIME")</f>
        <v>USD</v>
      </c>
      <c r="H19" s="15">
        <v>1550</v>
      </c>
      <c r="I19" s="410">
        <v>34.200000000000003</v>
      </c>
      <c r="J19" s="14">
        <f>VLOOKUP(B19,Precificação!$B:$O,14,FALSE)</f>
        <v>33.975000000000001</v>
      </c>
      <c r="K19" s="14">
        <f t="shared" si="19"/>
        <v>33.975000000000001</v>
      </c>
      <c r="L19" s="74" cm="1">
        <f t="array" ref="L19">_xll.BDP($B19&amp;" Equity","mid")</f>
        <v>28.83</v>
      </c>
      <c r="M19" s="19">
        <f t="shared" si="1"/>
        <v>8.7215634075508225E-2</v>
      </c>
      <c r="N19" s="350"/>
      <c r="O19" s="19">
        <f t="shared" si="2"/>
        <v>-0.15143487858719651</v>
      </c>
      <c r="P19" s="36" cm="1">
        <f t="array" ref="P19">_xll.BDP($B19&amp;" Equity","bid")</f>
        <v>28.3</v>
      </c>
      <c r="Q19" s="36" cm="1">
        <f t="array" ref="Q19">_xll.BDP($B19&amp;" Equity","ask")</f>
        <v>29.35</v>
      </c>
      <c r="R19" s="40">
        <f t="shared" si="3"/>
        <v>3.7102473498233257E-2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4"/>
        <v>4468650</v>
      </c>
      <c r="V19" s="124">
        <f>U19/'Master P&amp;L'!$AD$7*10000</f>
        <v>18.649181785214505</v>
      </c>
      <c r="W19" s="124">
        <f>(Y19*H19*T19/S19)/'Master P&amp;L'!$AD$7*10000</f>
        <v>18.649181785214505</v>
      </c>
      <c r="X19" s="413">
        <f t="shared" si="5"/>
        <v>0</v>
      </c>
      <c r="Y19" s="273">
        <f t="shared" si="6"/>
        <v>28.83</v>
      </c>
      <c r="Z19" s="37">
        <f>_xll.BDP(D19&amp;" Equity","LAST_PRICE")</f>
        <v>330.56</v>
      </c>
      <c r="AA19" s="37" cm="1">
        <f t="array" ref="AA19">_xll.BDP(B19&amp;" Equity","OPT_STRIKE_PX")</f>
        <v>340</v>
      </c>
      <c r="AB19" s="40">
        <f t="shared" si="7"/>
        <v>2.8557599225556674E-2</v>
      </c>
      <c r="AC19" s="324" cm="1">
        <f t="array" ref="AC19">_xll.BDP($D19&amp;" Equity","volatility_10d")</f>
        <v>34.33911407387987</v>
      </c>
      <c r="AD19" s="37" cm="1">
        <f t="array" ref="AD19">_xll.BDP(B19&amp;" Equity","ivol_mid")</f>
        <v>39.030149999999999</v>
      </c>
      <c r="AE19" s="37">
        <f t="shared" si="8"/>
        <v>1.1366091133285345</v>
      </c>
      <c r="AF19" s="38" cm="1">
        <f t="array" ref="AF19">_xll.BDP(B19&amp;" Equity","DELTA_MID_RT")</f>
        <v>0.51958262920379639</v>
      </c>
      <c r="AG19" s="19">
        <f>AL19/'Master P&amp;L'!$AE$7</f>
        <v>1.1110153594792675E-2</v>
      </c>
      <c r="AH19" s="19">
        <f>AM19/'Master P&amp;L'!$AE$7</f>
        <v>2.1382842632398567E-2</v>
      </c>
      <c r="AI19" s="426">
        <f>AO19/'Master P&amp;L'!$AD$7*10000</f>
        <v>-8.6530253808254604E-2</v>
      </c>
      <c r="AJ19" s="350">
        <f t="shared" si="9"/>
        <v>1.1794826151830957</v>
      </c>
      <c r="AK19" s="38">
        <f>AP19/'Master P&amp;L'!$AD$7*10000</f>
        <v>-3.3281318170283973</v>
      </c>
      <c r="AL19" s="15">
        <f t="shared" si="10"/>
        <v>26621751.255989075</v>
      </c>
      <c r="AM19" s="15">
        <f t="shared" si="11"/>
        <v>51236800</v>
      </c>
      <c r="AN19" s="38" cm="1">
        <f t="array" ref="AN19">_xll.BDP($B19&amp;" Equity","theta_mid_rt")</f>
        <v>-0.13376818597316742</v>
      </c>
      <c r="AO19" s="15">
        <f t="shared" si="12"/>
        <v>-20734.06882584095</v>
      </c>
      <c r="AP19" s="15">
        <f t="shared" si="13"/>
        <v>-797475.00000000058</v>
      </c>
      <c r="AQ19" s="36" t="str" cm="1">
        <f t="array" ref="AQ19">_xll.BDP($D19&amp;" Equity","EXPECTED_REPORT_DT")</f>
        <v>17/04/2026</v>
      </c>
      <c r="AR19" s="66" cm="1">
        <f t="array" ref="AR19">_xll.BDP($B19&amp;" Equity","GAMMA_LAST")</f>
        <v>1.6549999999999999E-2</v>
      </c>
      <c r="AS19">
        <f t="shared" si="14"/>
        <v>2803046.4586239997</v>
      </c>
      <c r="AT19">
        <f t="shared" si="15"/>
        <v>14015232.293120001</v>
      </c>
      <c r="AU19" t="s">
        <v>151</v>
      </c>
      <c r="AV19" s="277" cm="1">
        <f t="array" ref="AV19">_xll.BDP($D19&amp;" Equity","EST_PE_NXT_YR")*(AA19/Z19)</f>
        <v>19.542316113889914</v>
      </c>
      <c r="AW19"/>
      <c r="AX19" s="15"/>
      <c r="AY19" s="277">
        <v>28.83</v>
      </c>
      <c r="AZ19" s="355"/>
      <c r="BA19" s="15">
        <f t="shared" si="16"/>
        <v>28.83</v>
      </c>
      <c r="BB19" s="414">
        <f t="shared" si="17"/>
        <v>33.975000000000001</v>
      </c>
      <c r="BC19" s="414">
        <f t="shared" si="18"/>
        <v>797475.00000000047</v>
      </c>
      <c r="BD19" s="414">
        <f>BC19/'Master P&amp;L'!$AD$7*10000</f>
        <v>3.3281318170283973</v>
      </c>
    </row>
    <row r="20" spans="1:56">
      <c r="A20" s="335"/>
      <c r="B20" s="73" t="s">
        <v>2226</v>
      </c>
      <c r="C20" s="73" t="str" cm="1">
        <f t="array" ref="C20">_xll.BDP($B20&amp;" Equity","opt_put_call")</f>
        <v>Call</v>
      </c>
      <c r="D20" s="73" t="str" cm="1">
        <f t="array" ref="D20">_xll.BDP(B20&amp;" Equity","OPT_UNDL_TICKER")</f>
        <v>TSM US</v>
      </c>
      <c r="E20" s="73" t="str" cm="1">
        <f t="array" ref="E20">_xll.BDP($B20&amp;" Equity","mifid_Maturity_date")</f>
        <v>18/06/2026</v>
      </c>
      <c r="F20" s="73" cm="1">
        <f t="array" ref="F20">_xll.BDP($B20&amp;" Equity","opt_days_expire")</f>
        <v>139</v>
      </c>
      <c r="G20" s="73" t="str" cm="1">
        <f t="array" ref="G20">_xll.BDP(B20&amp;" Equity","QUOTED_CURRENCY_REALTIME")</f>
        <v>USD</v>
      </c>
      <c r="H20" s="42">
        <v>-1275</v>
      </c>
      <c r="I20" s="409">
        <v>19.54</v>
      </c>
      <c r="J20" s="14">
        <f>VLOOKUP(B20,Precificação!$B:$O,14,FALSE)</f>
        <v>19.125</v>
      </c>
      <c r="K20" s="14">
        <f t="shared" si="19"/>
        <v>19.125</v>
      </c>
      <c r="L20" s="74" cm="1">
        <f t="array" ref="L20">_xll.BDP($B20&amp;" Equity","mid")</f>
        <v>15.57</v>
      </c>
      <c r="M20" s="75">
        <f t="shared" si="1"/>
        <v>4.7101887705711519E-2</v>
      </c>
      <c r="N20" s="352"/>
      <c r="O20" s="75">
        <f t="shared" si="2"/>
        <v>-0.1858823529411765</v>
      </c>
      <c r="P20" s="74" cm="1">
        <f t="array" ref="P20">_xll.BDP($B20&amp;" Equity","bid")</f>
        <v>15</v>
      </c>
      <c r="Q20" s="74" cm="1">
        <f t="array" ref="Q20">_xll.BDP($B20&amp;" Equity","ask")</f>
        <v>16.149999999999999</v>
      </c>
      <c r="R20" s="76">
        <f t="shared" si="3"/>
        <v>7.6666666666666661E-2</v>
      </c>
      <c r="S20" s="36" cm="1">
        <f t="array" ref="S20">_xll.BDP(G20&amp;" Curncy","PX_LAST")</f>
        <v>1</v>
      </c>
      <c r="T20" s="42" cm="1">
        <f t="array" ref="T20">_xll.BDP(B20&amp;" Equity","OPT_MULTIPLIER")</f>
        <v>100</v>
      </c>
      <c r="U20" s="42">
        <f t="shared" si="4"/>
        <v>-1985175</v>
      </c>
      <c r="V20" s="113">
        <f>U20/'Master P&amp;L'!$AD$7*10000</f>
        <v>-8.2848040125011373</v>
      </c>
      <c r="W20" s="113">
        <f>(Y20*H20*T20/S20)/'Master P&amp;L'!$AD$7*10000</f>
        <v>-8.2848040125011373</v>
      </c>
      <c r="X20" s="118">
        <f t="shared" si="5"/>
        <v>0</v>
      </c>
      <c r="Y20" s="272">
        <f t="shared" si="6"/>
        <v>15.57</v>
      </c>
      <c r="Z20" s="77">
        <f>_xll.BDP(D20&amp;" Equity","LAST_PRICE")</f>
        <v>330.56</v>
      </c>
      <c r="AA20" s="77" cm="1">
        <f t="array" ref="AA20">_xll.BDP(B20&amp;" Equity","OPT_STRIKE_PX")</f>
        <v>380</v>
      </c>
      <c r="AB20" s="76">
        <f t="shared" si="7"/>
        <v>0.14956437560503377</v>
      </c>
      <c r="AC20" s="323" cm="1">
        <f t="array" ref="AC20">_xll.BDP($D20&amp;" Equity","volatility_10d")</f>
        <v>34.33911407387987</v>
      </c>
      <c r="AD20" s="77" cm="1">
        <f t="array" ref="AD20">_xll.BDP(B20&amp;" Equity","ivol_mid")</f>
        <v>38.421039999999998</v>
      </c>
      <c r="AE20" s="77">
        <f t="shared" si="8"/>
        <v>1.1188710319473576</v>
      </c>
      <c r="AF20" s="78" cm="1">
        <f t="array" ref="AF20">_xll.BDP(B20&amp;" Equity","DELTA_MID_RT")</f>
        <v>0.33752086758613586</v>
      </c>
      <c r="AG20" s="75">
        <f>AL20/'Master P&amp;L'!$AE$7</f>
        <v>-5.9366925069999008E-3</v>
      </c>
      <c r="AH20" s="75">
        <f>AM20/'Master P&amp;L'!$AE$7</f>
        <v>-1.7589112487940758E-2</v>
      </c>
      <c r="AI20" s="427">
        <f>AO20/'Master P&amp;L'!$AD$7*10000</f>
        <v>6.25701651762057E-2</v>
      </c>
      <c r="AJ20" s="350">
        <f t="shared" si="9"/>
        <v>-0.85288576892431489</v>
      </c>
      <c r="AK20" s="78">
        <f>AP20/'Master P&amp;L'!$AD$7*10000</f>
        <v>1.8916171011202019</v>
      </c>
      <c r="AL20" s="42">
        <f t="shared" si="10"/>
        <v>-14225289.493632317</v>
      </c>
      <c r="AM20" s="42">
        <f t="shared" si="11"/>
        <v>-42146400</v>
      </c>
      <c r="AN20" s="78" cm="1">
        <f t="array" ref="AN20">_xll.BDP($B20&amp;" Equity","theta_mid_rt")</f>
        <v>-0.11759088933467865</v>
      </c>
      <c r="AO20" s="42">
        <f t="shared" si="12"/>
        <v>14992.838390171528</v>
      </c>
      <c r="AP20" s="42">
        <f t="shared" si="13"/>
        <v>453262.5</v>
      </c>
      <c r="AQ20" s="74" t="str" cm="1">
        <f t="array" ref="AQ20">_xll.BDP($D20&amp;" Equity","EXPECTED_REPORT_DT")</f>
        <v>17/04/2026</v>
      </c>
      <c r="AR20" s="235" cm="1">
        <f t="array" ref="AR20">_xll.BDP($B20&amp;" Equity","GAMMA_LAST")</f>
        <v>1.5323E-2</v>
      </c>
      <c r="AS20" s="73">
        <f t="shared" si="14"/>
        <v>-2134787.1797683197</v>
      </c>
      <c r="AT20" s="73">
        <f t="shared" si="15"/>
        <v>-10673935.898841601</v>
      </c>
      <c r="AU20" s="73" t="s">
        <v>151</v>
      </c>
      <c r="AV20" s="322" cm="1">
        <f t="array" ref="AV20">_xll.BDP($D20&amp;" Equity","EST_PE_NXT_YR")*(AA20/Z20)</f>
        <v>21.841412127288724</v>
      </c>
      <c r="AW20" s="73"/>
      <c r="AX20" s="42"/>
      <c r="AY20" s="322">
        <v>15.57</v>
      </c>
      <c r="AZ20" s="354"/>
      <c r="BA20" s="42">
        <f t="shared" si="16"/>
        <v>15.57</v>
      </c>
      <c r="BB20" s="346">
        <f t="shared" si="17"/>
        <v>19.125</v>
      </c>
      <c r="BC20" s="346">
        <f t="shared" si="18"/>
        <v>-453262.5</v>
      </c>
      <c r="BD20" s="346">
        <f>BC20/'Master P&amp;L'!$AD$7*10000</f>
        <v>-1.8916171011202019</v>
      </c>
    </row>
    <row r="21" spans="1:56">
      <c r="H21" s="336"/>
      <c r="I21" s="218"/>
      <c r="J21" s="218"/>
      <c r="K21" s="218"/>
      <c r="L21" s="218"/>
    </row>
    <row r="22" spans="1:56">
      <c r="H22" s="336"/>
      <c r="I22" s="218"/>
      <c r="J22" s="218"/>
      <c r="K22" s="218"/>
      <c r="L22" s="218"/>
    </row>
    <row r="23" spans="1:56">
      <c r="I23" s="64" t="e">
        <f>#REF!-#REF!</f>
        <v>#REF!</v>
      </c>
      <c r="J23" s="64" t="e">
        <f>#REF!-#REF!</f>
        <v>#REF!</v>
      </c>
      <c r="K23" s="64" t="e">
        <f>#REF!-#REF!</f>
        <v>#REF!</v>
      </c>
      <c r="L23" s="64" t="e">
        <f>#REF!-#REF!</f>
        <v>#REF!</v>
      </c>
      <c r="M23" s="64"/>
      <c r="N23" s="64"/>
      <c r="O23" s="64"/>
      <c r="P23" s="64" t="e">
        <f>#REF!-#REF!</f>
        <v>#REF!</v>
      </c>
      <c r="Q23" s="64" t="e">
        <f>#REF!-#REF!</f>
        <v>#REF!</v>
      </c>
      <c r="AY23">
        <v>3.0999999999999996</v>
      </c>
    </row>
    <row r="24" spans="1:56">
      <c r="I24" s="64" t="e">
        <f>#REF!-#REF!</f>
        <v>#REF!</v>
      </c>
      <c r="J24" s="64" t="e">
        <f>#REF!-#REF!</f>
        <v>#REF!</v>
      </c>
      <c r="K24" s="64" t="e">
        <f>#REF!-#REF!</f>
        <v>#REF!</v>
      </c>
      <c r="L24" s="64" t="e">
        <f>#REF!-#REF!</f>
        <v>#REF!</v>
      </c>
      <c r="AY24" t="e">
        <v>#REF!</v>
      </c>
    </row>
    <row r="25" spans="1:56">
      <c r="I25" s="64" t="e">
        <f>(L24-I23)/I23</f>
        <v>#REF!</v>
      </c>
      <c r="J25" s="218"/>
      <c r="K25" s="218"/>
      <c r="L25" s="64" t="e">
        <f>(L24-L23)/L23</f>
        <v>#REF!</v>
      </c>
      <c r="AY25" t="e">
        <v>#REF!</v>
      </c>
    </row>
    <row r="26" spans="1:56">
      <c r="I26" s="218" t="e">
        <f>#REF!-#REF!</f>
        <v>#REF!</v>
      </c>
      <c r="J26" s="218"/>
      <c r="K26" s="218"/>
      <c r="L26" s="218" t="e">
        <f>#REF!-#REF!</f>
        <v>#REF!</v>
      </c>
      <c r="AY26">
        <v>3.0999999999999996</v>
      </c>
    </row>
    <row r="27" spans="1:56">
      <c r="I27" s="64">
        <f>I17-I16</f>
        <v>2.8999999999999995</v>
      </c>
      <c r="K27" s="64">
        <f>K17-K16</f>
        <v>3.0249999999999995</v>
      </c>
      <c r="L27" s="64">
        <f>L17-L16</f>
        <v>2.5999999999999996</v>
      </c>
      <c r="AY27">
        <v>2.5999999999999996</v>
      </c>
    </row>
    <row r="28" spans="1:56">
      <c r="I28" s="64"/>
      <c r="K28" s="64"/>
      <c r="L28" s="64"/>
    </row>
    <row r="29" spans="1:56">
      <c r="H29" s="404">
        <v>100</v>
      </c>
      <c r="I29" s="411">
        <v>30.89</v>
      </c>
      <c r="J29" s="407">
        <f>H29*I29</f>
        <v>3089</v>
      </c>
    </row>
    <row r="30" spans="1:56">
      <c r="H30" s="404"/>
      <c r="I30" s="411"/>
      <c r="J30" s="407">
        <f t="shared" ref="J30:J36" si="84">H30*I30</f>
        <v>0</v>
      </c>
    </row>
    <row r="31" spans="1:56">
      <c r="H31" s="42"/>
      <c r="I31" s="409"/>
      <c r="J31" s="407">
        <f t="shared" si="84"/>
        <v>0</v>
      </c>
    </row>
    <row r="32" spans="1:56">
      <c r="H32" s="404"/>
      <c r="I32" s="405"/>
      <c r="J32" s="407">
        <f t="shared" si="84"/>
        <v>0</v>
      </c>
    </row>
    <row r="33" spans="8:10">
      <c r="H33" s="404">
        <v>25</v>
      </c>
      <c r="I33" s="411">
        <v>35.75</v>
      </c>
      <c r="J33" s="407">
        <f t="shared" si="84"/>
        <v>893.75</v>
      </c>
    </row>
    <row r="34" spans="8:10">
      <c r="H34" s="15"/>
      <c r="I34" s="410"/>
      <c r="J34" s="407">
        <f t="shared" si="84"/>
        <v>0</v>
      </c>
    </row>
    <row r="35" spans="8:10">
      <c r="H35" s="404"/>
      <c r="I35" s="411"/>
      <c r="J35" s="407">
        <f t="shared" si="84"/>
        <v>0</v>
      </c>
    </row>
    <row r="36" spans="8:10">
      <c r="H36" s="348"/>
      <c r="I36" s="406"/>
      <c r="J36" s="407">
        <f t="shared" si="84"/>
        <v>0</v>
      </c>
    </row>
    <row r="38" spans="8:10">
      <c r="H38" s="348">
        <f>H29+H33</f>
        <v>125</v>
      </c>
      <c r="I38" s="406">
        <f>J38/H38</f>
        <v>31.861999999999998</v>
      </c>
      <c r="J38" s="408">
        <f>J29+J33</f>
        <v>3982.75</v>
      </c>
    </row>
    <row r="39" spans="8:10">
      <c r="H39" s="348">
        <f>H30+H34</f>
        <v>0</v>
      </c>
      <c r="I39" s="406" t="e">
        <f>J39/H39</f>
        <v>#DIV/0!</v>
      </c>
      <c r="J39" s="408">
        <f>J30+J34</f>
        <v>0</v>
      </c>
    </row>
    <row r="40" spans="8:10">
      <c r="H40" s="348">
        <f>H31+H35</f>
        <v>0</v>
      </c>
      <c r="I40" s="406" t="e">
        <f>J40/H40</f>
        <v>#DIV/0!</v>
      </c>
      <c r="J40" s="408">
        <f>J31+J35</f>
        <v>0</v>
      </c>
    </row>
    <row r="41" spans="8:10">
      <c r="H41" s="348">
        <f>H32+H36</f>
        <v>0</v>
      </c>
      <c r="I41" s="406" t="e">
        <f>J41/H41</f>
        <v>#DIV/0!</v>
      </c>
      <c r="J41" s="408">
        <f>J32+J36</f>
        <v>0</v>
      </c>
    </row>
  </sheetData>
  <autoFilter ref="A3:BD24" xr:uid="{0428720F-9028-4D6D-9843-ED7DFFC9E1CA}">
    <sortState xmlns:xlrd2="http://schemas.microsoft.com/office/spreadsheetml/2017/richdata2" ref="A4:BD24">
      <sortCondition ref="D3:D24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124" activePane="bottomRight" state="frozen"/>
      <selection pane="topRight" activeCell="C1" sqref="C1"/>
      <selection pane="bottomLeft" activeCell="A4" sqref="A4"/>
      <selection pane="bottomRight" activeCell="Q153" sqref="Q153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5.4250000000000016</v>
      </c>
      <c r="P5" s="267"/>
      <c r="Q5">
        <f>Q9/Q15-1</f>
        <v>-27.833333333333325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2460</v>
      </c>
      <c r="C7" s="59" t="str" cm="1">
        <f t="array" ref="C7">_xll.BDP(B7&amp;" Equity","OPT_UNDL_TICKER")</f>
        <v>AAPL US</v>
      </c>
      <c r="D7" s="59" t="str">
        <f>_xll.BDP($B7&amp;" Index","mifid_Maturity_date")</f>
        <v>17/04/2026</v>
      </c>
      <c r="E7" s="59">
        <f>_xll.BDP($B7&amp;" Index","opt_days_expire")</f>
        <v>77</v>
      </c>
      <c r="F7" s="59" t="str" cm="1">
        <f t="array" ref="F7">_xll.BDP(B7&amp;" Equity","QUOTED_CURRENCY_REALTIME")</f>
        <v>USD</v>
      </c>
      <c r="G7" s="105" t="s">
        <v>247</v>
      </c>
      <c r="H7" s="96">
        <v>350</v>
      </c>
      <c r="I7" s="97">
        <f>IF(G7="Buy",L7,K7)</f>
        <v>12.3</v>
      </c>
      <c r="J7" s="19">
        <f>I7/S7</f>
        <v>4.7402497302296898E-2</v>
      </c>
      <c r="K7" s="36" cm="1">
        <f t="array" ref="K7">_xll.BDP($B7&amp;" Equity","bid")</f>
        <v>12.05</v>
      </c>
      <c r="L7" s="36" cm="1">
        <f t="array" ref="L7">_xll.BDP($B7&amp;" Equity","ask")</f>
        <v>12.3</v>
      </c>
      <c r="M7" s="40">
        <f>(L7/K7-1)</f>
        <v>2.0746887966804906E-2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430500</v>
      </c>
      <c r="Q7" s="58">
        <f>P7/'Master P&amp;L'!$AD$5*10000</f>
        <v>1.9167109460287377</v>
      </c>
      <c r="R7" s="37" cm="1">
        <f t="array" ref="R7">_xll.BDP($C7&amp;" Equity","EST_PE_NXT_YR")*(T7/S7)</f>
        <v>28.300474294935562</v>
      </c>
      <c r="S7" s="36" cm="1">
        <f t="array" ref="S7">_xll.BDP(C7&amp;" Equity","LAST_PRICE")</f>
        <v>259.48</v>
      </c>
      <c r="T7" s="53" cm="1">
        <f t="array" ref="T7">_xll.BDP(B7&amp;" Equity","OPT_STRIKE_PX")</f>
        <v>260</v>
      </c>
      <c r="U7" s="40">
        <f>T7/S7-1</f>
        <v>2.0040080160319551E-3</v>
      </c>
      <c r="V7" s="37" cm="1">
        <f t="array" ref="V7">_xll.BDP($B7&amp;" Equity","ivol_mid")</f>
        <v>24.766390000000001</v>
      </c>
      <c r="W7" s="38" cm="1">
        <f t="array" ref="W7">_xll.BDP(B7&amp;" Equity","DELTA_MID_RT")</f>
        <v>0.53755307197570801</v>
      </c>
      <c r="X7" s="48">
        <f>Y7/'Master P&amp;L'!$AE$5</f>
        <v>2.1735856036371494E-3</v>
      </c>
      <c r="Y7" s="15">
        <f>IF(G7="Sell", S7*W7*-H7*O7/N7, S7*W7*H7*O7/N7)</f>
        <v>4881949.4890689859</v>
      </c>
      <c r="Z7" s="15">
        <f>_xll.BDP($B7&amp;" Equity","opt_theta")*H7*O7/N7</f>
        <v>-2650.9</v>
      </c>
      <c r="AA7" s="19">
        <f>_xll.BDP($B7&amp;" Equity","opt_theta")/I7</f>
        <v>-6.1577235772357726E-3</v>
      </c>
      <c r="AB7" s="36" t="str" cm="1">
        <f t="array" ref="AB7">_xll.BDP($C7&amp;" Equity","EXPECTED_REPORT_DT")</f>
        <v>01/05/2026</v>
      </c>
      <c r="AC7" s="15">
        <f>S7*H7*O7/N7</f>
        <v>9081800</v>
      </c>
      <c r="AD7" s="19">
        <f>AC7/'Master P&amp;L'!$AE$5</f>
        <v>4.0434809453295676E-3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8" t="s">
        <v>246</v>
      </c>
      <c r="B8" t="s">
        <v>2461</v>
      </c>
      <c r="C8" s="59" t="str" cm="1">
        <f t="array" ref="C8">_xll.BDP(B8&amp;" Equity","OPT_UNDL_TICKER")</f>
        <v>AAPL US</v>
      </c>
      <c r="D8" s="59" t="str" cm="1">
        <f t="array" ref="D8">_xll.BDP($B8&amp;" Index","mifid_Maturity_date")</f>
        <v>17/04/2026</v>
      </c>
      <c r="E8" s="59" cm="1">
        <f t="array" ref="E8">_xll.BDP($B8&amp;" Index","opt_days_expire")</f>
        <v>77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350</v>
      </c>
      <c r="I8" s="97">
        <f>IF(G8="Buy",L8,K8)</f>
        <v>4.25</v>
      </c>
      <c r="J8" s="19">
        <f>I8/S8</f>
        <v>1.6378911669492832E-2</v>
      </c>
      <c r="K8" s="36" cm="1">
        <f t="array" ref="K8">_xll.BDP($B8&amp;" Equity","bid")</f>
        <v>4.25</v>
      </c>
      <c r="L8" s="36" cm="1">
        <f t="array" ref="L8">_xll.BDP($B8&amp;" Equity","ask")</f>
        <v>4.4000000000000004</v>
      </c>
      <c r="M8" s="40">
        <f>(L8/K8-1)</f>
        <v>3.529411764705892E-2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-148750</v>
      </c>
      <c r="Q8" s="58">
        <f>P8/'Master P&amp;L'!$AD$5*10000</f>
        <v>-0.66227817240830367</v>
      </c>
      <c r="R8" s="37" cm="1">
        <f t="array" ref="R8">_xll.BDP($C8&amp;" Equity","EST_PE_NXT_YR")*(T8/S8)</f>
        <v>30.477433856084449</v>
      </c>
      <c r="S8" s="36" cm="1">
        <f t="array" ref="S8">_xll.BDP(C8&amp;" Equity","LAST_PRICE")</f>
        <v>259.48</v>
      </c>
      <c r="T8" s="53" cm="1">
        <f t="array" ref="T8">_xll.BDP(B8&amp;" Equity","OPT_STRIKE_PX")</f>
        <v>280</v>
      </c>
      <c r="U8" s="40">
        <f>T8/S8-1</f>
        <v>7.9081239401880499E-2</v>
      </c>
      <c r="V8" s="37" cm="1">
        <f t="array" ref="V8">_xll.BDP($B8&amp;" Equity","ivol_mid")</f>
        <v>23.02262</v>
      </c>
      <c r="W8" s="38" cm="1">
        <f t="array" ref="W8">_xll.BDP(B8&amp;" Equity","DELTA_MID_RT")</f>
        <v>0.27131485939025879</v>
      </c>
      <c r="X8" s="48">
        <f>Y8/'Master P&amp;L'!$AE$5</f>
        <v>-1.0970564641292826E-3</v>
      </c>
      <c r="Y8" s="15">
        <f>IF(G8="Sell", S8*W8*-H8*O8/N8, S8*W8*H8*O8/N8)</f>
        <v>-2464027.2900104527</v>
      </c>
      <c r="Z8" s="15" cm="1">
        <f t="array" ref="Z8">_xll.BDP($B8&amp;" Equity","opt_theta")*H8*O8/N8</f>
        <v>-2193.3450000000003</v>
      </c>
      <c r="AA8" s="19" cm="1">
        <f t="array" ref="AA8">_xll.BDP($B8&amp;" Equity","opt_theta")/I8</f>
        <v>-1.4745176470588236E-2</v>
      </c>
      <c r="AB8" s="36" t="str" cm="1">
        <f t="array" ref="AB8">_xll.BDP($C8&amp;" Equity","EXPECTED_REPORT_DT")</f>
        <v>01/05/2026</v>
      </c>
      <c r="AC8" s="15">
        <f>S8*H8*O8/N8</f>
        <v>9081800</v>
      </c>
      <c r="AD8" s="19">
        <f>AC8/'Master P&amp;L'!$AE$5</f>
        <v>4.0434809453295676E-3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8.0500000000000007</v>
      </c>
      <c r="J9" s="100" t="s">
        <v>249</v>
      </c>
      <c r="K9" s="101">
        <f>K8/L7</f>
        <v>0.34552845528455284</v>
      </c>
      <c r="P9" s="100" t="s">
        <v>250</v>
      </c>
      <c r="Q9" s="108">
        <f>Q7+Q8</f>
        <v>1.2544327736204339</v>
      </c>
      <c r="S9" s="100" t="s">
        <v>251</v>
      </c>
      <c r="T9" s="102">
        <f>T8-T7</f>
        <v>20</v>
      </c>
      <c r="W9" s="100" t="s">
        <v>252</v>
      </c>
      <c r="X9" s="122">
        <f>X7+X8</f>
        <v>1.0765291395078667E-3</v>
      </c>
      <c r="Y9" s="13">
        <f>Y7+Y8</f>
        <v>2417922.1990585332</v>
      </c>
      <c r="AC9" s="100" t="s">
        <v>229</v>
      </c>
      <c r="AD9" s="122">
        <f>AD7</f>
        <v>4.0434809453295676E-3</v>
      </c>
      <c r="AO9" t="s">
        <v>151</v>
      </c>
    </row>
    <row r="10" spans="1:41">
      <c r="H10" s="100" t="s">
        <v>253</v>
      </c>
      <c r="I10" s="102">
        <f>(T9-I9)/I9</f>
        <v>1.4844720496894408</v>
      </c>
      <c r="J10" s="100" t="s">
        <v>145</v>
      </c>
      <c r="K10" s="223">
        <f>AVERAGE(K7:L7)-AVERAGE(K8:L8)</f>
        <v>7.8500000000000005</v>
      </c>
      <c r="L10" s="18"/>
      <c r="P10" s="130">
        <f>P7+P8</f>
        <v>281750</v>
      </c>
      <c r="Q10" s="108"/>
      <c r="S10" s="100"/>
      <c r="T10" s="102"/>
      <c r="W10" s="100"/>
      <c r="X10" s="122"/>
      <c r="Y10" s="13">
        <f>Y9/S7</f>
        <v>9318.3374404907245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3.1023585632804065E-2</v>
      </c>
      <c r="K11" s="167">
        <f>K7-K8</f>
        <v>7.8000000000000007</v>
      </c>
      <c r="L11" s="167">
        <f>L7-L8</f>
        <v>7.9</v>
      </c>
      <c r="P11" s="40">
        <f>P10/Y9</f>
        <v>0.11652566824098189</v>
      </c>
      <c r="Q11" s="64">
        <f>Q9*I10</f>
        <v>1.8621703906539357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1.078883138252937E-3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2259</v>
      </c>
      <c r="C13" s="59" t="str" cm="1">
        <f t="array" ref="C13">_xll.BDP(B13&amp;" Equity","OPT_UNDL_TICKER")</f>
        <v>GDX US</v>
      </c>
      <c r="D13" s="59" t="str" cm="1">
        <f t="array" ref="D13">_xll.BDP($B13&amp;" Index","mifid_Maturity_date")</f>
        <v>18/09/2026</v>
      </c>
      <c r="E13" s="59" cm="1">
        <f t="array" ref="E13">_xll.BDP($B13&amp;" Index","opt_days_expire")</f>
        <v>231</v>
      </c>
      <c r="F13" s="59" t="str" cm="1">
        <f t="array" ref="F13">_xll.BDP(B13&amp;" Equity","QUOTED_CURRENCY_REALTIME")</f>
        <v>USD</v>
      </c>
      <c r="G13" s="105" t="s">
        <v>248</v>
      </c>
      <c r="H13" s="96">
        <v>75</v>
      </c>
      <c r="I13" s="97">
        <f>IF(G13="Buy",L13,K13)</f>
        <v>10</v>
      </c>
      <c r="J13" s="19">
        <f>I13/S13</f>
        <v>0.10615711252653927</v>
      </c>
      <c r="K13" s="36" cm="1">
        <f t="array" ref="K13">_xll.BDP($B13&amp;" Equity","bid")</f>
        <v>10</v>
      </c>
      <c r="L13" s="36" cm="1">
        <f t="array" ref="L13">_xll.BDP($B13&amp;" Equity","ask")</f>
        <v>11.45</v>
      </c>
      <c r="M13" s="40">
        <f>(L13/K13-1)</f>
        <v>0.14500000000000002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-75000</v>
      </c>
      <c r="Q13" s="58">
        <f>P13/'Master P&amp;L'!$AD$5*10000</f>
        <v>-0.33392176760082537</v>
      </c>
      <c r="R13" s="37" t="e" cm="1">
        <f t="array" ref="R13">_xll.BDP($C13&amp;" Equity","EST_PE_NXT_YR")*(T13/S13)</f>
        <v>#VALUE!</v>
      </c>
      <c r="S13" s="36" cm="1">
        <f t="array" ref="S13">_xll.BDP(C13&amp;" Equity","LAST_PRICE")</f>
        <v>94.2</v>
      </c>
      <c r="T13" s="53" cm="1">
        <f t="array" ref="T13">_xll.BDP(B13&amp;" Equity","OPT_STRIKE_PX")</f>
        <v>105</v>
      </c>
      <c r="U13" s="40">
        <f>T13/S13-1</f>
        <v>0.11464968152866239</v>
      </c>
      <c r="V13" s="37" cm="1">
        <f t="array" ref="V13">_xll.BDP($B13&amp;" Equity","ivol_mid")</f>
        <v>47.321510000000004</v>
      </c>
      <c r="W13" s="38" cm="1">
        <f t="array" ref="W13">_xll.BDP(B13&amp;" Equity","DELTA_MID_RT")</f>
        <v>0.48265942931175232</v>
      </c>
      <c r="X13" s="48">
        <f>Y13/'Master P&amp;L'!$AE$5</f>
        <v>-1.5182260137745681E-4</v>
      </c>
      <c r="Y13" s="15">
        <f>IF(G13="Sell", S13*W13*-H13*O13/N13, S13*W13*H13*O13/N13)</f>
        <v>-340998.88680875307</v>
      </c>
      <c r="Z13" s="15" cm="1">
        <f t="array" ref="Z13">_xll.BDP($B13&amp;" Equity","opt_theta")*H13*O13/N13</f>
        <v>-217.55999999999997</v>
      </c>
      <c r="AA13" s="19" cm="1">
        <f t="array" ref="AA13">_xll.BDP($B13&amp;" Equity","opt_theta")/I13</f>
        <v>-2.9007999999999998E-3</v>
      </c>
      <c r="AB13" s="36" t="str" cm="1">
        <f t="array" ref="AB13">_xll.BDP($C13&amp;" Equity","EXPECTED_REPORT_DT")</f>
        <v>#N/A N/A</v>
      </c>
      <c r="AC13" s="15">
        <f>S13*H13*O13/N13</f>
        <v>706500</v>
      </c>
      <c r="AD13" s="19">
        <f>AC13/'Master P&amp;L'!$AE$5</f>
        <v>3.1455430507997749E-4</v>
      </c>
      <c r="AE13" t="str">
        <f>B13  &amp; " - Buy to open " &amp;  "-" &amp; H13 &amp;"x"</f>
        <v>GDX US 09/18/26 C105 -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t="s">
        <v>2260</v>
      </c>
      <c r="C14" s="59" t="str" cm="1">
        <f t="array" ref="C14">_xll.BDP(B14&amp;" Equity","OPT_UNDL_TICKER")</f>
        <v>GDX US</v>
      </c>
      <c r="D14" s="59" t="str" cm="1">
        <f t="array" ref="D14">_xll.BDP($B14&amp;" Index","mifid_Maturity_date")</f>
        <v>18/09/2026</v>
      </c>
      <c r="E14" s="59" cm="1">
        <f t="array" ref="E14">_xll.BDP($B14&amp;" Index","opt_days_expire")</f>
        <v>231</v>
      </c>
      <c r="F14" s="59" t="str" cm="1">
        <f t="array" ref="F14">_xll.BDP(B14&amp;" Equity","QUOTED_CURRENCY_REALTIME")</f>
        <v>USD</v>
      </c>
      <c r="G14" s="105" t="s">
        <v>247</v>
      </c>
      <c r="H14" s="96">
        <f>H13</f>
        <v>75</v>
      </c>
      <c r="I14" s="97">
        <f>IF(G14="Buy",L14,K14)</f>
        <v>8.6</v>
      </c>
      <c r="J14" s="19">
        <f>I14/S14</f>
        <v>9.1295116772823773E-2</v>
      </c>
      <c r="K14" s="36" cm="1">
        <f t="array" ref="K14">_xll.BDP($B14&amp;" Equity","bid")</f>
        <v>8</v>
      </c>
      <c r="L14" s="36" cm="1">
        <f t="array" ref="L14">_xll.BDP($B14&amp;" Equity","ask")</f>
        <v>8.6</v>
      </c>
      <c r="M14" s="40">
        <f>(L14/K14-1)</f>
        <v>7.4999999999999956E-2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64500</v>
      </c>
      <c r="Q14" s="58">
        <f>P14/'Master P&amp;L'!$AD$5*10000</f>
        <v>0.2871727201367098</v>
      </c>
      <c r="R14" s="37" t="e" cm="1">
        <f t="array" ref="R14">_xll.BDP($C14&amp;" Equity","EST_PE_NXT_YR")*(T14/S14)</f>
        <v>#VALUE!</v>
      </c>
      <c r="S14" s="36" cm="1">
        <f t="array" ref="S14">_xll.BDP(C14&amp;" Equity","LAST_PRICE")</f>
        <v>94.2</v>
      </c>
      <c r="T14" s="53" cm="1">
        <f t="array" ref="T14">_xll.BDP(B14&amp;" Equity","OPT_STRIKE_PX")</f>
        <v>115</v>
      </c>
      <c r="U14" s="40">
        <f>T14/S14-1</f>
        <v>0.22080679405520165</v>
      </c>
      <c r="V14" s="37" cm="1">
        <f t="array" ref="V14">_xll.BDP($B14&amp;" Equity","ivol_mid")</f>
        <v>48.152349999999998</v>
      </c>
      <c r="W14" s="38" cm="1">
        <f t="array" ref="W14">_xll.BDP(B14&amp;" Equity","DELTA_MID_RT")</f>
        <v>0.39536288380622864</v>
      </c>
      <c r="X14" s="48">
        <f>Y14/'Master P&amp;L'!$AE$5</f>
        <v>1.2436309717008413E-4</v>
      </c>
      <c r="Y14" s="15">
        <f>IF(G14="Sell", S14*W14*-H14*O14/N14, S14*W14*H14*O14/N14)</f>
        <v>279323.87740910053</v>
      </c>
      <c r="Z14" s="15" cm="1">
        <f t="array" ref="Z14">_xll.BDP($B14&amp;" Equity","opt_theta")*H14*O14/N14</f>
        <v>-213.61500000000001</v>
      </c>
      <c r="AA14" s="19" cm="1">
        <f t="array" ref="AA14">_xll.BDP($B14&amp;" Equity","opt_theta")/I14</f>
        <v>-3.3118604651162791E-3</v>
      </c>
      <c r="AB14" s="36" t="str" cm="1">
        <f t="array" ref="AB14">_xll.BDP($C14&amp;" Equity","EXPECTED_REPORT_DT")</f>
        <v>#N/A N/A</v>
      </c>
      <c r="AC14" s="15">
        <f>S14*H14*O14/N14</f>
        <v>706500</v>
      </c>
      <c r="AD14" s="19">
        <f>AC14/'Master P&amp;L'!$AE$5</f>
        <v>3.1455430507997749E-4</v>
      </c>
      <c r="AE14" t="str">
        <f>B14  &amp; " - Buy to open " &amp;  "-" &amp; H14 &amp;"x"</f>
        <v>GDX US 09/18/26 C115 -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1.4000000000000004</v>
      </c>
      <c r="J15" s="100" t="s">
        <v>249</v>
      </c>
      <c r="K15" s="101">
        <f>K14/L13</f>
        <v>0.6986899563318778</v>
      </c>
      <c r="P15" s="100" t="s">
        <v>250</v>
      </c>
      <c r="Q15" s="108">
        <f>Q13+Q14</f>
        <v>-4.6749047464115567E-2</v>
      </c>
      <c r="S15" s="100" t="s">
        <v>251</v>
      </c>
      <c r="T15" s="102">
        <f>T14-T13</f>
        <v>10</v>
      </c>
      <c r="W15" s="100" t="s">
        <v>252</v>
      </c>
      <c r="X15" s="122">
        <f>X13+X14</f>
        <v>-2.7459504207372681E-5</v>
      </c>
      <c r="Y15" s="13">
        <f>Y13+Y14</f>
        <v>-61675.009399652539</v>
      </c>
      <c r="AC15" s="100" t="s">
        <v>229</v>
      </c>
      <c r="AD15" s="104">
        <f>AD13</f>
        <v>3.1455430507997749E-4</v>
      </c>
    </row>
    <row r="16" spans="1:41">
      <c r="H16" s="100" t="s">
        <v>253</v>
      </c>
      <c r="I16" s="102">
        <f>(T15-I15)/I15</f>
        <v>6.1428571428571415</v>
      </c>
      <c r="J16" s="100" t="s">
        <v>145</v>
      </c>
      <c r="K16" s="223">
        <f>AVERAGE(K13:L13)-AVERAGE(K14:L14)</f>
        <v>2.4249999999999989</v>
      </c>
      <c r="P16" s="130">
        <f>P13+P14</f>
        <v>-10500</v>
      </c>
      <c r="Q16" s="108"/>
      <c r="S16" s="100"/>
      <c r="T16" s="102"/>
      <c r="W16" s="108">
        <f>1/(W13-W14)</f>
        <v>11.455207009728984</v>
      </c>
      <c r="X16" s="122"/>
      <c r="Y16" s="13">
        <f>Y15/S13</f>
        <v>-654.72409129142818</v>
      </c>
      <c r="AC16" s="100"/>
      <c r="AD16" s="104"/>
    </row>
    <row r="17" spans="1:38">
      <c r="I17" s="21"/>
      <c r="J17" s="43">
        <f>J13-J14</f>
        <v>1.4861995753715496E-2</v>
      </c>
      <c r="K17" s="167">
        <f>K13-K14</f>
        <v>2</v>
      </c>
      <c r="L17" s="167">
        <f>L13-L14</f>
        <v>2.8499999999999996</v>
      </c>
      <c r="P17" s="40">
        <f>P16/Y15</f>
        <v>0.17024723793652399</v>
      </c>
      <c r="Q17" s="64">
        <f>Q15*I16</f>
        <v>-0.28717272013670986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5.4250000000000016</v>
      </c>
      <c r="AK18">
        <v>13</v>
      </c>
      <c r="AL18" s="1">
        <v>16</v>
      </c>
    </row>
    <row r="19" spans="1:38">
      <c r="A19" s="98" t="s">
        <v>246</v>
      </c>
      <c r="B19" s="73" t="s">
        <v>2227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168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33.450000000000003</v>
      </c>
      <c r="J19" s="19">
        <f>I19/S19</f>
        <v>0.10119191674733787</v>
      </c>
      <c r="K19" s="36">
        <f>_xll.BDP($B19&amp;" Equity","bid")</f>
        <v>33</v>
      </c>
      <c r="L19" s="36">
        <f>_xll.BDP($B19&amp;" Equity","ask")</f>
        <v>33.450000000000003</v>
      </c>
      <c r="M19" s="40">
        <f>(L19/K19-1)</f>
        <v>1.3636363636363669E-2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1672500</v>
      </c>
      <c r="Q19" s="58">
        <f>P19/'Master P&amp;L'!$AD$5*10000</f>
        <v>7.4464554174984059</v>
      </c>
      <c r="R19" s="37" cm="1">
        <f t="array" ref="R19">_xll.BDP($C19&amp;" Equity","EST_PE_NXT_YR")*(T19/S19)</f>
        <v>19.542316113889914</v>
      </c>
      <c r="S19" s="36" cm="1">
        <f t="array" ref="S19">_xll.BDP(C19&amp;" Equity","LAST_PRICE")</f>
        <v>330.56</v>
      </c>
      <c r="T19" s="53">
        <f>_xll.BDP(B19&amp;" Equity","OPT_STRIKE_PX")</f>
        <v>340</v>
      </c>
      <c r="U19" s="40">
        <f>T19/S19-1</f>
        <v>2.8557599225556674E-2</v>
      </c>
      <c r="V19" s="37">
        <f>_xll.BDP($B19&amp;" Equity","ivol_mid")</f>
        <v>39.571359999999999</v>
      </c>
      <c r="W19" s="38">
        <f>_xll.BDP(B19&amp;" Equity","DELTA_MID_RT")</f>
        <v>0.5324673056602478</v>
      </c>
      <c r="X19" s="48">
        <f>Y19/'Master P&amp;L'!$AE$5</f>
        <v>3.9182912828645894E-3</v>
      </c>
      <c r="Y19" s="15">
        <f>IF(G19="Sell", S19*W19*-H19*O19/N19, S19*W19*H19*O19/N19)</f>
        <v>8800619.6279525757</v>
      </c>
      <c r="Z19" s="15" cm="1">
        <f t="array" ref="Z19">_xll.BDP($B19&amp;" Equity","opt_theta")*H19*O19/N19</f>
        <v>-5128.9500000000007</v>
      </c>
      <c r="AA19" s="19" cm="1">
        <f t="array" ref="AA19">_xll.BDP($B19&amp;" Equity","opt_theta")/I19</f>
        <v>-3.0666367713004482E-3</v>
      </c>
      <c r="AB19" s="36" t="str" cm="1">
        <f t="array" ref="AB19">_xll.BDP($C19&amp;" Equity","EXPECTED_REPORT_DT")</f>
        <v>17/04/2026</v>
      </c>
      <c r="AC19" s="15">
        <f>S19*H19*O19/N19</f>
        <v>16528000</v>
      </c>
      <c r="AD19" s="19">
        <f>AC19/'Master P&amp;L'!$AE$5</f>
        <v>7.3587452998752556E-3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2228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168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19.2</v>
      </c>
      <c r="J20" s="19">
        <f>I20/S20</f>
        <v>5.8083252662149081E-2</v>
      </c>
      <c r="K20" s="36" cm="1">
        <f t="array" ref="K20">_xll.BDP($B20&amp;" Equity","bid")</f>
        <v>19.2</v>
      </c>
      <c r="L20" s="36" cm="1">
        <f t="array" ref="L20">_xll.BDP($B20&amp;" Equity","ask")</f>
        <v>20.75</v>
      </c>
      <c r="M20" s="40">
        <f>(L20/K20-1)</f>
        <v>8.0729166666666741E-2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-960000</v>
      </c>
      <c r="Q20" s="58">
        <f>P20/'Master P&amp;L'!$AD$5*10000</f>
        <v>-4.2741986252905653</v>
      </c>
      <c r="R20" s="37" cm="1">
        <f t="array" ref="R20">_xll.BDP($C20&amp;" Equity","EST_PE_NXT_YR")*(T20/S20)</f>
        <v>21.841412127288724</v>
      </c>
      <c r="S20" s="36" cm="1">
        <f t="array" ref="S20">_xll.BDP(C20&amp;" Equity","LAST_PRICE")</f>
        <v>330.56</v>
      </c>
      <c r="T20" s="53" cm="1">
        <f t="array" ref="T20">_xll.BDP(B20&amp;" Equity","OPT_STRIKE_PX")</f>
        <v>380</v>
      </c>
      <c r="U20" s="40">
        <f>T20/S20-1</f>
        <v>0.14956437560503377</v>
      </c>
      <c r="V20" s="37" cm="1">
        <f t="array" ref="V20">_xll.BDP($B20&amp;" Equity","ivol_mid")</f>
        <v>39.609430000000003</v>
      </c>
      <c r="W20" s="38" cm="1">
        <f t="array" ref="W20">_xll.BDP(B20&amp;" Equity","DELTA_MID_RT")</f>
        <v>0.37292903661727905</v>
      </c>
      <c r="X20" s="48">
        <f>Y20/'Master P&amp;L'!$AE$5</f>
        <v>-2.7442897953944092E-3</v>
      </c>
      <c r="Y20" s="15">
        <f>IF(G20="Sell", S20*W20*-H20*O20/N20, S20*W20*H20*O20/N20)</f>
        <v>-6163771.1172103882</v>
      </c>
      <c r="Z20" s="15" cm="1">
        <f t="array" ref="Z20">_xll.BDP($B20&amp;" Equity","opt_theta")*H20*O20/N20</f>
        <v>-5923.85</v>
      </c>
      <c r="AA20" s="19" cm="1">
        <f t="array" ref="AA20">_xll.BDP($B20&amp;" Equity","opt_theta")/I20</f>
        <v>-6.1706770833333336E-3</v>
      </c>
      <c r="AB20" s="36" t="str" cm="1">
        <f t="array" ref="AB20">_xll.BDP($C20&amp;" Equity","EXPECTED_REPORT_DT")</f>
        <v>17/04/2026</v>
      </c>
      <c r="AC20" s="15">
        <f>S20*H20*O20/N20</f>
        <v>16528000</v>
      </c>
      <c r="AD20" s="19">
        <f>AC20/'Master P&amp;L'!$AE$5</f>
        <v>7.3587452998752556E-3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14.250000000000004</v>
      </c>
      <c r="J21" s="100" t="s">
        <v>249</v>
      </c>
      <c r="K21" s="101">
        <f>K20/L19</f>
        <v>0.57399103139013441</v>
      </c>
      <c r="P21" s="100" t="s">
        <v>250</v>
      </c>
      <c r="Q21" s="108">
        <f>Q19+Q20</f>
        <v>3.1722567922078406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1.1740014874701801E-3</v>
      </c>
      <c r="Y21" s="13">
        <f>Y19+Y20</f>
        <v>2636848.5107421875</v>
      </c>
      <c r="AC21" s="100" t="s">
        <v>229</v>
      </c>
      <c r="AD21" s="104">
        <f>AD19</f>
        <v>7.3587452998752556E-3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1.8070175438596485</v>
      </c>
      <c r="J22" s="100" t="s">
        <v>145</v>
      </c>
      <c r="K22" s="223">
        <f>AVERAGE(K19:L19)-AVERAGE(K20:L20)</f>
        <v>13.25</v>
      </c>
      <c r="P22" s="130">
        <f>P19+P20</f>
        <v>712500</v>
      </c>
      <c r="Q22" s="108"/>
      <c r="S22" s="100"/>
      <c r="T22" s="102"/>
      <c r="W22" s="100"/>
      <c r="X22" s="122"/>
      <c r="Y22" s="3">
        <f>Y21/S19</f>
        <v>7976.9134521484375</v>
      </c>
      <c r="AC22" s="100"/>
      <c r="AD22" s="104"/>
    </row>
    <row r="23" spans="1:38">
      <c r="I23" s="64">
        <f>I20*2</f>
        <v>38.4</v>
      </c>
      <c r="K23" s="167">
        <f>K19-K20</f>
        <v>13.8</v>
      </c>
      <c r="L23" s="167">
        <f>L19-L20</f>
        <v>12.700000000000003</v>
      </c>
      <c r="P23" s="40">
        <f>P22/Y21</f>
        <v>0.27020892444043149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1.2012499999999999</v>
      </c>
      <c r="K25" s="238"/>
      <c r="L25" s="238"/>
      <c r="W25" s="50"/>
    </row>
    <row r="26" spans="1:38">
      <c r="A26" s="428">
        <f>A24-H26</f>
        <v>210</v>
      </c>
      <c r="B26" s="73" t="s">
        <v>2288</v>
      </c>
      <c r="C26" t="str" cm="1">
        <f t="array" ref="C26">_xll.BDP(B26&amp;" Equity","OPT_UNDL_TICKER")</f>
        <v>META US</v>
      </c>
      <c r="D26" t="str" cm="1">
        <f t="array" ref="D26">_xll.BDP($B26&amp;" Index","mifid_Maturity_date")</f>
        <v>17/07/2026</v>
      </c>
      <c r="E26" cm="1">
        <f t="array" ref="E26">_xll.BDP($B26&amp;" Index","opt_days_expire")</f>
        <v>168</v>
      </c>
      <c r="F26" t="str" cm="1">
        <f t="array" ref="F26">_xll.BDP(B26&amp;" Equity","QUOTED_CURRENCY_REALTIME")</f>
        <v>USD</v>
      </c>
      <c r="G26" s="105" t="s">
        <v>248</v>
      </c>
      <c r="H26" s="96">
        <v>75</v>
      </c>
      <c r="I26" s="97">
        <f>IF(G26="Buy",L26,K26)</f>
        <v>96.1</v>
      </c>
      <c r="J26" s="19">
        <f>I26/S26</f>
        <v>0.13412421493370549</v>
      </c>
      <c r="K26" s="36" cm="1">
        <f t="array" ref="K26">_xll.BDP($B26&amp;" Equity","bid")</f>
        <v>96.1</v>
      </c>
      <c r="L26" s="36" cm="1">
        <f t="array" ref="L26">_xll.BDP($B26&amp;" Equity","ask")</f>
        <v>97.2</v>
      </c>
      <c r="M26" s="40">
        <f>(L26/K26-1)</f>
        <v>1.1446409989594342E-2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-720750</v>
      </c>
      <c r="Q26" s="58">
        <f>P26/'Master P&amp;L'!$AD$5*10000</f>
        <v>-3.208988186643932</v>
      </c>
      <c r="R26" s="37" cm="1">
        <f t="array" ref="R26">_xll.BDP($C26&amp;" Equity","EST_PE_NXT_YR")*(T26/S26)</f>
        <v>17.811794853726848</v>
      </c>
      <c r="S26" s="36" cm="1">
        <f t="array" ref="S26">_xll.BDP(C26&amp;" Equity","LAST_PRICE")</f>
        <v>716.5</v>
      </c>
      <c r="T26" s="53" cm="1">
        <f t="array" ref="T26">_xll.BDP(B26&amp;" Equity","OPT_STRIKE_PX")</f>
        <v>670</v>
      </c>
      <c r="U26" s="40">
        <f>T26/S26-1</f>
        <v>-6.4898813677599421E-2</v>
      </c>
      <c r="V26" s="37" cm="1">
        <f t="array" ref="V26">_xll.BDP($B26&amp;" Equity","ivol_mid")</f>
        <v>34.899529999999999</v>
      </c>
      <c r="W26" s="38" cm="1">
        <f t="array" ref="W26">_xll.BDP(B26&amp;" Equity","DELTA_MID_RT")</f>
        <v>0.68149912357330322</v>
      </c>
      <c r="X26" s="48">
        <f>Y26/'Master P&amp;L'!$AE$5</f>
        <v>-1.6305203634078068E-3</v>
      </c>
      <c r="Y26" s="15">
        <f>IF(G26="Sell", S26*W26*-H26*O26/N26, S26*W26*H26*O26/N26)</f>
        <v>-3662205.9153020382</v>
      </c>
      <c r="Z26" s="15" cm="1">
        <f t="array" ref="Z26">_xll.BDP($B26&amp;" Equity","opt_theta")*H26*O26/N26</f>
        <v>-1723.1550000000002</v>
      </c>
      <c r="AA26" s="19" cm="1">
        <f t="array" ref="AA26">_xll.BDP($B26&amp;" Equity","opt_theta")/I26</f>
        <v>-2.3907804370447453E-3</v>
      </c>
      <c r="AB26" s="36" t="str" cm="1">
        <f t="array" ref="AB26">_xll.BDP($C26&amp;" Equity","EXPECTED_REPORT_DT")</f>
        <v>30/04/2026</v>
      </c>
      <c r="AC26" s="15">
        <f>S26*H26*O26/N26</f>
        <v>5373750</v>
      </c>
      <c r="AD26" s="19">
        <f>AC26/'Master P&amp;L'!$AE$5</f>
        <v>2.3925494648599139E-3</v>
      </c>
      <c r="AE26" t="str">
        <f>B26  &amp; " - Buy to open " &amp;  "-" &amp; H26 &amp;"x"</f>
        <v>META US 07/17/26 C670 - Buy to open -75x</v>
      </c>
    </row>
    <row r="27" spans="1:38">
      <c r="A27" s="428">
        <f>A25-H27</f>
        <v>210</v>
      </c>
      <c r="B27" s="73" t="s">
        <v>2404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168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80</v>
      </c>
      <c r="J27" s="19">
        <f>I27/S27</f>
        <v>0.11165387299371947</v>
      </c>
      <c r="K27" s="36" cm="1">
        <f t="array" ref="K27">_xll.BDP($B27&amp;" Equity","bid")</f>
        <v>77.599999999999994</v>
      </c>
      <c r="L27" s="36" cm="1">
        <f t="array" ref="L27">_xll.BDP($B27&amp;" Equity","ask")</f>
        <v>80</v>
      </c>
      <c r="M27" s="40">
        <f>(L27/K27-1)</f>
        <v>3.0927835051546504E-2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600000</v>
      </c>
      <c r="Q27" s="58">
        <f>P27/'Master P&amp;L'!$AD$5*10000</f>
        <v>2.671374140806603</v>
      </c>
      <c r="R27" s="37" cm="1">
        <f t="array" ref="R27">_xll.BDP($C27&amp;" Equity","EST_PE_NXT_YR")*(T27/S27)</f>
        <v>18.6093379068788</v>
      </c>
      <c r="S27" s="36" cm="1">
        <f t="array" ref="S27">_xll.BDP(C27&amp;" Equity","LAST_PRICE")</f>
        <v>716.5</v>
      </c>
      <c r="T27" s="53" cm="1">
        <f t="array" ref="T27">_xll.BDP(B27&amp;" Equity","OPT_STRIKE_PX")</f>
        <v>700</v>
      </c>
      <c r="U27" s="40">
        <f>T27/S27-1</f>
        <v>-2.3028611304954594E-2</v>
      </c>
      <c r="V27" s="37" cm="1">
        <f t="array" ref="V27">_xll.BDP($B27&amp;" Equity","ivol_mid")</f>
        <v>34.02355</v>
      </c>
      <c r="W27" s="38" cm="1">
        <f t="array" ref="W27">_xll.BDP(B27&amp;" Equity","DELTA_MID_RT")</f>
        <v>0.61183708906173706</v>
      </c>
      <c r="X27" s="48">
        <f>Y27/'Master P&amp;L'!$AE$5</f>
        <v>1.4638505000161065E-3</v>
      </c>
      <c r="Y27" s="15">
        <f>IF(G27="Sell", S27*W27*-H27*O27/N27, S27*W27*H27*O27/N27)</f>
        <v>3287859.5573455095</v>
      </c>
      <c r="Z27" s="15" cm="1">
        <f t="array" ref="Z27">_xll.BDP($B27&amp;" Equity","opt_theta")*H27*O27/N27</f>
        <v>-1762.4475</v>
      </c>
      <c r="AA27" s="19" cm="1">
        <f t="array" ref="AA27">_xll.BDP($B27&amp;" Equity","opt_theta")/I27</f>
        <v>-2.9374125000000001E-3</v>
      </c>
      <c r="AB27" s="36" t="str" cm="1">
        <f t="array" ref="AB27">_xll.BDP($C27&amp;" Equity","EXPECTED_REPORT_DT")</f>
        <v>30/04/2026</v>
      </c>
      <c r="AC27" s="15">
        <f>S27*H27*O27/N27</f>
        <v>5373750</v>
      </c>
      <c r="AD27" s="19">
        <f>AC27/'Master P&amp;L'!$AE$5</f>
        <v>2.3925494648599139E-3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>
        <f>I26-I27</f>
        <v>16.099999999999994</v>
      </c>
      <c r="J28" s="100" t="s">
        <v>249</v>
      </c>
      <c r="K28" s="101">
        <f>K27/L26</f>
        <v>0.79835390946502049</v>
      </c>
      <c r="P28" s="100" t="s">
        <v>250</v>
      </c>
      <c r="Q28" s="103">
        <f>Q26+Q27</f>
        <v>-0.53761404583732908</v>
      </c>
      <c r="S28" s="100" t="s">
        <v>251</v>
      </c>
      <c r="T28" s="102">
        <f>T27-T26</f>
        <v>30</v>
      </c>
      <c r="W28" s="100" t="s">
        <v>252</v>
      </c>
      <c r="X28" s="122">
        <f>X26+X27</f>
        <v>-1.666698633917003E-4</v>
      </c>
      <c r="Y28" s="13">
        <f>Y26+Y27</f>
        <v>-374346.35795652866</v>
      </c>
      <c r="AC28" s="100" t="s">
        <v>229</v>
      </c>
      <c r="AD28" s="104">
        <f>AD26</f>
        <v>2.3925494648599139E-3</v>
      </c>
    </row>
    <row r="29" spans="1:38">
      <c r="A29" s="13">
        <f>A27-A26</f>
        <v>0</v>
      </c>
      <c r="H29" s="100" t="s">
        <v>253</v>
      </c>
      <c r="I29" s="102">
        <f>(T28-I28)/I28</f>
        <v>0.86335403726708138</v>
      </c>
      <c r="J29" s="100" t="s">
        <v>145</v>
      </c>
      <c r="K29" s="109">
        <f>AVERAGE(K26:L26)-AVERAGE(K27:L27)</f>
        <v>17.850000000000009</v>
      </c>
      <c r="P29" s="130">
        <f>P26+P27</f>
        <v>-120750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2.2470341939986035E-2</v>
      </c>
      <c r="K30" s="167">
        <f>K26-K27</f>
        <v>18.5</v>
      </c>
      <c r="L30" s="167">
        <f>L26-L27</f>
        <v>17.200000000000003</v>
      </c>
      <c r="P30" s="40">
        <f>P29/Y28</f>
        <v>0.32256224064565953</v>
      </c>
      <c r="X30" s="3">
        <f>Y30/I28</f>
        <v>-32.451258312841389</v>
      </c>
      <c r="Y30" s="8">
        <f>Y28/S26</f>
        <v>-522.46525883674622</v>
      </c>
      <c r="AG30" s="167"/>
      <c r="AH30" s="167"/>
    </row>
    <row r="31" spans="1:38">
      <c r="K31" s="64">
        <f>I27*2-I26</f>
        <v>63.900000000000006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2392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7</v>
      </c>
      <c r="F33" t="str" cm="1">
        <f t="array" ref="F33">_xll.BDP(B33&amp;" Equity","QUOTED_CURRENCY_REALTIME")</f>
        <v>USD</v>
      </c>
      <c r="G33" s="105" t="s">
        <v>247</v>
      </c>
      <c r="H33" s="96">
        <v>2000</v>
      </c>
      <c r="I33" s="97">
        <f>IF(G33="Buy",L33,K33)</f>
        <v>1.68</v>
      </c>
      <c r="J33" s="19">
        <f>I33/S33</f>
        <v>8.7898289122586726E-3</v>
      </c>
      <c r="K33" s="36" cm="1">
        <f t="array" ref="K33">_xll.BDP($B33&amp;" Equity","bid")</f>
        <v>1.62</v>
      </c>
      <c r="L33" s="36" cm="1">
        <f t="array" ref="L33">_xll.BDP($B33&amp;" Equity","ask")</f>
        <v>1.68</v>
      </c>
      <c r="M33" s="40">
        <f>(L33/K33-1)</f>
        <v>3.7037037037036979E-2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336000</v>
      </c>
      <c r="Q33" s="58">
        <f>P33/'Master P&amp;L'!$AD$5*10000</f>
        <v>1.4959695188516977</v>
      </c>
      <c r="R33" s="37" cm="1">
        <f t="array" ref="R33">_xll.BDP($C33&amp;" Equity","EST_PE_NXT_YR")*(T33/S33)</f>
        <v>25.40565534790969</v>
      </c>
      <c r="S33" s="36">
        <f>_xll.BDP(C33&amp;" Equity","LAST_PRICE")</f>
        <v>191.13</v>
      </c>
      <c r="T33" s="53" cm="1">
        <f t="array" ref="T33">_xll.BDP(B33&amp;" Equity","OPT_STRIKE_PX")</f>
        <v>197.5</v>
      </c>
      <c r="U33" s="40">
        <f>T33/S33-1</f>
        <v>3.3328101292314116E-2</v>
      </c>
      <c r="V33" s="37" cm="1">
        <f t="array" ref="V33">_xll.BDP($B33&amp;" Equity","ivol_mid")</f>
        <v>35.5593</v>
      </c>
      <c r="W33" s="38" cm="1">
        <f t="array" ref="W33">_xll.BDP(B33&amp;" Equity","DELTA_MID_RT")</f>
        <v>0.27686971426010132</v>
      </c>
      <c r="X33" s="48">
        <f>Y33/'Master P&amp;L'!$AE$5</f>
        <v>4.7121355530441045E-3</v>
      </c>
      <c r="Y33" s="15">
        <f>IF(G33="Sell", S33*W33*-H33*O33/N33, S33*W33*H33*O33/N33)</f>
        <v>10583621.697306633</v>
      </c>
      <c r="Z33" s="15" cm="1">
        <f t="array" ref="Z33">_xll.BDP($B33&amp;" Equity","opt_theta")*H33*O33/N33</f>
        <v>-44649.4</v>
      </c>
      <c r="AA33" s="19" cm="1">
        <f t="array" ref="AA33">_xll.BDP($B33&amp;" Equity","opt_theta")/I33</f>
        <v>-0.13288511904761904</v>
      </c>
      <c r="AB33" s="36" t="str" cm="1">
        <f t="array" ref="AB33">_xll.BDP($C33&amp;" Equity","EXPECTED_REPORT_DT")</f>
        <v>25/02/2026</v>
      </c>
      <c r="AC33" s="15">
        <f>S33*H33*O33/N33</f>
        <v>38226000</v>
      </c>
      <c r="AD33" s="19">
        <f>AC33/'Master P&amp;L'!$AE$5</f>
        <v>1.7019324651078867E-2</v>
      </c>
      <c r="AE33" t="str">
        <f>B33  &amp; " - Buy to open " &amp;  "-" &amp; H33 &amp;"x"</f>
        <v>NVDA US 02/06/26 C197.5 - Buy to open -2000x</v>
      </c>
    </row>
    <row r="34" spans="1:38">
      <c r="A34" s="98" t="s">
        <v>246</v>
      </c>
      <c r="B34" s="73" t="s">
        <v>2393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14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2000</v>
      </c>
      <c r="I34" s="97">
        <f>IF(G34="Buy",L34,K34)</f>
        <v>1.68</v>
      </c>
      <c r="J34" s="19">
        <f>I34/S34</f>
        <v>8.7898289122586726E-3</v>
      </c>
      <c r="K34" s="36" cm="1">
        <f t="array" ref="K34">_xll.BDP($B34&amp;" Equity","bid")</f>
        <v>1.68</v>
      </c>
      <c r="L34" s="36" cm="1">
        <f t="array" ref="L34">_xll.BDP($B34&amp;" Equity","ask")</f>
        <v>1.72</v>
      </c>
      <c r="M34" s="40">
        <f>(L34/K34-1)</f>
        <v>2.3809523809523725E-2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-336000</v>
      </c>
      <c r="Q34" s="58">
        <f>P34/'Master P&amp;L'!$AD$5*10000</f>
        <v>-1.4959695188516977</v>
      </c>
      <c r="R34" s="37" cm="1">
        <f t="array" ref="R34">_xll.BDP($C34&amp;" Equity","EST_PE_NXT_YR")*(T34/S34)</f>
        <v>26.048836495958035</v>
      </c>
      <c r="S34" s="36">
        <f>_xll.BDP(C34&amp;" Equity","LAST_PRICE")</f>
        <v>191.13</v>
      </c>
      <c r="T34" s="53" cm="1">
        <f t="array" ref="T34">_xll.BDP(B34&amp;" Equity","OPT_STRIKE_PX")</f>
        <v>202.5</v>
      </c>
      <c r="U34" s="40">
        <f>T34/S34-1</f>
        <v>5.9488306388322032E-2</v>
      </c>
      <c r="V34" s="37" cm="1">
        <f t="array" ref="V34">_xll.BDP($B34&amp;" Equity","ivol_mid")</f>
        <v>35.12876</v>
      </c>
      <c r="W34" s="38" cm="1">
        <f t="array" ref="W34">_xll.BDP(B34&amp;" Equity","DELTA_MID_RT")</f>
        <v>0.22439931333065033</v>
      </c>
      <c r="X34" s="48">
        <f>Y34/'Master P&amp;L'!$AE$5</f>
        <v>-3.8191247650535077E-3</v>
      </c>
      <c r="Y34" s="15">
        <f>IF(G34="Sell", S34*W34*-H34*O34/N34, S34*W34*H34*O34/N34)</f>
        <v>-8577888.1513774395</v>
      </c>
      <c r="Z34" s="15" cm="1">
        <f t="array" ref="Z34">_xll.BDP($B34&amp;" Equity","opt_theta")*H34*O34/N34</f>
        <v>-27294.2</v>
      </c>
      <c r="AA34" s="19" cm="1">
        <f t="array" ref="AA34">_xll.BDP($B34&amp;" Equity","opt_theta")/I34</f>
        <v>-8.1232738095238108E-2</v>
      </c>
      <c r="AB34" s="36" t="str" cm="1">
        <f t="array" ref="AB34">_xll.BDP($C34&amp;" Equity","EXPECTED_REPORT_DT")</f>
        <v>25/02/2026</v>
      </c>
      <c r="AC34" s="15">
        <f>S34*H34*O34/N34</f>
        <v>38226000</v>
      </c>
      <c r="AD34" s="19">
        <f>AC34/'Master P&amp;L'!$AE$5</f>
        <v>1.7019324651078867E-2</v>
      </c>
      <c r="AE34" t="str">
        <f>B34  &amp; " - Buy to open " &amp;  "-" &amp; H34 &amp;"x"</f>
        <v>NVDA US 02/13/26 C202.5 - Buy to open -2000x</v>
      </c>
    </row>
    <row r="35" spans="1:38">
      <c r="H35" s="100" t="s">
        <v>116</v>
      </c>
      <c r="I35" s="222">
        <f>I33-I34</f>
        <v>0</v>
      </c>
      <c r="J35" s="100" t="s">
        <v>249</v>
      </c>
      <c r="K35" s="101">
        <f>K34/L33</f>
        <v>1</v>
      </c>
      <c r="P35" s="100" t="s">
        <v>250</v>
      </c>
      <c r="Q35" s="103">
        <f>Q33+Q34</f>
        <v>0</v>
      </c>
      <c r="S35" s="100" t="s">
        <v>251</v>
      </c>
      <c r="T35" s="102">
        <f>T34-T33</f>
        <v>5</v>
      </c>
      <c r="W35" s="100" t="s">
        <v>252</v>
      </c>
      <c r="X35" s="122">
        <f>X33+X34</f>
        <v>8.9301078799059689E-4</v>
      </c>
      <c r="Y35" s="13">
        <f>Y33+Y34</f>
        <v>2005733.5459291935</v>
      </c>
      <c r="AC35" s="100" t="s">
        <v>229</v>
      </c>
      <c r="AD35" s="104">
        <f>AD33</f>
        <v>1.7019324651078867E-2</v>
      </c>
    </row>
    <row r="36" spans="1:38">
      <c r="H36" s="100" t="s">
        <v>253</v>
      </c>
      <c r="I36" s="102" t="e">
        <f>(T35-I35)/I35</f>
        <v>#DIV/0!</v>
      </c>
      <c r="J36" s="100" t="s">
        <v>145</v>
      </c>
      <c r="K36" s="109">
        <f>AVERAGE(K33:L33)-AVERAGE(K34:L34)</f>
        <v>-5.0000000000000044E-2</v>
      </c>
      <c r="P36" s="130">
        <f>P33+P34</f>
        <v>0</v>
      </c>
      <c r="Q36" s="108"/>
      <c r="S36" s="100"/>
      <c r="T36" s="102"/>
      <c r="W36" s="100"/>
      <c r="X36" s="122"/>
      <c r="Y36" s="13">
        <f>Y35/S33</f>
        <v>10494.080185890198</v>
      </c>
      <c r="AC36" s="100"/>
      <c r="AD36" s="104"/>
    </row>
    <row r="37" spans="1:38">
      <c r="I37" s="21">
        <f>I35/S33</f>
        <v>0</v>
      </c>
      <c r="K37" s="64">
        <f>(2*I33)-(I34*3)</f>
        <v>-1.6800000000000002</v>
      </c>
      <c r="P37" s="267" t="e">
        <f>P36/I35/100</f>
        <v>#DIV/0!</v>
      </c>
      <c r="W37" s="50">
        <f>W33-W34</f>
        <v>5.2470400929450989E-2</v>
      </c>
    </row>
    <row r="38" spans="1:38">
      <c r="H38">
        <v>1</v>
      </c>
      <c r="J38" s="43">
        <f>J39-J40</f>
        <v>1.0673363679171245E-2</v>
      </c>
      <c r="P38" s="13"/>
    </row>
    <row r="39" spans="1:38">
      <c r="A39" s="281">
        <f>S39-T39</f>
        <v>-3.8700000000000045</v>
      </c>
      <c r="B39" s="73" t="s">
        <v>2447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7</v>
      </c>
      <c r="F39" t="str" cm="1">
        <f t="array" ref="F39">_xll.BDP(B39&amp;" Equity","QUOTED_CURRENCY_REALTIME")</f>
        <v>USD</v>
      </c>
      <c r="G39" s="105" t="s">
        <v>247</v>
      </c>
      <c r="H39" s="96">
        <v>50</v>
      </c>
      <c r="I39" s="224">
        <f>IF(G39="Buy",L39,K39)</f>
        <v>2.6</v>
      </c>
      <c r="J39" s="19">
        <f>I39/S39</f>
        <v>1.3603306649924136E-2</v>
      </c>
      <c r="K39" s="36" cm="1">
        <f t="array" ref="K39">_xll.BDP($B39&amp;" Equity","bid")</f>
        <v>2.5</v>
      </c>
      <c r="L39" s="36" cm="1">
        <f t="array" ref="L39">_xll.BDP($B39&amp;" Equity","ask")</f>
        <v>2.6</v>
      </c>
      <c r="M39" s="40">
        <f>(L39/K39-1)</f>
        <v>4.0000000000000036E-2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13000</v>
      </c>
      <c r="Q39" s="58">
        <f>P39/'Master P&amp;L'!$AD$5*10000</f>
        <v>5.7879773050809734E-2</v>
      </c>
      <c r="R39" s="37" cm="1">
        <f t="array" ref="R39">_xll.BDP($C39&amp;" Equity","EST_PE_NXT_YR")*(T39/S39)</f>
        <v>25.084064773885519</v>
      </c>
      <c r="S39" s="36" cm="1">
        <f t="array" ref="S39">_xll.BDP(C39&amp;" Equity","LAST_PRICE")</f>
        <v>191.13</v>
      </c>
      <c r="T39" s="53" cm="1">
        <f t="array" ref="T39">_xll.BDP(B39&amp;" Equity","OPT_STRIKE_PX")</f>
        <v>195</v>
      </c>
      <c r="U39" s="40">
        <f>T39/S39-1</f>
        <v>2.0247998744310269E-2</v>
      </c>
      <c r="V39" s="37" cm="1">
        <f t="array" ref="V39">_xll.BDP($B39&amp;" Equity","ivol_mid")</f>
        <v>37.060549999999999</v>
      </c>
      <c r="W39" s="38" cm="1">
        <f t="array" ref="W39">_xll.BDP(B39&amp;" Equity","DELTA_MID_RT")</f>
        <v>0.37012156844139099</v>
      </c>
      <c r="X39" s="48">
        <f>Y39/'Master P&amp;L'!$AE$5</f>
        <v>1.5748047834176346E-4</v>
      </c>
      <c r="Y39" s="15">
        <f>IF(G39="Sell", S39*W39*-H39*O39/N39, S39*W39*H39*O39/N39)</f>
        <v>353706.67688101524</v>
      </c>
      <c r="Z39" s="15" cm="1">
        <f t="array" ref="Z39">_xll.BDP($B39&amp;" Equity","opt_theta")*H39*O39/N39</f>
        <v>-1329.1900000000003</v>
      </c>
      <c r="AA39" s="19" cm="1">
        <f t="array" ref="AA39">_xll.BDP($B39&amp;" Equity","opt_theta")/I39</f>
        <v>-0.10224538461538461</v>
      </c>
      <c r="AB39" s="36" t="str" cm="1">
        <f t="array" ref="AB39">_xll.BDP($C39&amp;" Equity","EXPECTED_REPORT_DT")</f>
        <v>25/02/2026</v>
      </c>
      <c r="AC39" s="15">
        <f>S39*H39*O39/N39</f>
        <v>955650</v>
      </c>
      <c r="AD39" s="19">
        <f>AC39/'Master P&amp;L'!$AE$5</f>
        <v>4.2548311627697166E-4</v>
      </c>
      <c r="AE39" t="str">
        <f>B39  &amp; " - Buy to open " &amp;  "-" &amp; H39 &amp;"x"</f>
        <v>NVDA US 02/06/26 C195 - Buy to open -50x</v>
      </c>
    </row>
    <row r="40" spans="1:38">
      <c r="A40" s="281">
        <f>S40-T40</f>
        <v>-18.870000000000005</v>
      </c>
      <c r="B40" s="73" t="s">
        <v>2391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14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50</v>
      </c>
      <c r="I40" s="224">
        <f>IF(G40="Buy",L40,K40)</f>
        <v>0.56000000000000005</v>
      </c>
      <c r="J40" s="19">
        <f>I40/S40</f>
        <v>2.9299429707528909E-3</v>
      </c>
      <c r="K40" s="36" cm="1">
        <f t="array" ref="K40">_xll.BDP($B40&amp;" Equity","bid")</f>
        <v>0.56000000000000005</v>
      </c>
      <c r="L40" s="36" cm="1">
        <f t="array" ref="L40">_xll.BDP($B40&amp;" Equity","ask")</f>
        <v>0.57999999999999996</v>
      </c>
      <c r="M40" s="40">
        <f>(L40/K40-1)</f>
        <v>3.5714285714285587E-2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-2800.0000000000005</v>
      </c>
      <c r="Q40" s="58">
        <f>P40/'Master P&amp;L'!$AD$5*10000</f>
        <v>-1.2466412657097484E-2</v>
      </c>
      <c r="R40" s="37" cm="1">
        <f t="array" ref="R40">_xll.BDP($C40&amp;" Equity","EST_PE_NXT_YR")*(T40/S40)</f>
        <v>27.013608218030555</v>
      </c>
      <c r="S40" s="36" cm="1">
        <f t="array" ref="S40">_xll.BDP(C40&amp;" Equity","LAST_PRICE")</f>
        <v>191.13</v>
      </c>
      <c r="T40" s="53" cm="1">
        <f t="array" ref="T40">_xll.BDP(B40&amp;" Equity","OPT_STRIKE_PX")</f>
        <v>210</v>
      </c>
      <c r="U40" s="40">
        <f>T40/S40-1</f>
        <v>9.8728614032334017E-2</v>
      </c>
      <c r="V40" s="37" cm="1">
        <f t="array" ref="V40">_xll.BDP($B40&amp;" Equity","ivol_mid")</f>
        <v>34.059899999999999</v>
      </c>
      <c r="W40" s="38" cm="1">
        <f t="array" ref="W40">_xll.BDP(B40&amp;" Equity","DELTA_MID_RT")</f>
        <v>9.4968192279338837E-2</v>
      </c>
      <c r="X40" s="48">
        <f>Y40/'Master P&amp;L'!$AE$5</f>
        <v>-4.0407362398203726E-5</v>
      </c>
      <c r="Y40" s="15">
        <f>IF(G40="Sell", S40*W40*-H40*O40/N40, S40*W40*H40*O40/N40)</f>
        <v>-90756.352951750145</v>
      </c>
      <c r="Z40" s="15" cm="1">
        <f t="array" ref="Z40">_xll.BDP($B40&amp;" Equity","opt_theta")*H40*O40/N40</f>
        <v>-364.17500000000001</v>
      </c>
      <c r="AA40" s="19" cm="1">
        <f t="array" ref="AA40">_xll.BDP($B40&amp;" Equity","opt_theta")/I40</f>
        <v>-0.13006249999999997</v>
      </c>
      <c r="AB40" s="36" t="str" cm="1">
        <f t="array" ref="AB40">_xll.BDP($C40&amp;" Equity","EXPECTED_REPORT_DT")</f>
        <v>25/02/2026</v>
      </c>
      <c r="AC40" s="15">
        <f>S40*H40*O40/N40</f>
        <v>955650</v>
      </c>
      <c r="AD40" s="19">
        <f>AC40/'Master P&amp;L'!$AE$5</f>
        <v>4.2548311627697166E-4</v>
      </c>
      <c r="AE40" t="str">
        <f>B40  &amp; " - Buy to open " &amp;  "-" &amp; H40 &amp;"x"</f>
        <v>NVDA US 02/13/26 C210 - Buy to open -50x</v>
      </c>
    </row>
    <row r="41" spans="1:38">
      <c r="H41" s="100" t="s">
        <v>116</v>
      </c>
      <c r="I41" s="222">
        <f>I39-I40</f>
        <v>2.04</v>
      </c>
      <c r="J41" s="100" t="s">
        <v>249</v>
      </c>
      <c r="K41" s="101">
        <f>K40/L39</f>
        <v>0.2153846153846154</v>
      </c>
      <c r="P41" s="100" t="s">
        <v>250</v>
      </c>
      <c r="Q41" s="108">
        <f>Q39+Q40</f>
        <v>4.541336039371225E-2</v>
      </c>
      <c r="S41" s="100" t="s">
        <v>251</v>
      </c>
      <c r="T41" s="102">
        <f>T40-T39</f>
        <v>15</v>
      </c>
      <c r="W41" s="100" t="s">
        <v>252</v>
      </c>
      <c r="X41" s="122">
        <f>X39+X40</f>
        <v>1.1707311594355973E-4</v>
      </c>
      <c r="Y41" s="13">
        <f>Y39+Y40</f>
        <v>262950.32392926508</v>
      </c>
      <c r="AC41" s="100" t="s">
        <v>229</v>
      </c>
      <c r="AD41" s="122">
        <f>AD39</f>
        <v>4.2548311627697166E-4</v>
      </c>
    </row>
    <row r="42" spans="1:38">
      <c r="B42" s="73"/>
      <c r="H42" s="100" t="s">
        <v>253</v>
      </c>
      <c r="I42" s="102">
        <f>(T41-K42)/I41</f>
        <v>6.3823529411764701</v>
      </c>
      <c r="J42" s="100" t="s">
        <v>145</v>
      </c>
      <c r="K42" s="223">
        <f>AVERAGE(K39:L39)-AVERAGE(K40:L40)</f>
        <v>1.9799999999999998</v>
      </c>
      <c r="P42" s="130">
        <f>P39+P40</f>
        <v>10200</v>
      </c>
      <c r="Q42" s="108"/>
      <c r="S42" s="100"/>
      <c r="T42" s="102"/>
      <c r="W42" s="100"/>
      <c r="X42" s="122"/>
      <c r="Y42" s="13">
        <f>Y41/S39</f>
        <v>1375.7668808102605</v>
      </c>
      <c r="AC42" s="100"/>
      <c r="AD42" s="104"/>
    </row>
    <row r="43" spans="1:38">
      <c r="I43" s="278"/>
      <c r="K43" s="278">
        <f>K36-K42</f>
        <v>-2.0299999999999998</v>
      </c>
      <c r="L43" s="278"/>
      <c r="P43" s="5">
        <f>P42/Y41</f>
        <v>3.879059682293394E-2</v>
      </c>
      <c r="W43" s="50">
        <f>W39-W40</f>
        <v>0.27515337616205215</v>
      </c>
      <c r="Y43" s="13">
        <f>Y42+Y36</f>
        <v>11869.847066700459</v>
      </c>
    </row>
    <row r="44" spans="1:38">
      <c r="K44" s="338">
        <f>K36/K42</f>
        <v>-2.5252525252525276E-2</v>
      </c>
      <c r="L44" s="278">
        <f>K36-(K42*2)</f>
        <v>-4.01</v>
      </c>
      <c r="P44" s="13">
        <f>P36+P42</f>
        <v>10200</v>
      </c>
    </row>
    <row r="45" spans="1:38" s="59" customFormat="1">
      <c r="O45" s="163"/>
      <c r="X45" s="127"/>
      <c r="AL45" s="14"/>
    </row>
    <row r="46" spans="1:38">
      <c r="K46" s="64">
        <f>K49*2+K50</f>
        <v>7.4</v>
      </c>
      <c r="L46" s="64">
        <f>L49*2+L50</f>
        <v>7.92</v>
      </c>
    </row>
    <row r="47" spans="1:38">
      <c r="A47" s="99" t="s">
        <v>255</v>
      </c>
      <c r="B47" s="99"/>
      <c r="K47" s="64"/>
      <c r="L47" s="64"/>
      <c r="P47" s="3">
        <f>P49+P50</f>
        <v>31500</v>
      </c>
      <c r="Q47" s="58"/>
    </row>
    <row r="48" spans="1:38">
      <c r="H48">
        <v>1</v>
      </c>
      <c r="I48" s="64">
        <f>I49-I50</f>
        <v>2.0999999999999996</v>
      </c>
    </row>
    <row r="49" spans="1:36">
      <c r="A49" s="281">
        <v>4.3</v>
      </c>
      <c r="B49" s="59" t="s">
        <v>2449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7</v>
      </c>
      <c r="F49" t="str" cm="1">
        <f t="array" ref="F49">_xll.BDP(B49&amp;" Equity","QUOTED_CURRENCY_REALTIME")</f>
        <v>USD</v>
      </c>
      <c r="G49" s="105" t="s">
        <v>247</v>
      </c>
      <c r="H49" s="96">
        <v>150</v>
      </c>
      <c r="I49" s="97">
        <f>IF(G49="Buy",L49,K49)</f>
        <v>3.3</v>
      </c>
      <c r="J49" s="19">
        <f>I49/S49</f>
        <v>2.8836071303739951E-2</v>
      </c>
      <c r="K49" s="36" cm="1">
        <f t="array" ref="K49">_xll.BDP($B49&amp;" Equity","bid")</f>
        <v>3.1</v>
      </c>
      <c r="L49" s="36" cm="1">
        <f t="array" ref="L49">_xll.BDP($B49&amp;" Equity","ask")</f>
        <v>3.3</v>
      </c>
      <c r="M49" s="40">
        <f>(L49/K49-1)</f>
        <v>6.4516129032258007E-2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49500</v>
      </c>
      <c r="Q49" s="58">
        <f>P49/'Master P&amp;L'!$AD$5*10000</f>
        <v>0.22038836661654476</v>
      </c>
      <c r="R49" s="37" cm="1">
        <f t="array" ref="R49">_xll.BDP($C49&amp;" Equity","EST_PE_NXT_YR")*(T49/S49)</f>
        <v>9.9376959571326413</v>
      </c>
      <c r="S49" s="36" cm="1">
        <f t="array" ref="S49">_xll.BDP(C49&amp;" Equity","LAST_PRICE")</f>
        <v>114.44</v>
      </c>
      <c r="T49" s="53" cm="1">
        <f t="array" ref="T49">_xll.BDP(B49&amp;" Equity","OPT_STRIKE_PX")</f>
        <v>115</v>
      </c>
      <c r="U49" s="40">
        <f>T49/S49-1</f>
        <v>4.8933939182105313E-3</v>
      </c>
      <c r="V49" s="37" cm="1">
        <f t="array" ref="V49">_xll.BDP($B49&amp;" Equity","ivol_mid")</f>
        <v>46.388489999999997</v>
      </c>
      <c r="W49" s="38" cm="1">
        <f t="array" ref="W49">_xll.BDP(B49&amp;" Equity","DELTA_MID_RT")</f>
        <v>-0.51285803318023682</v>
      </c>
      <c r="X49" s="357">
        <f>Y49/'Master P&amp;L'!$AE$5</f>
        <v>-3.9196721026316339E-4</v>
      </c>
      <c r="Y49" s="15">
        <f>IF(G49="Sell", S49*W49*-H49*O49/N49, S49*W49*H49*O49/N49)</f>
        <v>-880372.09975719452</v>
      </c>
      <c r="Z49" s="15" cm="1">
        <f t="array" ref="Z49">_xll.BDP($B49&amp;" Equity","opt_theta")*H49*O49/N49</f>
        <v>-3209.5650000000001</v>
      </c>
      <c r="AA49" s="19" cm="1">
        <f t="array" ref="AA49">_xll.BDP($B49&amp;" Equity","opt_theta")/I49</f>
        <v>-6.4839696969696978E-2</v>
      </c>
      <c r="AB49" s="36" t="str" cm="1">
        <f t="array" ref="AB49">_xll.BDP($C49&amp;" Equity","EXPECTED_REPORT_DT")</f>
        <v>26/02/2026</v>
      </c>
      <c r="AC49" s="15">
        <f>S49*H49*O49/N49</f>
        <v>1716600</v>
      </c>
      <c r="AD49" s="48">
        <f>AC49/'Master P&amp;L'!$AE$5</f>
        <v>7.6428014168476905E-4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81">
        <v>2.0499999999999998</v>
      </c>
      <c r="B50" s="59" t="s">
        <v>2448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7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150</v>
      </c>
      <c r="I50" s="97">
        <f>IF(G50="Buy",L50,K50)</f>
        <v>1.2</v>
      </c>
      <c r="J50" s="19">
        <f>I50/S50</f>
        <v>1.0485844110450891E-2</v>
      </c>
      <c r="K50" s="36" cm="1">
        <f t="array" ref="K50">_xll.BDP($B50&amp;" Equity","bid")</f>
        <v>1.2</v>
      </c>
      <c r="L50" s="36" cm="1">
        <f t="array" ref="L50">_xll.BDP($B50&amp;" Equity","ask")</f>
        <v>1.32</v>
      </c>
      <c r="M50" s="40">
        <f>(L50/K50-1)</f>
        <v>0.10000000000000009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-18000</v>
      </c>
      <c r="Q50" s="58">
        <f>P50/'Master P&amp;L'!$AD$5*10000</f>
        <v>-8.0141224224198088E-2</v>
      </c>
      <c r="R50" s="37" cm="1">
        <f t="array" ref="R50">_xll.BDP($C50&amp;" Equity","EST_PE_NXT_YR")*(T50/S50)</f>
        <v>9.5056222198660034</v>
      </c>
      <c r="S50" s="36" cm="1">
        <f t="array" ref="S50">_xll.BDP(C50&amp;" Equity","LAST_PRICE")</f>
        <v>114.44</v>
      </c>
      <c r="T50" s="53" cm="1">
        <f t="array" ref="T50">_xll.BDP(B50&amp;" Equity","OPT_STRIKE_PX")</f>
        <v>110</v>
      </c>
      <c r="U50" s="40">
        <f>T50/S50-1</f>
        <v>-3.8797623208668308E-2</v>
      </c>
      <c r="V50" s="37" cm="1">
        <f t="array" ref="V50">_xll.BDP(B50&amp;" Equity","ivol_mid")</f>
        <v>47.890509999999999</v>
      </c>
      <c r="W50" s="38" cm="1">
        <f t="array" ref="W50">_xll.BDP(B50&amp;" Equity","DELTA_MID_RT")</f>
        <v>-0.26245984435081482</v>
      </c>
      <c r="X50" s="357">
        <f>Y50/'Master P&amp;L'!$AE$5</f>
        <v>2.005928470270032E-4</v>
      </c>
      <c r="Y50" s="15">
        <f>IF(G50="Sell", S50*W50*-H50*O50/N50, S50*W50*H50*O50/N50)</f>
        <v>450538.56881260872</v>
      </c>
      <c r="Z50" s="15" cm="1">
        <f t="array" ref="Z50">_xll.BDP($B50&amp;" Equity","opt_theta")*H50*O50/N50</f>
        <v>-2613.4349999999999</v>
      </c>
      <c r="AA50" s="19" cm="1">
        <f t="array" ref="AA50">_xll.BDP($B50&amp;" Equity","opt_theta")/I50</f>
        <v>-0.14519083333333332</v>
      </c>
      <c r="AB50" s="36" t="str" cm="1">
        <f t="array" ref="AB50">_xll.BDP($C50&amp;" Equity","EXPECTED_REPORT_DT")</f>
        <v>26/02/2026</v>
      </c>
      <c r="AC50" s="15">
        <f>S50*H50*O50/N50</f>
        <v>1716600</v>
      </c>
      <c r="AD50" s="19">
        <f>AC50/'Master P&amp;L'!$AE$5</f>
        <v>7.6428014168476905E-4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0.36363636363636365</v>
      </c>
      <c r="L51" s="64"/>
      <c r="P51" s="100" t="s">
        <v>250</v>
      </c>
      <c r="Q51" s="108">
        <f>Q49+Q50</f>
        <v>0.14024714239234667</v>
      </c>
      <c r="S51" s="100" t="s">
        <v>251</v>
      </c>
      <c r="T51" s="102">
        <f>T49-T50</f>
        <v>5</v>
      </c>
      <c r="W51" s="100" t="s">
        <v>252</v>
      </c>
      <c r="X51" s="416">
        <f>X49+X50</f>
        <v>-1.9137436323616019E-4</v>
      </c>
      <c r="Y51" s="13">
        <f>Y49+Y50</f>
        <v>-429833.5309445858</v>
      </c>
      <c r="AC51" s="100" t="s">
        <v>229</v>
      </c>
      <c r="AD51" s="122">
        <f>AD49</f>
        <v>7.6428014168476905E-4</v>
      </c>
    </row>
    <row r="52" spans="1:36">
      <c r="A52" s="276"/>
      <c r="H52" s="100" t="s">
        <v>253</v>
      </c>
      <c r="I52" s="102">
        <f>(T51-I51)/I51</f>
        <v>1.7777777777777779</v>
      </c>
      <c r="J52" s="100" t="s">
        <v>145</v>
      </c>
      <c r="K52" s="109">
        <f>AVERAGE(K49:L49)-AVERAGE(K50:L50)</f>
        <v>1.9400000000000002</v>
      </c>
      <c r="L52" s="64"/>
      <c r="P52" s="100"/>
      <c r="Q52" s="108"/>
      <c r="S52" s="100"/>
      <c r="T52" s="102"/>
      <c r="W52" s="100"/>
      <c r="X52" s="122"/>
      <c r="Z52" s="3">
        <f>Y51/S49</f>
        <v>-3755.97283244133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9.3075204765450485E-5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24.616232449794278</v>
      </c>
      <c r="S55" s="36" cm="1">
        <f t="array" ref="S55">_xll.BDP(C55&amp;" Equity","LAST_PRICE")</f>
        <v>322.32</v>
      </c>
      <c r="T55" s="53" cm="1">
        <f t="array" ref="T55">_xll.BDP(B55&amp;" Equity","OPT_STRIKE_PX")</f>
        <v>290</v>
      </c>
      <c r="U55" s="40">
        <f>T55/S55-1</f>
        <v>-0.10027302060064536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-6.3228840336214791E-6</v>
      </c>
      <c r="Y55" s="15">
        <f>IF(G55="Sell", S55*W55*-H55*O55/N55, S55*W55*H55*O55/N55)</f>
        <v>-14201.419270411134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3223200</v>
      </c>
      <c r="AD55" s="48">
        <f>AC55/'Master P&amp;L'!$AE$5</f>
        <v>1.435062188441307E-3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23.767396848077237</v>
      </c>
      <c r="S56" s="36" cm="1">
        <f t="array" ref="S56">_xll.BDP(C56&amp;" Equity","LAST_PRICE")</f>
        <v>322.32</v>
      </c>
      <c r="T56" s="53" cm="1">
        <f t="array" ref="T56">_xll.BDP(B56&amp;" Equity","OPT_STRIKE_PX")</f>
        <v>280</v>
      </c>
      <c r="U56" s="40">
        <f>T56/S56-1</f>
        <v>-0.13129808885579541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3.9488606545388594E-5</v>
      </c>
      <c r="Y56" s="15">
        <f>IF(G56="Sell", S56*W56*-H56*O56/N56, S56*W56*H56*O56/N56)</f>
        <v>88692.795087397113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3223200</v>
      </c>
      <c r="AD56" s="19">
        <f>AC56/'Master P&amp;L'!$AE$5</f>
        <v>1.435062188441307E-3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3.3165722511767115E-5</v>
      </c>
      <c r="Y57" s="13"/>
      <c r="AC57" s="100" t="s">
        <v>229</v>
      </c>
      <c r="AD57" s="122">
        <f>AD55</f>
        <v>1.435062188441307E-3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74491.375816985979</v>
      </c>
      <c r="Z58" s="3"/>
      <c r="AC58" s="100"/>
      <c r="AD58" s="104"/>
    </row>
    <row r="59" spans="1:36">
      <c r="K59" s="64">
        <f>K58-K52</f>
        <v>-4.03</v>
      </c>
      <c r="Y59" s="64">
        <f>Y58/S55</f>
        <v>231.11000191420322</v>
      </c>
    </row>
    <row r="60" spans="1:36">
      <c r="I60" s="64" t="e">
        <f>I51-I57</f>
        <v>#VALUE!</v>
      </c>
      <c r="K60" s="64">
        <f>K52-K58</f>
        <v>4.03</v>
      </c>
      <c r="Y60" s="64"/>
    </row>
    <row r="61" spans="1:36">
      <c r="H61">
        <v>1</v>
      </c>
      <c r="I61" s="64"/>
      <c r="L61" s="64">
        <f>AVERAGE(K62:L62)</f>
        <v>7.375</v>
      </c>
      <c r="T61" s="64">
        <f>T62-S62</f>
        <v>1.0799999999999983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49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7.5</v>
      </c>
      <c r="J62" s="19">
        <f>I62/S62</f>
        <v>9.5032944754181448E-2</v>
      </c>
      <c r="K62" s="36" cm="1">
        <f t="array" ref="K62">_xll.BDP($B62&amp;" Equity","bid")</f>
        <v>7.25</v>
      </c>
      <c r="L62" s="36" cm="1">
        <f t="array" ref="L62">_xll.BDP($B62&amp;" Equity","ask")</f>
        <v>7.5</v>
      </c>
      <c r="M62" s="40">
        <f>(L62/K62-1)</f>
        <v>3.4482758620689724E-2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112500</v>
      </c>
      <c r="Q62" s="58">
        <f>P62/'Master P&amp;L'!$AD$5*10000</f>
        <v>0.500882651401238</v>
      </c>
      <c r="R62" s="37" cm="1">
        <f t="array" ref="R62">_xll.BDP($C62&amp;" Equity","EST_PE_NXT_YR")*(T62/S62)</f>
        <v>22.141827619288971</v>
      </c>
      <c r="S62" s="36" cm="1">
        <f t="array" ref="S62">_xll.BDP(C62&amp;" Equity","LAST_PRICE")</f>
        <v>78.92</v>
      </c>
      <c r="T62" s="53" cm="1">
        <f t="array" ref="T62">_xll.BDP(B62&amp;" Equity","OPT_STRIKE_PX")</f>
        <v>80</v>
      </c>
      <c r="U62" s="40">
        <f>T62/S62-1</f>
        <v>1.3684744044602182E-2</v>
      </c>
      <c r="V62" s="37" cm="1">
        <f t="array" ref="V62">_xll.BDP($B62&amp;" Equity","ivol_mid")</f>
        <v>60.808819999999997</v>
      </c>
      <c r="W62" s="38" cm="1">
        <f t="array" ref="W62">_xll.BDP(B62&amp;" Equity","DELTA_MID_RT")</f>
        <v>-0.47396191954612732</v>
      </c>
      <c r="X62" s="48">
        <f>Y62/'Master P&amp;L'!$AE$5</f>
        <v>-2.4980737315838982E-4</v>
      </c>
      <c r="Y62" s="15">
        <f>IF(G62="Sell", S62*W62*-H62*O62/N62, S62*W62*H62*O62/N62)</f>
        <v>-561076.12035870552</v>
      </c>
      <c r="Z62" s="15" cm="1">
        <f t="array" ref="Z62">_xll.BDP($B62&amp;" Equity","opt_theta")*H62*O62/N62</f>
        <v>-1094.25</v>
      </c>
      <c r="AA62" s="19" cm="1">
        <f t="array" ref="AA62">_xll.BDP($B62&amp;" Equity","opt_theta")/I62</f>
        <v>-9.7266666666666664E-3</v>
      </c>
      <c r="AB62" s="36" t="str" cm="1">
        <f t="array" ref="AB62">_xll.BDP($C62&amp;" Equity","EXPECTED_REPORT_DT")</f>
        <v>05/03/2026</v>
      </c>
      <c r="AC62" s="15">
        <f>S62*H62*O62/N62</f>
        <v>1183800</v>
      </c>
      <c r="AD62" s="48">
        <f>AC62/'Master P&amp;L'!$AE$5</f>
        <v>5.2706211798114278E-4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2271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49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2.98</v>
      </c>
      <c r="J63" s="19">
        <f>I63/S63</f>
        <v>3.7759756715661431E-2</v>
      </c>
      <c r="K63" s="36" cm="1">
        <f t="array" ref="K63">_xll.BDP($B63&amp;" Equity","bid")</f>
        <v>2.98</v>
      </c>
      <c r="L63" s="36" cm="1">
        <f t="array" ref="L63">_xll.BDP($B63&amp;" Equity","ask")</f>
        <v>3.1</v>
      </c>
      <c r="M63" s="40">
        <f>(L63/K63-1)</f>
        <v>4.0268456375838868E-2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-44700</v>
      </c>
      <c r="Q63" s="58">
        <f>P63/'Master P&amp;L'!$AD$5*10000</f>
        <v>-0.19901737349009194</v>
      </c>
      <c r="R63" s="37" cm="1">
        <f t="array" ref="R63">_xll.BDP($C63&amp;" Equity","EST_PE_NXT_YR")*(T63/S63)</f>
        <v>19.374099166877851</v>
      </c>
      <c r="S63" s="36" cm="1">
        <f t="array" ref="S63">_xll.BDP(C63&amp;" Equity","LAST_PRICE")</f>
        <v>78.92</v>
      </c>
      <c r="T63" s="53" cm="1">
        <f t="array" ref="T63">_xll.BDP(B63&amp;" Equity","OPT_STRIKE_PX")</f>
        <v>70</v>
      </c>
      <c r="U63" s="40">
        <f>T63/S63-1</f>
        <v>-0.11302584896097312</v>
      </c>
      <c r="V63" s="37" cm="1">
        <f t="array" ref="V63">_xll.BDP($B63&amp;" Equity","ivol_mid")</f>
        <v>62.04318</v>
      </c>
      <c r="W63" s="38" cm="1">
        <f t="array" ref="W63">_xll.BDP(B63&amp;" Equity","DELTA_MID_RT")</f>
        <v>-0.25279739499092102</v>
      </c>
      <c r="X63" s="48">
        <f>Y63/'Master P&amp;L'!$AE$5</f>
        <v>1.3323993042403036E-4</v>
      </c>
      <c r="Y63" s="15">
        <f>IF(G63="Sell", S63*W63*-H63*O63/N63, S63*W63*H63*O63/N63)</f>
        <v>299261.5561902523</v>
      </c>
      <c r="Z63" s="15" cm="1">
        <f t="array" ref="Z63">_xll.BDP($B63&amp;" Equity","opt_theta")*H63*O63/N63</f>
        <v>-881.22</v>
      </c>
      <c r="AA63" s="19" cm="1">
        <f t="array" ref="AA63">_xll.BDP($B63&amp;" Equity","opt_theta")/I63</f>
        <v>-1.9714093959731543E-2</v>
      </c>
      <c r="AB63" s="36" t="str" cm="1">
        <f t="array" ref="AB63">_xll.BDP($C63&amp;" Equity","EXPECTED_REPORT_DT")</f>
        <v>05/03/2026</v>
      </c>
      <c r="AC63" s="15">
        <f>S63*H63*O63/N63</f>
        <v>1183800</v>
      </c>
      <c r="AD63" s="48">
        <f>AC63/'Master P&amp;L'!$AE$5</f>
        <v>5.2706211798114278E-4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4.5199999999999996</v>
      </c>
      <c r="J64" s="100" t="s">
        <v>249</v>
      </c>
      <c r="K64" s="101">
        <f>K63/L62</f>
        <v>0.39733333333333332</v>
      </c>
      <c r="L64" s="64"/>
      <c r="P64" s="100" t="s">
        <v>250</v>
      </c>
      <c r="Q64" s="108">
        <f>Q62+Q63</f>
        <v>0.30186527791114603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-1.1656744273435947E-4</v>
      </c>
      <c r="Y64" s="13">
        <f>Y62+Y63</f>
        <v>-261814.56416845322</v>
      </c>
      <c r="AC64" s="100" t="s">
        <v>229</v>
      </c>
      <c r="AD64" s="122">
        <f>AD62</f>
        <v>5.2706211798114278E-4</v>
      </c>
    </row>
    <row r="65" spans="1:31">
      <c r="H65" s="100" t="s">
        <v>253</v>
      </c>
      <c r="I65" s="102">
        <f>(T64-I64)/I64</f>
        <v>1.2123893805309736</v>
      </c>
      <c r="J65" s="100" t="s">
        <v>145</v>
      </c>
      <c r="K65" s="109">
        <f>AVERAGE(K62:L62)-AVERAGE(K63:L63)</f>
        <v>4.335</v>
      </c>
      <c r="P65" s="100"/>
      <c r="Q65" s="108"/>
      <c r="S65" s="100"/>
      <c r="T65" s="102"/>
      <c r="W65" s="100"/>
      <c r="X65" s="122"/>
      <c r="Z65" s="3">
        <f>Y64/S62</f>
        <v>-3317.4678683280945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621.87</v>
      </c>
      <c r="T68" s="53" cm="1">
        <f t="array" ref="T68">_xll.BDP(B68&amp;" Equity","OPT_STRIKE_PX")</f>
        <v>623</v>
      </c>
      <c r="U68" s="40">
        <f>T68/S68-1</f>
        <v>1.8171000369853196E-3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621.87</v>
      </c>
      <c r="T69" s="53" cm="1">
        <f t="array" ref="T69">_xll.BDP(B69&amp;" Equity","OPT_STRIKE_PX")</f>
        <v>622</v>
      </c>
      <c r="U69" s="40">
        <f>T69/S69-1</f>
        <v>2.0904690690981553E-4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-112500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2273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1.6080531300754177E-5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621.87</v>
      </c>
      <c r="T75" s="53" cm="1">
        <f t="array" ref="T75">_xll.BDP(B75&amp;" Equity","OPT_STRIKE_PX")</f>
        <v>615</v>
      </c>
      <c r="U75" s="19">
        <f>T75/S75-1</f>
        <v>-1.1047325003618158E-2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-1.1657803695479443E-5</v>
      </c>
      <c r="Y75" s="15">
        <f>IF(G75="Sell", S75*W75*-H75*O75/N75, S75*W75*H75*O75/N75)</f>
        <v>-26183.83591590682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4664025</v>
      </c>
      <c r="AD75" s="48">
        <f>AC75/'Master P&amp;L'!$AE$5</f>
        <v>2.0765592961792525E-3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2272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621.87</v>
      </c>
      <c r="T76" s="53" cm="1">
        <f t="array" ref="T76">_xll.BDP(B76&amp;" Equity","OPT_STRIKE_PX")</f>
        <v>616</v>
      </c>
      <c r="U76" s="19">
        <f>T76/S76-1</f>
        <v>-9.439271873542654E-3</v>
      </c>
      <c r="V76" s="37" t="str" cm="1">
        <f t="array" ref="V76">_xll.BDP($B76&amp;" Equity","ivol_mid")</f>
        <v>#N/A N/A</v>
      </c>
      <c r="W76" s="38" cm="1">
        <f t="array" ref="W76">_xll.BDP(B76&amp;" Equity","DELTA_MID_RT")</f>
        <v>-9.7929000854492188E-2</v>
      </c>
      <c r="X76" s="48">
        <f>Y76/'Master P&amp;L'!$AE$5</f>
        <v>2.0335537708994174E-4</v>
      </c>
      <c r="Y76" s="15">
        <f>IF(G76="Sell", S76*W76*-H76*O76/N76, S76*W76*H76*O76/N76)</f>
        <v>456743.30821037292</v>
      </c>
      <c r="Z76" s="15" t="e" cm="1">
        <f t="array" ref="Z76">_xll.BDP($B76&amp;" Equity","opt_theta")*H76*O76/N76</f>
        <v>#VALUE!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4664025</v>
      </c>
      <c r="AD76" s="48">
        <f>AC76/'Master P&amp;L'!$AE$5</f>
        <v>2.0765592961792525E-3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1.9169757339446231E-4</v>
      </c>
      <c r="AC77" s="100" t="s">
        <v>229</v>
      </c>
      <c r="AD77" s="122">
        <f>AD75</f>
        <v>2.0765592961792525E-3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430559.4722944661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2446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30/01/2026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1000</v>
      </c>
      <c r="I81" s="97">
        <f>IF(G81="Buy",L81,K81)</f>
        <v>0.02</v>
      </c>
      <c r="J81" s="19">
        <f>I81/S81</f>
        <v>3.2161062601508354E-5</v>
      </c>
      <c r="K81" s="36">
        <f>_xll.BDP($B81&amp;" Equity","bid")</f>
        <v>0.01</v>
      </c>
      <c r="L81" s="36">
        <f>_xll.BDP($B81&amp;" Equity","ask")</f>
        <v>0.02</v>
      </c>
      <c r="M81" s="40">
        <f>(L81/K81-1)</f>
        <v>1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2000</v>
      </c>
      <c r="Q81" s="58">
        <f>P81/'Master P&amp;L'!$AD$5*10000</f>
        <v>8.9045804693553433E-3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621.87</v>
      </c>
      <c r="T81" s="53" cm="1">
        <f t="array" ref="T81">_xll.BDP(B81&amp;" Equity","OPT_STRIKE_PX")</f>
        <v>620</v>
      </c>
      <c r="U81" s="19">
        <f>T81/S81-1</f>
        <v>-3.0070593532410816E-3</v>
      </c>
      <c r="V81" s="37" cm="1">
        <f t="array" ref="V81">_xll.BDP($B81&amp;" Equity","ivol_mid")</f>
        <v>37.0471</v>
      </c>
      <c r="W81" s="38">
        <f>_xll.BDP(B81&amp;" Equity","DELTA_MID_RT")</f>
        <v>-2.3893585428595543E-2</v>
      </c>
      <c r="X81" s="48">
        <f>Y81/'Master P&amp;L'!$AE$5</f>
        <v>-6.6155262587737611E-4</v>
      </c>
      <c r="Y81" s="15">
        <f>IF(G81="Sell", S81*W81*-H81*O81/N81, S81*W81*H81*O81/N81)</f>
        <v>-1485870.397048071</v>
      </c>
      <c r="Z81" s="15" cm="1">
        <f t="array" ref="Z81">_xll.BDP($B81&amp;" Equity","opt_theta")*H81*O81/N81</f>
        <v>0</v>
      </c>
      <c r="AA81" s="19" cm="1">
        <f t="array" ref="AA81">_xll.BDP($B81&amp;" Equity","opt_theta")/I81</f>
        <v>0</v>
      </c>
      <c r="AB81" s="36" t="str" cm="1">
        <f t="array" ref="AB81">_xll.BDP($C81&amp;" Equity","EXPECTED_REPORT_DT")</f>
        <v>#N/A N/A</v>
      </c>
      <c r="AC81" s="15">
        <f>S81*H81*O81/N81</f>
        <v>62187000</v>
      </c>
      <c r="AD81" s="48">
        <f>AC81/'Master P&amp;L'!$AE$5</f>
        <v>2.7687457282390037E-2</v>
      </c>
      <c r="AE81" t="str">
        <f>B81&amp;" -&gt; Buy to open "&amp;H81&amp;"x"</f>
        <v>QQQ US 01/30/26 P620 -&gt; Buy to open 1000x</v>
      </c>
    </row>
    <row r="82" spans="1:38">
      <c r="A82" s="98" t="s">
        <v>256</v>
      </c>
      <c r="B82" s="59" t="s">
        <v>2462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30/01/2026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1000</v>
      </c>
      <c r="I82" s="97">
        <f>IF(G82="Buy",L82,K82)</f>
        <v>0.01</v>
      </c>
      <c r="J82" s="19">
        <f>I82/S82</f>
        <v>1.6080531300754177E-5</v>
      </c>
      <c r="K82" s="36" cm="1">
        <f t="array" ref="K82">_xll.BDP($B82&amp;" Equity","bid")</f>
        <v>0.01</v>
      </c>
      <c r="L82" s="36" cm="1">
        <f t="array" ref="L82">_xll.BDP($B82&amp;" Equity","ask")</f>
        <v>0.02</v>
      </c>
      <c r="M82" s="40">
        <f>(L82/K82-1)</f>
        <v>1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>
        <f>IF(G82="Buy",((I82/N82)*H82*O82),((I82/N82)*-H82*O82))</f>
        <v>-1000</v>
      </c>
      <c r="Q82" s="58">
        <f>P82/'Master P&amp;L'!$AD$5*10000</f>
        <v>-4.4522902346776716E-3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621.87</v>
      </c>
      <c r="T82" s="53" cm="1">
        <f t="array" ref="T82">_xll.BDP(B82&amp;" Equity","OPT_STRIKE_PX")</f>
        <v>619</v>
      </c>
      <c r="U82" s="19">
        <f>T82/S82-1</f>
        <v>-4.6151124833164747E-3</v>
      </c>
      <c r="V82" s="37" cm="1">
        <f t="array" ref="V82">_xll.BDP($B82&amp;" Equity","ivol_mid")</f>
        <v>38.694800000000001</v>
      </c>
      <c r="W82" s="38" cm="1">
        <f t="array" ref="W82">_xll.BDP(B82&amp;" Equity","DELTA_MID_RT")</f>
        <v>-1.3452701270580292E-2</v>
      </c>
      <c r="X82" s="48">
        <f>Y82/'Master P&amp;L'!$AE$5</f>
        <v>3.72471091761946E-4</v>
      </c>
      <c r="Y82" s="15">
        <f>IF(G82="Sell", S82*W82*-H82*O82/N82, S82*W82*H82*O82/N82)</f>
        <v>836583.1339135766</v>
      </c>
      <c r="Z82" s="15" cm="1">
        <f t="array" ref="Z82">_xll.BDP($B82&amp;" Equity","opt_theta")*H82*O82/N82</f>
        <v>0</v>
      </c>
      <c r="AA82" s="19" cm="1">
        <f t="array" ref="AA82">_xll.BDP($B82&amp;" Equity","opt_theta")/I82</f>
        <v>0</v>
      </c>
      <c r="AB82" s="36" t="str" cm="1">
        <f t="array" ref="AB82">_xll.BDP($C82&amp;" Equity","EXPECTED_REPORT_DT")</f>
        <v>#N/A N/A</v>
      </c>
      <c r="AC82" s="15">
        <f>S82*H82*O82/N82</f>
        <v>62187000</v>
      </c>
      <c r="AD82" s="48">
        <f>AC82/'Master P&amp;L'!$AE$5</f>
        <v>2.7687457282390037E-2</v>
      </c>
      <c r="AE82" t="str">
        <f>B82&amp;" -&gt; Buy to open "&amp;H82&amp;"x"</f>
        <v>QQQ US 01/30/26 P619 -&gt; Buy to open 1000x</v>
      </c>
    </row>
    <row r="83" spans="1:38">
      <c r="H83" s="100" t="s">
        <v>116</v>
      </c>
      <c r="I83" s="102">
        <f>I81-I82</f>
        <v>0.01</v>
      </c>
      <c r="J83" s="100" t="s">
        <v>249</v>
      </c>
      <c r="K83" s="101">
        <f>K82/L81</f>
        <v>0.5</v>
      </c>
      <c r="P83" s="100" t="s">
        <v>250</v>
      </c>
      <c r="Q83" s="108">
        <f>Q81+Q82</f>
        <v>4.4522902346776716E-3</v>
      </c>
      <c r="S83" s="100" t="s">
        <v>251</v>
      </c>
      <c r="T83" s="102">
        <f>T81-T82</f>
        <v>1</v>
      </c>
      <c r="W83" s="100" t="s">
        <v>252</v>
      </c>
      <c r="X83" s="122">
        <f>X81+X82</f>
        <v>-2.8908153411543011E-4</v>
      </c>
      <c r="AC83" s="100" t="s">
        <v>229</v>
      </c>
      <c r="AD83" s="122">
        <f>AD81</f>
        <v>2.7687457282390037E-2</v>
      </c>
    </row>
    <row r="84" spans="1:38">
      <c r="H84" s="100" t="s">
        <v>253</v>
      </c>
      <c r="I84" s="102">
        <f>(T83-I83)/I83</f>
        <v>99</v>
      </c>
      <c r="J84" s="100" t="s">
        <v>145</v>
      </c>
      <c r="K84" s="109">
        <f>AVERAGE(K81:L81)-AVERAGE(K82:L82)</f>
        <v>0</v>
      </c>
      <c r="P84" s="100"/>
      <c r="Q84" s="108"/>
      <c r="S84" s="100"/>
      <c r="T84" s="102"/>
      <c r="W84" s="100"/>
      <c r="X84" s="122"/>
      <c r="Y84" s="15">
        <f>Y81+Y82</f>
        <v>-649287.26313449442</v>
      </c>
      <c r="AC84" s="100"/>
      <c r="AD84" s="104"/>
    </row>
    <row r="85" spans="1:38">
      <c r="K85" s="64" t="e">
        <f>K84-K78</f>
        <v>#DIV/0!</v>
      </c>
      <c r="Y85" s="64">
        <f>Y84/S81</f>
        <v>-1044.0884158015251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-248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-248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-305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-305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-305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-305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-434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-378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-252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-252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-407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-407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-403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-217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-217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-217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-133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-133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2465</v>
      </c>
      <c r="C153" t="str" cm="1">
        <f t="array" ref="C153">_xll.BDP(B153&amp;" Index","OPT_UNDL_TICKER")</f>
        <v>2OH6</v>
      </c>
      <c r="D153" t="str" cm="1">
        <f t="array" ref="D153">_xll.BDP($B153&amp;" Index","mifid_Maturity_date")</f>
        <v>13/02/2026</v>
      </c>
      <c r="E153" cm="1">
        <f t="array" ref="E153">_xll.BDP($B153&amp;" Index","opt_days_expire")</f>
        <v>14</v>
      </c>
      <c r="F153" t="str" cm="1">
        <f t="array" ref="F153">_xll.BDP(B153&amp;" Index","QUOTED_CURRENCY_REALTIME")</f>
        <v>USD</v>
      </c>
      <c r="G153" s="105" t="s">
        <v>247</v>
      </c>
      <c r="H153" s="96">
        <v>100</v>
      </c>
      <c r="I153" s="97" t="str">
        <f>IF(G153="Buy",L153,K153)</f>
        <v>#N/A N/A</v>
      </c>
      <c r="J153" s="19" t="e">
        <f>I153/S153</f>
        <v>#VALUE!</v>
      </c>
      <c r="K153" s="36" t="str" cm="1">
        <f t="array" ref="K153">_xll.BDP($B153&amp;" Index","bid")</f>
        <v>#N/A N/A</v>
      </c>
      <c r="L153" s="36" t="str" cm="1">
        <f t="array" ref="L153">_xll.BDP($B153&amp;" Index","ask")</f>
        <v>#N/A N/A</v>
      </c>
      <c r="M153" s="40" t="e">
        <f>(L153/K153-1)</f>
        <v>#VALUE!</v>
      </c>
      <c r="N153" s="36" cm="1">
        <f t="array" ref="N153">_xll.BDP(F153&amp;" Curncy","PX_LAST")</f>
        <v>1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25670</v>
      </c>
      <c r="T153" s="53" cm="1">
        <f t="array" ref="T153">_xll.BDP(B153&amp;" Index","OPT_STRIKE_PX")</f>
        <v>25450</v>
      </c>
      <c r="U153" s="40">
        <f>T153/S153-1</f>
        <v>-8.5703155434359024E-3</v>
      </c>
      <c r="V153" s="37" cm="1">
        <f t="array" ref="V153">_xll.BDP($B153&amp;" Index","ivol_mid")</f>
        <v>21.182102</v>
      </c>
      <c r="W153" s="38" cm="1">
        <f t="array" ref="W153">_xll.BDP(B153&amp;" Index","DELTA_MID_RT")</f>
        <v>-0.41993755102157593</v>
      </c>
      <c r="X153" s="48">
        <f>Y153/'Master P&amp;L'!$AE$5</f>
        <v>-9.5989569248558625E-3</v>
      </c>
      <c r="Y153" s="15">
        <f>IF(G153="Sell", S153*W153*-H153*O153/N153, S153*W153*H153*O153/N153)</f>
        <v>-21559593.869447708</v>
      </c>
      <c r="Z153" s="15" cm="1">
        <f t="array" ref="Z153">_xll.BDP($B153&amp;" Index","opt_theta")*H153*O153/N153</f>
        <v>-30009.83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>
        <f>S153*H153*O153/N153</f>
        <v>51340000</v>
      </c>
      <c r="AD153" s="48">
        <f>AC153/'Master P&amp;L'!$AE$5</f>
        <v>2.2858058064835166E-2</v>
      </c>
      <c r="AG153" t="str">
        <f>B153&amp;" -&gt; Buy to open "&amp;H153&amp;"x"</f>
        <v>2OG6P 25450 -&gt; Buy to open 100x</v>
      </c>
    </row>
    <row r="154" spans="1:33">
      <c r="A154" s="98"/>
      <c r="B154" s="321"/>
      <c r="G154" s="105"/>
      <c r="H154" s="96"/>
      <c r="I154" s="97"/>
      <c r="J154" s="19"/>
      <c r="K154" s="36"/>
      <c r="L154" s="36"/>
      <c r="M154" s="40"/>
      <c r="N154" s="36"/>
      <c r="O154" s="162"/>
      <c r="P154" s="15"/>
      <c r="Q154" s="58"/>
      <c r="R154" s="37"/>
      <c r="S154" s="36"/>
      <c r="T154" s="53"/>
      <c r="U154" s="40"/>
      <c r="V154" s="37"/>
      <c r="W154" s="38"/>
      <c r="X154" s="48"/>
      <c r="Y154" s="15"/>
      <c r="Z154" s="15"/>
      <c r="AA154" s="126"/>
      <c r="AB154" s="36"/>
      <c r="AC154" s="15"/>
      <c r="AD154" s="48"/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-25450</v>
      </c>
      <c r="W155" s="100" t="s">
        <v>252</v>
      </c>
      <c r="X155" s="122">
        <f>X153+X154</f>
        <v>-9.5989569248558625E-3</v>
      </c>
      <c r="Y155" s="13">
        <f>Y153+Y154</f>
        <v>-21559593.869447708</v>
      </c>
      <c r="AC155" s="100" t="s">
        <v>229</v>
      </c>
      <c r="AD155" s="122">
        <f>AD153</f>
        <v>2.2858058064835166E-2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>
        <f>Y155/S153</f>
        <v>-839.87510204315186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6939.03</v>
      </c>
      <c r="T160" s="53" cm="1">
        <f t="array" ref="T160">_xll.BDP(B160&amp;" Index","OPT_STRIKE_PX")</f>
        <v>6950</v>
      </c>
      <c r="U160" s="40">
        <f>T160/S160-1</f>
        <v>1.5809126059407319E-3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69390300</v>
      </c>
      <c r="AD160" s="48">
        <f>AC160/'Master P&amp;L'!$AE$5</f>
        <v>3.0894575507135404E-2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3.0894575507135404E-2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16.099999999999994</v>
      </c>
    </row>
    <row r="168" spans="1:37">
      <c r="A168">
        <v>300</v>
      </c>
      <c r="H168" s="276">
        <v>1</v>
      </c>
      <c r="I168" s="64">
        <f>I170-I171</f>
        <v>16.099999999999994</v>
      </c>
      <c r="K168" s="129"/>
    </row>
    <row r="169" spans="1:37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57.424999999999997</v>
      </c>
      <c r="E169" cm="1">
        <f t="array" ref="E169">_xll.BDP($B169&amp;" Index","opt_days_expire")</f>
        <v>77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57.65</v>
      </c>
      <c r="J169" s="19">
        <f>I169/S169</f>
        <v>8.0460572226099092E-2</v>
      </c>
      <c r="K169" s="36" cm="1">
        <f t="array" ref="K169">_xll.BDP($B169&amp;" Equity","bid")</f>
        <v>57.2</v>
      </c>
      <c r="L169" s="36" cm="1">
        <f t="array" ref="L169">_xll.BDP($B169&amp;" Equity","ask")</f>
        <v>57.65</v>
      </c>
      <c r="M169" s="40">
        <f>(L169/K169-1)</f>
        <v>7.8671328671326979E-3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345900</v>
      </c>
      <c r="Q169" s="58">
        <f>P169/'Master P&amp;L'!$AD$5*10000</f>
        <v>1.5400471921750067</v>
      </c>
      <c r="R169" s="37" cm="1">
        <f t="array" ref="R169">_xll.BDP($C169&amp;" Equity","EST_PE_NXT_YR")*(T169/S169)</f>
        <v>18.343490222494815</v>
      </c>
      <c r="S169" s="36" cm="1">
        <f t="array" ref="S169">_xll.BDP(C169&amp;" Equity","LAST_PRICE")</f>
        <v>716.5</v>
      </c>
      <c r="T169" s="53" cm="1">
        <f t="array" ref="T169">_xll.BDP(B169&amp;" Equity","OPT_STRIKE_PX")</f>
        <v>690</v>
      </c>
      <c r="U169" s="40">
        <f>T169/S169-1</f>
        <v>-3.6985345429169536E-2</v>
      </c>
      <c r="V169" s="37" cm="1">
        <f t="array" ref="V169">_xll.BDP($B169&amp;" Equity","ivol_mid")</f>
        <v>31.399719999999999</v>
      </c>
      <c r="W169" s="38" cm="1">
        <f t="array" ref="W169">_xll.BDP(B169&amp;" Equity","DELTA_MID_RT")</f>
        <v>0.650745689868927</v>
      </c>
      <c r="X169" s="48">
        <f>Y169/'Master P&amp;L'!$AE$5</f>
        <v>1.2455530016446373E-3</v>
      </c>
      <c r="Y169" s="15">
        <f>IF(G169="Sell", S169*W169*-H169*O169/N169, S169*W169*H169*O169/N169)</f>
        <v>2797555.7207465172</v>
      </c>
      <c r="Z169" s="15" cm="1">
        <f t="array" ref="Z169">_xll.BDP($B169&amp;" Equity","opt_theta")*H169*O169/N169</f>
        <v>-1448.184</v>
      </c>
      <c r="AA169" s="19" cm="1">
        <f t="array" ref="AA169">_xll.BDP($B169&amp;" Equity","opt_theta")/I169</f>
        <v>-4.1867129228100606E-3</v>
      </c>
      <c r="AB169" s="36" t="str" cm="1">
        <f t="array" ref="AB169">_xll.BDP($C169&amp;" Equity","EXPECTED_REPORT_DT")</f>
        <v>30/04/2026</v>
      </c>
      <c r="AC169" s="15">
        <f>S169*H169*O169/N169</f>
        <v>4299000</v>
      </c>
      <c r="AD169" s="19">
        <f>AC169/'Master P&amp;L'!$AE$5</f>
        <v>1.9140395718879311E-3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>
      <c r="A170" s="237">
        <v>2</v>
      </c>
      <c r="B170" s="73" t="s">
        <v>2288</v>
      </c>
      <c r="C170" t="str" cm="1">
        <f t="array" ref="C170">_xll.BDP(B170&amp;" Equity","OPT_UNDL_TICKER")</f>
        <v>META US</v>
      </c>
      <c r="D170" s="64">
        <f>A170*AVERAGE(K170:L170)</f>
        <v>193.3</v>
      </c>
      <c r="E170" cm="1">
        <f t="array" ref="E170">_xll.BDP($B170&amp;" Index","opt_days_expire")</f>
        <v>168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96.1</v>
      </c>
      <c r="J170" s="19">
        <f>I170/S170</f>
        <v>0.13412421493370549</v>
      </c>
      <c r="K170" s="36" cm="1">
        <f t="array" ref="K170">_xll.BDP($B170&amp;" Equity","bid")</f>
        <v>96.1</v>
      </c>
      <c r="L170" s="36" cm="1">
        <f t="array" ref="L170">_xll.BDP($B170&amp;" Equity","ask")</f>
        <v>97.2</v>
      </c>
      <c r="M170" s="40">
        <f>(L170/K170-1)</f>
        <v>1.1446409989594342E-2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-720750</v>
      </c>
      <c r="Q170" s="58">
        <f>P170/'Master P&amp;L'!$AD$5*10000</f>
        <v>-3.208988186643932</v>
      </c>
      <c r="R170" s="37" cm="1">
        <f t="array" ref="R170">_xll.BDP($C170&amp;" Equity","EST_PE_NXT_YR")*(T170/S170)</f>
        <v>17.811794853726848</v>
      </c>
      <c r="S170" s="36" cm="1">
        <f t="array" ref="S170">_xll.BDP(C170&amp;" Equity","LAST_PRICE")</f>
        <v>716.5</v>
      </c>
      <c r="T170" s="53" cm="1">
        <f t="array" ref="T170">_xll.BDP(B170&amp;" Equity","OPT_STRIKE_PX")</f>
        <v>670</v>
      </c>
      <c r="U170" s="40">
        <f>T170/S170-1</f>
        <v>-6.4898813677599421E-2</v>
      </c>
      <c r="V170" s="37" cm="1">
        <f t="array" ref="V170">_xll.BDP($B170&amp;" Equity","ivol_mid")</f>
        <v>34.899529999999999</v>
      </c>
      <c r="W170" s="38" cm="1">
        <f t="array" ref="W170">_xll.BDP(B170&amp;" Equity","DELTA_MID_RT")</f>
        <v>0.68149912357330322</v>
      </c>
      <c r="X170" s="48">
        <f>Y170/'Master P&amp;L'!$AE$5</f>
        <v>-1.6305203634078068E-3</v>
      </c>
      <c r="Y170" s="15">
        <f>IF(G170="Sell", S170*W170*-H170*O170/N170, S170*W170*H170*O170/N170)</f>
        <v>-3662205.9153020382</v>
      </c>
      <c r="Z170" s="15" cm="1">
        <f t="array" ref="Z170">_xll.BDP($B170&amp;" Equity","opt_theta")*H170*O170/N170</f>
        <v>-1723.1550000000002</v>
      </c>
      <c r="AA170" s="19" cm="1">
        <f t="array" ref="AA170">_xll.BDP($B170&amp;" Equity","opt_theta")/I170</f>
        <v>-2.3907804370447453E-3</v>
      </c>
      <c r="AB170" s="36" t="str" cm="1">
        <f t="array" ref="AB170">_xll.BDP($C170&amp;" Equity","EXPECTED_REPORT_DT")</f>
        <v>30/04/2026</v>
      </c>
      <c r="AC170" s="15">
        <f>S170*H170*O170/N170</f>
        <v>5373750</v>
      </c>
      <c r="AD170" s="48">
        <f>AC170/'Master P&amp;L'!$AE$5</f>
        <v>2.3925494648599139E-3</v>
      </c>
      <c r="AE170" t="str">
        <f>B170&amp;" -&gt; Buy to open "&amp;H170&amp;"x"</f>
        <v>META US 07/17/26 C670 -&gt; Buy to open 75x</v>
      </c>
      <c r="AK170" t="s">
        <v>274</v>
      </c>
    </row>
    <row r="171" spans="1:37">
      <c r="A171" s="237">
        <v>2</v>
      </c>
      <c r="B171" s="73" t="s">
        <v>2404</v>
      </c>
      <c r="C171" t="str" cm="1">
        <f t="array" ref="C171">_xll.BDP(B171&amp;" Equity","OPT_UNDL_TICKER")</f>
        <v>META US</v>
      </c>
      <c r="D171" s="64">
        <f>A171*AVERAGE(K171:L171)</f>
        <v>157.6</v>
      </c>
      <c r="E171" cm="1">
        <f t="array" ref="E171">_xll.BDP($B171&amp;" Index","opt_days_expire")</f>
        <v>168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80</v>
      </c>
      <c r="J171" s="19">
        <f>I171/S171</f>
        <v>0.11165387299371947</v>
      </c>
      <c r="K171" s="36" cm="1">
        <f t="array" ref="K171">_xll.BDP($B171&amp;" Equity","bid")</f>
        <v>77.599999999999994</v>
      </c>
      <c r="L171" s="36" cm="1">
        <f t="array" ref="L171">_xll.BDP($B171&amp;" Equity","ask")</f>
        <v>80</v>
      </c>
      <c r="M171" s="40">
        <f>(L171/K171-1)</f>
        <v>3.0927835051546504E-2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600000</v>
      </c>
      <c r="Q171" s="58">
        <f>P171/'Master P&amp;L'!$AD$5*10000</f>
        <v>2.671374140806603</v>
      </c>
      <c r="R171" s="37" cm="1">
        <f t="array" ref="R171">_xll.BDP($C171&amp;" Equity","EST_PE_NXT_YR")*(T171/S171)</f>
        <v>18.6093379068788</v>
      </c>
      <c r="S171" s="36" cm="1">
        <f t="array" ref="S171">_xll.BDP(C171&amp;" Equity","LAST_PRICE")</f>
        <v>716.5</v>
      </c>
      <c r="T171" s="53" cm="1">
        <f t="array" ref="T171">_xll.BDP(B171&amp;" Equity","OPT_STRIKE_PX")</f>
        <v>700</v>
      </c>
      <c r="U171" s="40">
        <f>T171/S171-1</f>
        <v>-2.3028611304954594E-2</v>
      </c>
      <c r="V171" s="37" cm="1">
        <f t="array" ref="V171">_xll.BDP(B171&amp;" Equity","ivol_mid")</f>
        <v>34.02355</v>
      </c>
      <c r="W171" s="38" cm="1">
        <f t="array" ref="W171">_xll.BDP(B171&amp;" Equity","DELTA_MID_RT")</f>
        <v>0.61183708906173706</v>
      </c>
      <c r="X171" s="48">
        <f>Y171/'Master P&amp;L'!$AE$5</f>
        <v>1.4638505000161065E-3</v>
      </c>
      <c r="Y171" s="15">
        <f>IF(G171="Sell", S171*W171*-H171*O171/N171, S171*W171*H171*O171/N171)</f>
        <v>3287859.5573455095</v>
      </c>
      <c r="Z171" s="15" cm="1">
        <f t="array" ref="Z171">_xll.BDP($B171&amp;" Equity","opt_theta")*H171*O171/N171</f>
        <v>-1762.4475</v>
      </c>
      <c r="AA171" s="19" cm="1">
        <f t="array" ref="AA171">_xll.BDP($B171&amp;" Equity","opt_theta")/I171</f>
        <v>-2.9374125000000001E-3</v>
      </c>
      <c r="AB171" s="36" t="str" cm="1">
        <f t="array" ref="AB171">_xll.BDP($C171&amp;" Equity","EXPECTED_REPORT_DT")</f>
        <v>30/04/2026</v>
      </c>
      <c r="AC171" s="15">
        <f>S171*H171*O171/N171</f>
        <v>5373750</v>
      </c>
      <c r="AD171" s="19">
        <f>AC171/'Master P&amp;L'!$AE$5</f>
        <v>2.3925494648599139E-3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>
      <c r="H172" s="100" t="s">
        <v>116</v>
      </c>
      <c r="I172" s="102">
        <f>I170-I169-I171</f>
        <v>-41.550000000000004</v>
      </c>
      <c r="J172" s="100" t="s">
        <v>249</v>
      </c>
      <c r="K172" s="101">
        <f>K171/L170</f>
        <v>0.79835390946502049</v>
      </c>
      <c r="P172" s="130">
        <f>P170+P171+P169</f>
        <v>225150</v>
      </c>
      <c r="Q172" s="58">
        <f>P172/'Master P&amp;L'!$AD$5*10000</f>
        <v>1.0024331463376779</v>
      </c>
      <c r="S172" s="100" t="s">
        <v>251</v>
      </c>
      <c r="T172" s="102"/>
      <c r="W172" s="100" t="s">
        <v>252</v>
      </c>
      <c r="X172" s="122">
        <f>X170+X171+X169</f>
        <v>1.078883138252937E-3</v>
      </c>
      <c r="AC172" s="100" t="s">
        <v>229</v>
      </c>
      <c r="AD172" s="122">
        <f>AD170</f>
        <v>2.3925494648599139E-3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-39.574999999999989</v>
      </c>
      <c r="P173" s="100"/>
      <c r="Q173" s="108"/>
      <c r="S173" s="100"/>
      <c r="T173" s="102"/>
      <c r="W173" s="100"/>
      <c r="X173" s="122"/>
      <c r="Y173" s="13">
        <f>(Y169+Y170+Y171)/S170</f>
        <v>3382.0088803768158</v>
      </c>
      <c r="AC173" s="100"/>
      <c r="AD173" s="104"/>
    </row>
    <row r="174" spans="1:37">
      <c r="D174" s="64"/>
      <c r="H174" s="96"/>
      <c r="I174" s="64">
        <f>(I170*A170)-(I171*A171)-(I169*A169)</f>
        <v>-25.45000000000001</v>
      </c>
      <c r="K174" s="64"/>
      <c r="N174" s="36"/>
      <c r="O174" s="162"/>
      <c r="P174" s="15"/>
      <c r="Q174" s="58"/>
    </row>
    <row r="175" spans="1:37">
      <c r="I175" s="21">
        <f>I171/I170</f>
        <v>0.83246618106139447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2295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28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65.599999999999994</v>
      </c>
      <c r="J180" s="19">
        <f>I180/S180</f>
        <v>9.1556175854849958E-2</v>
      </c>
      <c r="K180" s="36" cm="1">
        <f t="array" ref="K180">_xll.BDP($B180&amp;" Equity","bid")</f>
        <v>62.9</v>
      </c>
      <c r="L180" s="36" cm="1">
        <f t="array" ref="L180">_xll.BDP($B180&amp;" Equity","ask")</f>
        <v>65.599999999999994</v>
      </c>
      <c r="M180" s="40">
        <f>(L180/K180-1)</f>
        <v>4.2925278219395846E-2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229600</v>
      </c>
      <c r="Q180" s="58">
        <f>P180/'Master P&amp;L'!$AD$5*10000</f>
        <v>1.0222458378819934</v>
      </c>
      <c r="R180" s="37" cm="1">
        <f t="array" ref="R180">_xll.BDP($C180&amp;" Equity","EST_PE_NXT_YR")*(T180/S180)</f>
        <v>17.545947169342867</v>
      </c>
      <c r="S180" s="36" cm="1">
        <f t="array" ref="S180">_xll.BDP(C180&amp;" Equity","LAST_PRICE")</f>
        <v>716.5</v>
      </c>
      <c r="T180" s="53" cm="1">
        <f t="array" ref="T180">_xll.BDP(B180&amp;" Equity","OPT_STRIKE_PX")</f>
        <v>660</v>
      </c>
      <c r="U180" s="40">
        <f>T180/S180-1</f>
        <v>-7.8855547801814363E-2</v>
      </c>
      <c r="V180" s="37" cm="1">
        <f t="array" ref="V180">_xll.BDP(B180&amp;" Equity","ivol_mid")</f>
        <v>32.250810000000001</v>
      </c>
      <c r="W180" s="38" cm="1">
        <f t="array" ref="W180">_xll.BDP(B180&amp;" Equity","DELTA_MID_RT")</f>
        <v>0.83656555414199829</v>
      </c>
      <c r="X180" s="48">
        <f>Y180/'Master P&amp;L'!$AE$5</f>
        <v>9.340447521452484E-4</v>
      </c>
      <c r="Y180" s="15">
        <f>IF(G180="Sell", S180*W180*-H180*O180/N180, S180*W180*H180*O180/N180)</f>
        <v>2097897.2683995962</v>
      </c>
      <c r="Z180" s="15" cm="1">
        <f t="array" ref="Z180">_xll.BDP($B180&amp;" Equity","opt_theta")*H180*O180/N180</f>
        <v>-844.07399999999996</v>
      </c>
      <c r="AA180" s="19" cm="1">
        <f t="array" ref="AA180">_xll.BDP($B180&amp;" Equity","opt_theta")/I180</f>
        <v>-3.6762804878048782E-3</v>
      </c>
      <c r="AB180" s="36" t="str" cm="1">
        <f t="array" ref="AB180">_xll.BDP($C180&amp;" Equity","EXPECTED_REPORT_DT")</f>
        <v>30/04/2026</v>
      </c>
      <c r="AC180" s="15">
        <f>S180*H180*O180/N180</f>
        <v>2507750</v>
      </c>
      <c r="AD180" s="19">
        <f>AC180/'Master P&amp;L'!$AE$5</f>
        <v>1.1165230836012931E-3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20.399999999999991</v>
      </c>
      <c r="J185" s="18">
        <f>T186-T187</f>
        <v>-10</v>
      </c>
      <c r="K185" s="276">
        <f>(J185-I185)/I185</f>
        <v>-1.4901960784313728</v>
      </c>
      <c r="Q185" s="276">
        <f>Q187+Q186</f>
        <v>-4.1192589251237814</v>
      </c>
    </row>
    <row r="186" spans="1:37">
      <c r="A186" s="237">
        <v>1</v>
      </c>
      <c r="B186" t="s">
        <v>2068</v>
      </c>
      <c r="C186" t="str" cm="1">
        <f t="array" ref="C186">_xll.BDP(B186&amp;" Equity","OPT_UNDL_TICKER")</f>
        <v>META US</v>
      </c>
      <c r="D186" s="64">
        <f>A186*AVERAGE(K186:L186)</f>
        <v>57.424999999999997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USD</v>
      </c>
      <c r="G186" s="105" t="s">
        <v>248</v>
      </c>
      <c r="H186" s="131">
        <v>60</v>
      </c>
      <c r="I186" s="97">
        <f>IF(G186="Buy",L186,K186)</f>
        <v>57.2</v>
      </c>
      <c r="J186" s="19">
        <f>I186/S186</f>
        <v>7.9832519190509418E-2</v>
      </c>
      <c r="K186" s="36" cm="1">
        <f t="array" ref="K186">_xll.BDP($B186&amp;" Equity","bid")</f>
        <v>57.2</v>
      </c>
      <c r="L186" s="36" cm="1">
        <f t="array" ref="L186">_xll.BDP($B186&amp;" Equity","ask")</f>
        <v>57.65</v>
      </c>
      <c r="M186" s="40">
        <f>(L186/K186-1)</f>
        <v>7.8671328671326979E-3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-343200</v>
      </c>
      <c r="Q186" s="58">
        <f>P186/'Master P&amp;L'!$AD$5*10000</f>
        <v>-1.5280260085413768</v>
      </c>
      <c r="R186" s="37" cm="1">
        <f t="array" ref="R186">_xll.BDP($C186&amp;" Equity","EST_PE_NXT_YR")*(T186/S186)</f>
        <v>18.343490222494815</v>
      </c>
      <c r="S186" s="36" cm="1">
        <f t="array" ref="S186">_xll.BDP(C186&amp;" Equity","LAST_PRICE")</f>
        <v>716.5</v>
      </c>
      <c r="T186" s="53" cm="1">
        <f t="array" ref="T186">_xll.BDP(B186&amp;" Equity","OPT_STRIKE_PX")</f>
        <v>690</v>
      </c>
      <c r="U186" s="40">
        <f>T186/S186-1</f>
        <v>-3.6985345429169536E-2</v>
      </c>
      <c r="V186" s="37" cm="1">
        <f t="array" ref="V186">_xll.BDP($B186&amp;" Equity","ivol_mid")</f>
        <v>31.399719999999999</v>
      </c>
      <c r="W186" s="38" cm="1">
        <f t="array" ref="W186">_xll.BDP(B186&amp;" Equity","DELTA_MID_RT")</f>
        <v>0.650745689868927</v>
      </c>
      <c r="X186" s="48">
        <f>Y186/'Master P&amp;L'!$AE$5</f>
        <v>-1.2455530016446373E-3</v>
      </c>
      <c r="Y186" s="15">
        <f>IF(G186="Sell", S186*W186*-H186*O186/N186, S186*W186*H186*O186/N186)</f>
        <v>-2797555.7207465172</v>
      </c>
      <c r="Z186" s="15" cm="1">
        <f t="array" ref="Z186">_xll.BDP($B186&amp;" Equity","opt_theta")*H186*O186/N186</f>
        <v>-1448.184</v>
      </c>
      <c r="AA186" s="19" cm="1">
        <f t="array" ref="AA186">_xll.BDP($B186&amp;" Equity","opt_theta")/I186</f>
        <v>-4.2196503496503496E-3</v>
      </c>
      <c r="AB186" s="36" t="str" cm="1">
        <f t="array" ref="AB186">_xll.BDP($C186&amp;" Equity","EXPECTED_REPORT_DT")</f>
        <v>30/04/2026</v>
      </c>
      <c r="AC186" s="15">
        <f>S186*H186*O186/N186</f>
        <v>4299000</v>
      </c>
      <c r="AD186" s="19">
        <f>AC186/'Master P&amp;L'!$AE$5</f>
        <v>1.9140395718879311E-3</v>
      </c>
      <c r="AE186" t="str">
        <f>B186  &amp; " - Buy to open " &amp;  "-" &amp; H186 &amp;"x"</f>
        <v>META US 04/17/26 C690 - Buy to open -60x</v>
      </c>
      <c r="AK186" s="59"/>
    </row>
    <row r="187" spans="1:37">
      <c r="A187" s="237">
        <v>2</v>
      </c>
      <c r="B187" s="457" t="s">
        <v>2404</v>
      </c>
      <c r="C187" t="str" cm="1">
        <f t="array" ref="C187">_xll.BDP(B187&amp;" Equity","OPT_UNDL_TICKER")</f>
        <v>META US</v>
      </c>
      <c r="D187" s="64">
        <f>A187*AVERAGE(K187:L187)</f>
        <v>157.6</v>
      </c>
      <c r="E187" cm="1">
        <f t="array" ref="E187">_xll.BDP($B187&amp;" Index","opt_days_expire")</f>
        <v>168</v>
      </c>
      <c r="F187" t="str" cm="1">
        <f t="array" ref="F187">_xll.BDP(B187&amp;" Equity","QUOTED_CURRENCY_REALTIME")</f>
        <v>USD</v>
      </c>
      <c r="G187" s="105" t="s">
        <v>248</v>
      </c>
      <c r="H187" s="131">
        <v>75</v>
      </c>
      <c r="I187" s="97">
        <f>IF(G187="Buy",L187,K187)</f>
        <v>77.599999999999994</v>
      </c>
      <c r="J187" s="19">
        <f>I187/S187</f>
        <v>0.10830425680390787</v>
      </c>
      <c r="K187" s="36" cm="1">
        <f t="array" ref="K187">_xll.BDP($B187&amp;" Equity","bid")</f>
        <v>77.599999999999994</v>
      </c>
      <c r="L187" s="36" cm="1">
        <f t="array" ref="L187">_xll.BDP($B187&amp;" Equity","ask")</f>
        <v>80</v>
      </c>
      <c r="M187" s="40">
        <f>(L187/K187-1)</f>
        <v>3.0927835051546504E-2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-582000</v>
      </c>
      <c r="Q187" s="58">
        <f>P187/'Master P&amp;L'!$AD$5*10000</f>
        <v>-2.5912329165824048</v>
      </c>
      <c r="R187" s="37" cm="1">
        <f t="array" ref="R187">_xll.BDP($C187&amp;" Equity","EST_PE_NXT_YR")*(T187/S187)</f>
        <v>18.6093379068788</v>
      </c>
      <c r="S187" s="36" cm="1">
        <f t="array" ref="S187">_xll.BDP(C187&amp;" Equity","LAST_PRICE")</f>
        <v>716.5</v>
      </c>
      <c r="T187" s="53" cm="1">
        <f t="array" ref="T187">_xll.BDP(B187&amp;" Equity","OPT_STRIKE_PX")</f>
        <v>700</v>
      </c>
      <c r="U187" s="40">
        <f>T187/S187-1</f>
        <v>-2.3028611304954594E-2</v>
      </c>
      <c r="V187" s="37" cm="1">
        <f t="array" ref="V187">_xll.BDP($B187&amp;" Equity","ivol_mid")</f>
        <v>34.02355</v>
      </c>
      <c r="W187" s="38" cm="1">
        <f t="array" ref="W187">_xll.BDP(B187&amp;" Equity","DELTA_MID_RT")</f>
        <v>0.61183708906173706</v>
      </c>
      <c r="X187" s="48">
        <f>Y187/'Master P&amp;L'!$AE$5</f>
        <v>-1.4638505000161065E-3</v>
      </c>
      <c r="Y187" s="15">
        <f>IF(G187="Sell", S187*W187*-H187*O187/N187, S187*W187*H187*O187/N187)</f>
        <v>-3287859.5573455095</v>
      </c>
      <c r="Z187" s="15" cm="1">
        <f t="array" ref="Z187">_xll.BDP($B187&amp;" Equity","opt_theta")*H187*O187/N187</f>
        <v>-1762.4475</v>
      </c>
      <c r="AA187" s="19" cm="1">
        <f t="array" ref="AA187">_xll.BDP($B187&amp;" Equity","opt_theta")/I187</f>
        <v>-3.0282603092783508E-3</v>
      </c>
      <c r="AB187" s="36" t="str" cm="1">
        <f t="array" ref="AB187">_xll.BDP($C187&amp;" Equity","EXPECTED_REPORT_DT")</f>
        <v>30/04/2026</v>
      </c>
      <c r="AC187" s="15">
        <f>S187*H187*O187/N187</f>
        <v>5373750</v>
      </c>
      <c r="AD187" s="48">
        <f>AC187/'Master P&amp;L'!$AE$5</f>
        <v>2.3925494648599139E-3</v>
      </c>
      <c r="AE187" t="str">
        <f>B187&amp;" -&gt; Buy to open "&amp;H187&amp;"x"</f>
        <v>META US 07/17/26 C700 -&gt; Buy to open 75x</v>
      </c>
    </row>
    <row r="188" spans="1:37">
      <c r="A188" s="237">
        <v>2</v>
      </c>
      <c r="B188" s="457" t="s">
        <v>2459</v>
      </c>
      <c r="C188" t="str" cm="1">
        <f t="array" ref="C188">_xll.BDP(B188&amp;" Equity","OPT_UNDL_TICKER")</f>
        <v>META US</v>
      </c>
      <c r="D188" s="64">
        <f>A188*AVERAGE(K188:L188)</f>
        <v>109.3</v>
      </c>
      <c r="E188" cm="1">
        <f t="array" ref="E188">_xll.BDP($B188&amp;" Index","opt_days_expire")</f>
        <v>168</v>
      </c>
      <c r="F188" t="str" cm="1">
        <f t="array" ref="F188">_xll.BDP(B188&amp;" Equity","QUOTED_CURRENCY_REALTIME")</f>
        <v>USD</v>
      </c>
      <c r="G188" s="105" t="s">
        <v>247</v>
      </c>
      <c r="H188" s="131">
        <v>90</v>
      </c>
      <c r="I188" s="97">
        <f>IF(G188="Buy",L188,K188)</f>
        <v>54.9</v>
      </c>
      <c r="J188" s="19">
        <f>I188/S188</f>
        <v>7.6622470341939988E-2</v>
      </c>
      <c r="K188" s="36" cm="1">
        <f t="array" ref="K188">_xll.BDP($B188&amp;" Equity","bid")</f>
        <v>54.4</v>
      </c>
      <c r="L188" s="36" cm="1">
        <f t="array" ref="L188">_xll.BDP($B188&amp;" Equity","ask")</f>
        <v>54.9</v>
      </c>
      <c r="M188" s="40">
        <f>(L188/K188-1)</f>
        <v>9.1911764705883137E-3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494100</v>
      </c>
      <c r="Q188" s="58">
        <f>P188/'Master P&amp;L'!$AD$5*10000</f>
        <v>2.1998766049542375</v>
      </c>
      <c r="R188" s="37" cm="1">
        <f t="array" ref="R188">_xll.BDP($C188&amp;" Equity","EST_PE_NXT_YR")*(T188/S188)</f>
        <v>19.938576328798714</v>
      </c>
      <c r="S188" s="36" cm="1">
        <f t="array" ref="S188">_xll.BDP(C188&amp;" Equity","LAST_PRICE")</f>
        <v>716.5</v>
      </c>
      <c r="T188" s="53" cm="1">
        <f t="array" ref="T188">_xll.BDP(B188&amp;" Equity","OPT_STRIKE_PX")</f>
        <v>750</v>
      </c>
      <c r="U188" s="40">
        <f>T188/S188-1</f>
        <v>4.6755059316120118E-2</v>
      </c>
      <c r="V188" s="37" cm="1">
        <f t="array" ref="V188">_xll.BDP(B188&amp;" Equity","ivol_mid")</f>
        <v>33.056510000000003</v>
      </c>
      <c r="W188" s="38" cm="1">
        <f t="array" ref="W188">_xll.BDP(B188&amp;" Equity","DELTA_MID_RT")</f>
        <v>0.49094825983047485</v>
      </c>
      <c r="X188" s="48">
        <f>Y188/'Master P&amp;L'!$AE$5</f>
        <v>1.4095415955975702E-3</v>
      </c>
      <c r="Y188" s="15">
        <f>IF(G188="Sell", S188*W188*-H188*O188/N188, S188*W188*H188*O188/N188)</f>
        <v>3165879.8535168171</v>
      </c>
      <c r="Z188" s="15" cm="1">
        <f t="array" ref="Z188">_xll.BDP($B188&amp;" Equity","opt_theta")*H188*O188/N188</f>
        <v>-2092.0680000000002</v>
      </c>
      <c r="AA188" s="19" cm="1">
        <f t="array" ref="AA188">_xll.BDP($B188&amp;" Equity","opt_theta")/I188</f>
        <v>-4.2340983606557374E-3</v>
      </c>
      <c r="AB188" s="36" t="str" cm="1">
        <f t="array" ref="AB188">_xll.BDP($C188&amp;" Equity","EXPECTED_REPORT_DT")</f>
        <v>30/04/2026</v>
      </c>
      <c r="AC188" s="15">
        <f>S188*H188*O188/N188</f>
        <v>6448500</v>
      </c>
      <c r="AD188" s="19">
        <f>AC188/'Master P&amp;L'!$AE$5</f>
        <v>2.8710593578318965E-3</v>
      </c>
      <c r="AE188" t="str">
        <f>B188  &amp; " -&gt; Sell to open " &amp;   H188 &amp;"x"</f>
        <v>META US 07/17/26 C750 -&gt; Sell to open 90x</v>
      </c>
    </row>
    <row r="189" spans="1:37">
      <c r="H189" s="100" t="s">
        <v>116</v>
      </c>
      <c r="I189" s="102">
        <f>I187-I186-I188</f>
        <v>-34.500000000000007</v>
      </c>
      <c r="J189" s="100" t="s">
        <v>249</v>
      </c>
      <c r="K189" s="101">
        <f>K188/L187</f>
        <v>0.67999999999999994</v>
      </c>
      <c r="P189" s="130">
        <f>P187+P188+P186</f>
        <v>-431100</v>
      </c>
      <c r="Q189" s="58">
        <f>P189/'Master P&amp;L'!$AD$5*10000</f>
        <v>-1.9193823201695444</v>
      </c>
      <c r="S189" s="100" t="s">
        <v>251</v>
      </c>
      <c r="T189" s="102"/>
      <c r="W189" s="100" t="s">
        <v>252</v>
      </c>
      <c r="X189" s="122">
        <f>X187+X188+X186</f>
        <v>-1.2998619060631735E-3</v>
      </c>
      <c r="AC189" s="100" t="s">
        <v>229</v>
      </c>
      <c r="AD189" s="122">
        <f>AD187</f>
        <v>2.3925494648599139E-3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-33.274999999999999</v>
      </c>
      <c r="P190" s="100"/>
      <c r="Q190" s="108"/>
      <c r="S190" s="100"/>
      <c r="T190" s="102"/>
      <c r="W190" s="100"/>
      <c r="X190" s="122"/>
      <c r="Y190" s="13">
        <f>(Y186+Y187+Y188)/S187</f>
        <v>-4074.7179687023163</v>
      </c>
      <c r="AC190" s="100"/>
      <c r="AD190" s="104"/>
    </row>
    <row r="191" spans="1:37">
      <c r="D191" s="64"/>
      <c r="H191" s="96"/>
      <c r="I191" s="64">
        <f>I187-I186</f>
        <v>20.399999999999991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3.1500000000000004</v>
      </c>
      <c r="Q193" s="64">
        <f>Q196+Q197</f>
        <v>0.21037071358852003</v>
      </c>
    </row>
    <row r="194" spans="1:37">
      <c r="A194">
        <v>300</v>
      </c>
      <c r="H194" s="276">
        <v>1</v>
      </c>
      <c r="I194" s="129">
        <f>(I196-I195)/I197</f>
        <v>0.8857142857142859</v>
      </c>
      <c r="K194" s="129"/>
      <c r="Q194" s="129">
        <f>(Q196+Q195)/Q197</f>
        <v>-0.8857142857142859</v>
      </c>
    </row>
    <row r="195" spans="1:37">
      <c r="A195" s="237">
        <v>1</v>
      </c>
      <c r="B195" s="132" t="s">
        <v>2328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3.55</v>
      </c>
      <c r="J195" s="19">
        <f>I195/S195</f>
        <v>7.6393372068000856E-2</v>
      </c>
      <c r="K195" s="36" cm="1">
        <f t="array" ref="K195">_xll.BDP($B195&amp;" Equity","bid")</f>
        <v>3.55</v>
      </c>
      <c r="L195" s="36" cm="1">
        <f t="array" ref="L195">_xll.BDP($B195&amp;" Equity","ask")</f>
        <v>3.85</v>
      </c>
      <c r="M195" s="40">
        <f>(L195/K195-1)</f>
        <v>8.4507042253521236E-2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-53250</v>
      </c>
      <c r="Q195" s="58">
        <f>P195/'Master P&amp;L'!$AD$5*10000</f>
        <v>-0.23708445499658601</v>
      </c>
      <c r="R195" s="37" cm="1">
        <f t="array" ref="R195">_xll.BDP($C195&amp;" Equity","EST_PE_NXT_YR")*(T195/S195)</f>
        <v>59.98547774705041</v>
      </c>
      <c r="S195" s="36" cm="1">
        <f t="array" ref="S195">_xll.BDP(C195&amp;" Equity","LAST_PRICE")</f>
        <v>46.47</v>
      </c>
      <c r="T195" s="53" cm="1">
        <f t="array" ref="T195">_xll.BDP(B195&amp;" Equity","OPT_STRIKE_PX")</f>
        <v>60</v>
      </c>
      <c r="U195" s="40">
        <f>T195/S195-1</f>
        <v>0.29115558424790189</v>
      </c>
      <c r="V195" s="37" cm="1">
        <f t="array" ref="V195">_xll.BDP($B195&amp;" Equity","ivol_mid")</f>
        <v>60.450969999999998</v>
      </c>
      <c r="W195" s="38" cm="1">
        <f t="array" ref="W195">_xll.BDP(B195&amp;" Equity","DELTA_MID_RT")</f>
        <v>0.35406368970870972</v>
      </c>
      <c r="X195" s="48">
        <f>Y195/'Master P&amp;L'!$AE$5</f>
        <v>-1.0988256524917982E-4</v>
      </c>
      <c r="Y195" s="15">
        <f>IF(G195="Sell", S195*W195*-H195*O195/N195, S195*W195*H195*O195/N195)</f>
        <v>-246800.09491145605</v>
      </c>
      <c r="Z195" s="15" cm="1">
        <f t="array" ref="Z195">_xll.BDP($B195&amp;" Equity","opt_theta")*H195*O195/N195</f>
        <v>-315.39</v>
      </c>
      <c r="AA195" s="19" cm="1">
        <f t="array" ref="AA195">_xll.BDP($B195&amp;" Equity","opt_theta")/I195</f>
        <v>-5.9228169014084505E-3</v>
      </c>
      <c r="AB195" s="36" t="str" cm="1">
        <f t="array" ref="AB195">_xll.BDP($C195&amp;" Equity","EXPECTED_REPORT_DT")</f>
        <v>24/04/2026</v>
      </c>
      <c r="AC195" s="15">
        <f>S195*H195*O195/N195</f>
        <v>697050</v>
      </c>
      <c r="AD195" s="19">
        <f>AC195/'Master P&amp;L'!$AE$5</f>
        <v>3.1034689080820712E-4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2327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6.65</v>
      </c>
      <c r="J196" s="19">
        <f>I196/S196</f>
        <v>0.14310307725414248</v>
      </c>
      <c r="K196" s="36" cm="1">
        <f t="array" ref="K196">_xll.BDP($B196&amp;" Equity","bid")</f>
        <v>5.95</v>
      </c>
      <c r="L196" s="36" cm="1">
        <f t="array" ref="L196">_xll.BDP($B196&amp;" Equity","ask")</f>
        <v>6.65</v>
      </c>
      <c r="M196" s="40">
        <f>(L196/K196-1)</f>
        <v>0.11764705882352944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99750</v>
      </c>
      <c r="Q196" s="58">
        <f>P196/'Master P&amp;L'!$AD$5*10000</f>
        <v>0.44411595090909778</v>
      </c>
      <c r="R196" s="37" cm="1">
        <f t="array" ref="R196">_xll.BDP($C196&amp;" Equity","EST_PE_NXT_YR")*(T196/S196)</f>
        <v>49.987898122542013</v>
      </c>
      <c r="S196" s="36">
        <f>_xll.BDP(C196&amp;" Equity","LAST_PRICE")</f>
        <v>46.47</v>
      </c>
      <c r="T196" s="53" cm="1">
        <f t="array" ref="T196">_xll.BDP(B196&amp;" Equity","OPT_STRIKE_PX")</f>
        <v>50</v>
      </c>
      <c r="U196" s="40">
        <f>T196/S196-1</f>
        <v>7.5962986873251648E-2</v>
      </c>
      <c r="V196" s="37" cm="1">
        <f t="array" ref="V196">_xll.BDP($B196&amp;" Equity","ivol_mid")</f>
        <v>58.12959</v>
      </c>
      <c r="W196" s="38" cm="1">
        <f t="array" ref="W196">_xll.BDP(B196&amp;" Equity","DELTA_MID_RT")</f>
        <v>0.52264863252639771</v>
      </c>
      <c r="X196" s="48">
        <f>Y196/'Master P&amp;L'!$AE$5</f>
        <v>1.622023780897287E-4</v>
      </c>
      <c r="Y196" s="15">
        <f>IF(G196="Sell", S196*W196*-H196*O196/N196, S196*W196*H196*O196/N196)</f>
        <v>364312.22930252552</v>
      </c>
      <c r="Z196" s="15" cm="1">
        <f t="array" ref="Z196">_xll.BDP($B196&amp;" Equity","opt_theta")*H196*O196/N196</f>
        <v>-324.54000000000002</v>
      </c>
      <c r="AA196" s="19" cm="1">
        <f t="array" ref="AA196">_xll.BDP($B196&amp;" Equity","opt_theta")/I196</f>
        <v>-3.2535338345864658E-3</v>
      </c>
      <c r="AB196" s="36" t="str" cm="1">
        <f t="array" ref="AB196">_xll.BDP($C196&amp;" Equity","EXPECTED_REPORT_DT")</f>
        <v>24/04/2026</v>
      </c>
      <c r="AC196" s="15">
        <f>S196*H196*O196/N196</f>
        <v>697050</v>
      </c>
      <c r="AD196" s="19">
        <f>AC196/'Master P&amp;L'!$AE$5</f>
        <v>3.1034689080820712E-4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2326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3.5</v>
      </c>
      <c r="J197" s="19">
        <f>I197/S197</f>
        <v>7.5317409081127606E-2</v>
      </c>
      <c r="K197" s="36" cm="1">
        <f t="array" ref="K197">_xll.BDP($B197&amp;" Equity","bid")</f>
        <v>3.5</v>
      </c>
      <c r="L197" s="36" cm="1">
        <f t="array" ref="L197">_xll.BDP($B197&amp;" Equity","ask")</f>
        <v>3.85</v>
      </c>
      <c r="M197" s="40">
        <f>(L197/K197-1)</f>
        <v>0.10000000000000009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-52500</v>
      </c>
      <c r="Q197" s="58">
        <f>P197/'Master P&amp;L'!$AD$5*10000</f>
        <v>-0.23374523732057775</v>
      </c>
      <c r="R197" s="37" cm="1">
        <f t="array" ref="R197">_xll.BDP($C197&amp;" Equity","EST_PE_NXT_YR")*(T197/S197)</f>
        <v>39.990318498033609</v>
      </c>
      <c r="S197" s="36" cm="1">
        <f t="array" ref="S197">_xll.BDP(C197&amp;" Equity","LAST_PRICE")</f>
        <v>46.47</v>
      </c>
      <c r="T197" s="53" cm="1">
        <f t="array" ref="T197">_xll.BDP(B197&amp;" Equity","OPT_STRIKE_PX")</f>
        <v>40</v>
      </c>
      <c r="U197" s="40">
        <f>T197/S197-1</f>
        <v>-0.1392296105013987</v>
      </c>
      <c r="V197" s="37" cm="1">
        <f t="array" ref="V197">_xll.BDP($B197&amp;" Equity","ivol_mid")</f>
        <v>57.963999999999999</v>
      </c>
      <c r="W197" s="38" cm="1">
        <f t="array" ref="W197">_xll.BDP(B197&amp;" Equity","DELTA_MID_RT")</f>
        <v>-0.269317626953125</v>
      </c>
      <c r="X197" s="48">
        <f>Y197/'Master P&amp;L'!$AE$5</f>
        <v>8.3581888164746933E-5</v>
      </c>
      <c r="Y197" s="15">
        <f>IF(G197="Sell", S197*W197*-H197*O197/N197, S197*W197*H197*O197/N197)</f>
        <v>187727.85186767578</v>
      </c>
      <c r="Z197" s="15" cm="1">
        <f t="array" ref="Z197">_xll.BDP($B197&amp;" Equity","opt_theta")*H197*O197/N197</f>
        <v>-256.36500000000001</v>
      </c>
      <c r="AA197" s="19" cm="1">
        <f t="array" ref="AA197">_xll.BDP($B197&amp;" Equity","opt_theta")/I197</f>
        <v>-4.8831428571428567E-3</v>
      </c>
      <c r="AB197" s="36" t="str" cm="1">
        <f t="array" ref="AB197">_xll.BDP($C197&amp;" Equity","EXPECTED_REPORT_DT")</f>
        <v>24/04/2026</v>
      </c>
      <c r="AC197" s="15">
        <f>S197*H197*O197/N197</f>
        <v>697050</v>
      </c>
      <c r="AD197" s="19">
        <f>AC197/'Master P&amp;L'!$AE$5</f>
        <v>3.1034689080820712E-4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-0.39999999999999947</v>
      </c>
      <c r="J198" s="100" t="s">
        <v>249</v>
      </c>
      <c r="K198" s="101">
        <f>K197/L196</f>
        <v>0.52631578947368418</v>
      </c>
      <c r="P198" s="130">
        <f>P196+P197+P195</f>
        <v>-6000</v>
      </c>
      <c r="Q198" s="58">
        <f>P198/'Master P&amp;L'!$AD$5*10000</f>
        <v>-2.6713741408066028E-2</v>
      </c>
      <c r="S198" s="100" t="s">
        <v>251</v>
      </c>
      <c r="T198" s="102"/>
      <c r="W198" s="100" t="s">
        <v>252</v>
      </c>
      <c r="X198" s="122">
        <f>X196+X197+X195</f>
        <v>1.3590170100529582E-4</v>
      </c>
      <c r="AC198" s="100" t="s">
        <v>229</v>
      </c>
      <c r="AD198" s="122">
        <f>AD196</f>
        <v>3.1034689080820712E-4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-1.0749999999999993</v>
      </c>
      <c r="P199" s="100"/>
      <c r="Q199" s="108"/>
      <c r="S199" s="100"/>
      <c r="T199" s="102"/>
      <c r="W199" s="100"/>
      <c r="X199" s="122"/>
      <c r="Y199" s="13">
        <f>(Y195+Y196+Y197)/S196</f>
        <v>6568.5385465621966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2.7500000000000009</v>
      </c>
      <c r="K200" s="64"/>
      <c r="N200" s="36"/>
      <c r="O200" s="162"/>
      <c r="P200" s="15"/>
      <c r="Q200" s="58"/>
      <c r="X200" s="71">
        <f>AD198+X198</f>
        <v>4.4624859181350294E-4</v>
      </c>
    </row>
    <row r="201" spans="1:37">
      <c r="I201" s="64"/>
      <c r="K201" s="64"/>
    </row>
    <row r="202" spans="1:37">
      <c r="H202" s="276">
        <v>1</v>
      </c>
      <c r="I202" s="64">
        <f>I204-I205</f>
        <v>4.8999999999999995</v>
      </c>
      <c r="K202" s="64"/>
      <c r="Q202" s="129">
        <f>(Q204+Q203)/Q205</f>
        <v>-1.4393939393939392</v>
      </c>
    </row>
    <row r="203" spans="1:37">
      <c r="A203" s="237"/>
      <c r="B203" t="s">
        <v>2451</v>
      </c>
      <c r="C203" t="str" cm="1">
        <f t="array" ref="C203">_xll.BDP(B203&amp;" Equity","OPT_UNDL_TICKER")</f>
        <v>MSFT US</v>
      </c>
      <c r="D203" t="str" cm="1">
        <f t="array" ref="D203">_xll.BDP($B203&amp;" Index","mifid_Maturity_date")</f>
        <v>20/02/2026</v>
      </c>
      <c r="E203" cm="1">
        <f t="array" ref="E203">_xll.BDP($B203&amp;" Index","opt_days_expire")</f>
        <v>21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125</v>
      </c>
      <c r="I203" s="97">
        <f>IF(G203="Buy",L203,K203)</f>
        <v>3.45</v>
      </c>
      <c r="J203" s="19">
        <f>I203/S203</f>
        <v>8.0178484278045047E-3</v>
      </c>
      <c r="K203" s="36" cm="1">
        <f t="array" ref="K203">_xll.BDP($B203&amp;" Equity","bid")</f>
        <v>3.45</v>
      </c>
      <c r="L203" s="36" cm="1">
        <f t="array" ref="L203">_xll.BDP($B203&amp;" Equity","ask")</f>
        <v>3.55</v>
      </c>
      <c r="M203" s="40">
        <f>(L203/K203-1)</f>
        <v>2.8985507246376718E-2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-43125</v>
      </c>
      <c r="Q203" s="58">
        <f>P203/'Master P&amp;L'!$AD$5*10000</f>
        <v>-0.1920050163704746</v>
      </c>
      <c r="R203" s="37" cm="1">
        <f t="array" ref="R203">_xll.BDP($C203&amp;" Equity","EST_PE_NXT_YR")*(T203/S203)</f>
        <v>23.614216160828786</v>
      </c>
      <c r="S203" s="36" cm="1">
        <f t="array" ref="S203">_xll.BDP(C203&amp;" Equity","LAST_PRICE")</f>
        <v>430.29</v>
      </c>
      <c r="T203" s="53" cm="1">
        <f t="array" ref="T203">_xll.BDP(B203&amp;" Equity","OPT_STRIKE_PX")</f>
        <v>450</v>
      </c>
      <c r="U203" s="40">
        <f>T203/S203-1</f>
        <v>4.5806316670152558E-2</v>
      </c>
      <c r="V203" s="37" cm="1">
        <f t="array" ref="V203">_xll.BDP($B203&amp;" Equity","ivol_mid")</f>
        <v>25.556080000000001</v>
      </c>
      <c r="W203" s="38" cm="1">
        <f t="array" ref="W203">_xll.BDP(B203&amp;" Equity","DELTA_MID_RT")</f>
        <v>0.23941123485565186</v>
      </c>
      <c r="X203" s="48">
        <f>Y203/'Master P&amp;L'!$AE$5</f>
        <v>-5.7332286188306321E-4</v>
      </c>
      <c r="Y203" s="15">
        <f>IF(G203="Sell", S203*W203*-H203*O203/N203, S203*W203*H203*O203/N203)</f>
        <v>-1287703.2530754805</v>
      </c>
      <c r="Z203" s="15" cm="1">
        <f t="array" ref="Z203">_xll.BDP($B203&amp;" Equity","opt_theta")*H203*O203/N203</f>
        <v>-2434.1</v>
      </c>
      <c r="AA203" s="19" cm="1">
        <f t="array" ref="AA203">_xll.BDP($B203&amp;" Equity","opt_theta")/I203</f>
        <v>-5.6442898550724638E-2</v>
      </c>
      <c r="AB203" s="36" t="str" cm="1">
        <f t="array" ref="AB203">_xll.BDP($C203&amp;" Equity","EXPECTED_REPORT_DT")</f>
        <v>30/04/2026</v>
      </c>
      <c r="AC203" s="15">
        <f>S203*H203*O203/N203</f>
        <v>5378625</v>
      </c>
      <c r="AD203" s="19">
        <f>AC203/'Master P&amp;L'!$AE$5</f>
        <v>2.3947199563493192E-3</v>
      </c>
      <c r="AE203" t="str">
        <f>B203  &amp; " - Buy to open " &amp;  "-" &amp; H203 &amp;"x"</f>
        <v>MSFT US 02/20/26 C450 - Buy to open -125x</v>
      </c>
      <c r="AK203" s="59" t="s">
        <v>1813</v>
      </c>
    </row>
    <row r="204" spans="1:37">
      <c r="A204" s="237"/>
      <c r="B204" t="s">
        <v>2454</v>
      </c>
      <c r="C204" t="str" cm="1">
        <f t="array" ref="C204">_xll.BDP(B204&amp;" Equity","OPT_UNDL_TICKER")</f>
        <v>MSFT US</v>
      </c>
      <c r="D204" t="str" cm="1">
        <f t="array" ref="D204">_xll.BDP($B204&amp;" Index","mifid_Maturity_date")</f>
        <v>20/02/2026</v>
      </c>
      <c r="E204" cm="1">
        <f t="array" ref="E204">_xll.BDP($B204&amp;" Index","opt_days_expire")</f>
        <v>21</v>
      </c>
      <c r="F204" t="str" cm="1">
        <f t="array" ref="F204">_xll.BDP(B204&amp;" Equity","QUOTED_CURRENCY_REALTIME")</f>
        <v>USD</v>
      </c>
      <c r="G204" s="105" t="s">
        <v>247</v>
      </c>
      <c r="H204" s="131">
        <v>125</v>
      </c>
      <c r="I204" s="97">
        <f>IF(G204="Buy",L204,K204)</f>
        <v>8.1999999999999993</v>
      </c>
      <c r="J204" s="19">
        <f>I204/S204</f>
        <v>1.9056915103767225E-2</v>
      </c>
      <c r="K204" s="36" cm="1">
        <f t="array" ref="K204">_xll.BDP($B204&amp;" Equity","bid")</f>
        <v>8.1</v>
      </c>
      <c r="L204" s="36" cm="1">
        <f t="array" ref="L204">_xll.BDP($B204&amp;" Equity","ask")</f>
        <v>8.1999999999999993</v>
      </c>
      <c r="M204" s="40">
        <f>(L204/K204-1)</f>
        <v>1.2345679012345734E-2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102500</v>
      </c>
      <c r="Q204" s="58">
        <f>P204/'Master P&amp;L'!$AD$5*10000</f>
        <v>0.45635974905446131</v>
      </c>
      <c r="R204" s="37" cm="1">
        <f t="array" ref="R204">_xll.BDP($C204&amp;" Equity","EST_PE_NXT_YR")*(T204/S204)</f>
        <v>22.827075622134494</v>
      </c>
      <c r="S204" s="36">
        <f>_xll.BDP(C204&amp;" Equity","LAST_PRICE")</f>
        <v>430.29</v>
      </c>
      <c r="T204" s="53" cm="1">
        <f t="array" ref="T204">_xll.BDP(B204&amp;" Equity","OPT_STRIKE_PX")</f>
        <v>435</v>
      </c>
      <c r="U204" s="40">
        <f>T204/S204-1</f>
        <v>1.094610611448088E-2</v>
      </c>
      <c r="V204" s="37" cm="1">
        <f t="array" ref="V204">_xll.BDP($B204&amp;" Equity","ivol_mid")</f>
        <v>25.135390000000001</v>
      </c>
      <c r="W204" s="38" cm="1">
        <f t="array" ref="W204">_xll.BDP(B204&amp;" Equity","DELTA_MID_RT")</f>
        <v>0.4472581148147583</v>
      </c>
      <c r="X204" s="48">
        <f>Y204/'Master P&amp;L'!$AE$5</f>
        <v>1.0710579331860768E-3</v>
      </c>
      <c r="Y204" s="15">
        <f>IF(G204="Sell", S204*W204*-H204*O204/N204, S204*W204*H204*O204/N204)</f>
        <v>2405633.6777955294</v>
      </c>
      <c r="Z204" s="15" cm="1">
        <f t="array" ref="Z204">_xll.BDP($B204&amp;" Equity","opt_theta")*H204*O204/N204</f>
        <v>-3159.2375000000002</v>
      </c>
      <c r="AA204" s="19" cm="1">
        <f t="array" ref="AA204">_xll.BDP($B204&amp;" Equity","opt_theta")/I204</f>
        <v>-3.0821829268292685E-2</v>
      </c>
      <c r="AB204" s="36" t="str" cm="1">
        <f t="array" ref="AB204">_xll.BDP($C204&amp;" Equity","EXPECTED_REPORT_DT")</f>
        <v>30/04/2026</v>
      </c>
      <c r="AC204" s="15">
        <f>S204*H204*O204/N204</f>
        <v>5378625</v>
      </c>
      <c r="AD204" s="19">
        <f>AC204/'Master P&amp;L'!$AE$5</f>
        <v>2.3947199563493192E-3</v>
      </c>
      <c r="AE204" t="str">
        <f>B204  &amp; " - Buy to open " &amp;  "-" &amp; H204 &amp;"x"</f>
        <v>MSFT US 02/20/26 C435 - Buy to open -125x</v>
      </c>
      <c r="AK204" s="59" t="s">
        <v>1813</v>
      </c>
    </row>
    <row r="205" spans="1:37">
      <c r="A205" s="237"/>
      <c r="B205" t="s">
        <v>2452</v>
      </c>
      <c r="C205" t="str" cm="1">
        <f t="array" ref="C205">_xll.BDP(B205&amp;" Equity","OPT_UNDL_TICKER")</f>
        <v>MSFT US</v>
      </c>
      <c r="D205" t="str" cm="1">
        <f t="array" ref="D205">_xll.BDP($B205&amp;" Index","mifid_Maturity_date")</f>
        <v>20/02/2026</v>
      </c>
      <c r="E205" cm="1">
        <f t="array" ref="E205">_xll.BDP($B205&amp;" Index","opt_days_expire")</f>
        <v>21</v>
      </c>
      <c r="F205" t="str" cm="1">
        <f t="array" ref="F205">_xll.BDP(B205&amp;" Equity","QUOTED_CURRENCY_REALTIME")</f>
        <v>USD</v>
      </c>
      <c r="G205" s="105" t="s">
        <v>248</v>
      </c>
      <c r="H205" s="131">
        <f>H204</f>
        <v>125</v>
      </c>
      <c r="I205" s="97">
        <f>IF(G205="Buy",L205,K205)</f>
        <v>3.3</v>
      </c>
      <c r="J205" s="19">
        <f>I205/S205</f>
        <v>7.669246322247786E-3</v>
      </c>
      <c r="K205" s="36" cm="1">
        <f t="array" ref="K205">_xll.BDP($B205&amp;" Equity","bid")</f>
        <v>3.3</v>
      </c>
      <c r="L205" s="36" cm="1">
        <f t="array" ref="L205">_xll.BDP($B205&amp;" Equity","ask")</f>
        <v>3.4</v>
      </c>
      <c r="M205" s="40">
        <f>(L205/K205-1)</f>
        <v>3.0303030303030276E-2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-41250</v>
      </c>
      <c r="Q205" s="58">
        <f>P205/'Master P&amp;L'!$AD$5*10000</f>
        <v>-0.18365697218045393</v>
      </c>
      <c r="R205" s="37" cm="1">
        <f t="array" ref="R205">_xll.BDP($C205&amp;" Equity","EST_PE_NXT_YR")*(T205/S205)</f>
        <v>21.515174724310675</v>
      </c>
      <c r="S205" s="36" cm="1">
        <f t="array" ref="S205">_xll.BDP(C205&amp;" Equity","LAST_PRICE")</f>
        <v>430.29</v>
      </c>
      <c r="T205" s="53" cm="1">
        <f t="array" ref="T205">_xll.BDP(B205&amp;" Equity","OPT_STRIKE_PX")</f>
        <v>410</v>
      </c>
      <c r="U205" s="40">
        <f>T205/S205-1</f>
        <v>-4.7154244811638657E-2</v>
      </c>
      <c r="V205" s="37" cm="1">
        <f t="array" ref="V205">_xll.BDP($B205&amp;" Equity","ivol_mid")</f>
        <v>26.727910000000001</v>
      </c>
      <c r="W205" s="38" cm="1">
        <f t="array" ref="W205">_xll.BDP(B205&amp;" Equity","DELTA_MID_RT")</f>
        <v>-0.21046191453933716</v>
      </c>
      <c r="X205" s="48">
        <f>Y205/'Master P&amp;L'!$AE$5</f>
        <v>5.0399734679883569E-4</v>
      </c>
      <c r="Y205" s="15">
        <f>IF(G205="Sell", S205*W205*-H205*O205/N205, S205*W205*H205*O205/N205)</f>
        <v>1131995.7150891426</v>
      </c>
      <c r="Z205" s="15" cm="1">
        <f t="array" ref="Z205">_xll.BDP($B205&amp;" Equity","opt_theta")*H205*O205/N205</f>
        <v>-2517.0749999999998</v>
      </c>
      <c r="AA205" s="19" cm="1">
        <f t="array" ref="AA205">_xll.BDP($B205&amp;" Equity","opt_theta")/I205</f>
        <v>-6.1019999999999998E-2</v>
      </c>
      <c r="AB205" s="36" t="str" cm="1">
        <f t="array" ref="AB205">_xll.BDP($C205&amp;" Equity","EXPECTED_REPORT_DT")</f>
        <v>30/04/2026</v>
      </c>
      <c r="AC205" s="15">
        <f>S205*H205*O205/N205</f>
        <v>5378625</v>
      </c>
      <c r="AD205" s="19">
        <f>AC205/'Master P&amp;L'!$AE$5</f>
        <v>2.3947199563493192E-3</v>
      </c>
      <c r="AE205" t="str">
        <f>B205  &amp; " - Buy to open " &amp;  "-" &amp; H205 &amp;"x"</f>
        <v>MSFT US 02/20/26 P410 - Buy to open -125x</v>
      </c>
      <c r="AK205" s="59" t="s">
        <v>1813</v>
      </c>
    </row>
    <row r="206" spans="1:37">
      <c r="H206" s="100" t="s">
        <v>116</v>
      </c>
      <c r="I206" s="102">
        <f>I204-I203-I205</f>
        <v>1.4499999999999993</v>
      </c>
      <c r="J206" s="100" t="s">
        <v>249</v>
      </c>
      <c r="K206" s="101">
        <f>K205/L204</f>
        <v>0.40243902439024393</v>
      </c>
      <c r="P206" s="130">
        <f>P204+P205+P203</f>
        <v>18125</v>
      </c>
      <c r="Q206" s="58">
        <f>P206/'Master P&amp;L'!$AD$5*10000</f>
        <v>8.0697760503532792E-2</v>
      </c>
      <c r="S206" s="100" t="s">
        <v>251</v>
      </c>
      <c r="T206" s="102"/>
      <c r="W206" s="100" t="s">
        <v>252</v>
      </c>
      <c r="X206" s="122">
        <f>X204+X205+X203</f>
        <v>1.0017324181018493E-3</v>
      </c>
      <c r="AC206" s="100" t="s">
        <v>229</v>
      </c>
      <c r="AD206" s="122">
        <f>AD204</f>
        <v>2.3947199563493192E-3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1.2999999999999989</v>
      </c>
      <c r="P207" s="100"/>
      <c r="Q207" s="108"/>
      <c r="S207" s="100"/>
      <c r="T207" s="102"/>
      <c r="W207" s="100"/>
      <c r="X207" s="122"/>
      <c r="Y207" s="13">
        <f>(Y203+Y204+Y205)/S204</f>
        <v>5228.859931230545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3.3964523744511683E-3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-2.1999999999999997</v>
      </c>
      <c r="K210" s="129"/>
      <c r="W210" s="50">
        <f>W212-W211+W214-W213</f>
        <v>-0.42489331960678101</v>
      </c>
    </row>
    <row r="211" spans="1:37">
      <c r="A211" s="237">
        <v>9</v>
      </c>
      <c r="B211" t="s">
        <v>2453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21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4.75</v>
      </c>
      <c r="J211" s="19">
        <f>I211/S211</f>
        <v>1.1039066675962722E-2</v>
      </c>
      <c r="K211" s="36" cm="1">
        <f t="array" ref="K211">_xll.BDP($B211&amp;" Equity","bid")</f>
        <v>4.6500000000000004</v>
      </c>
      <c r="L211" s="36" cm="1">
        <f t="array" ref="L211">_xll.BDP($B211&amp;" Equity","ask")</f>
        <v>4.75</v>
      </c>
      <c r="M211" s="40">
        <f>(L211/K211-1)</f>
        <v>2.1505376344086002E-2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95000</v>
      </c>
      <c r="Q211" s="58">
        <f>P211/'Master P&amp;L'!$AD$5*10000</f>
        <v>0.42296757229437881</v>
      </c>
      <c r="R211" s="37" cm="1">
        <f t="array" ref="R211">_xll.BDP($C211&amp;" Equity","EST_PE_NXT_YR")*(T211/S211)</f>
        <v>23.351835981264024</v>
      </c>
      <c r="S211" s="36" cm="1">
        <f t="array" ref="S211">_xll.BDP(C211&amp;" Equity","LAST_PRICE")</f>
        <v>430.29</v>
      </c>
      <c r="T211" s="53" cm="1">
        <f t="array" ref="T211">_xll.BDP(B211&amp;" Equity","OPT_STRIKE_PX")</f>
        <v>445</v>
      </c>
      <c r="U211" s="40">
        <f>T211/S211-1</f>
        <v>3.418624648492874E-2</v>
      </c>
      <c r="V211" s="37" cm="1">
        <f t="array" ref="V211">_xll.BDP($B211&amp;" Equity","ivol_mid")</f>
        <v>25.18243</v>
      </c>
      <c r="W211" s="38" cm="1">
        <f t="array" ref="W211">_xll.BDP(B211&amp;" Equity","DELTA_MID_RT")</f>
        <v>0.3017200231552124</v>
      </c>
      <c r="X211" s="48">
        <f>Y211/'Master P&amp;L'!$AE$5</f>
        <v>1.1560559370879452E-3</v>
      </c>
      <c r="Y211" s="15">
        <f>IF(G211="Sell", S211*W211*-H211*O211/N211, S211*W211*H211*O211/N211)</f>
        <v>2596542.1752691269</v>
      </c>
      <c r="Z211" s="15" cm="1">
        <f t="array" ref="Z211">_xll.BDP($B211&amp;" Equity","opt_theta")*H211*O211/N211</f>
        <v>-4343.6799999999994</v>
      </c>
      <c r="AA211" s="19" cm="1">
        <f t="array" ref="AA211">_xll.BDP($B211&amp;" Equity","opt_theta")/I211</f>
        <v>-4.5722947368421051E-2</v>
      </c>
      <c r="AB211" s="36" t="str" cm="1">
        <f t="array" ref="AB211">_xll.BDP($C211&amp;" Equity","EXPECTED_REPORT_DT")</f>
        <v>30/04/2026</v>
      </c>
      <c r="AC211" s="15">
        <f>S211*H211*O211/N211</f>
        <v>8605800</v>
      </c>
      <c r="AD211" s="19">
        <f>AC211/'Master P&amp;L'!$AE$5</f>
        <v>3.8315519301589107E-3</v>
      </c>
      <c r="AE211" t="s">
        <v>1875</v>
      </c>
      <c r="AK211" t="s">
        <v>1791</v>
      </c>
    </row>
    <row r="212" spans="1:37">
      <c r="A212" s="237">
        <v>3</v>
      </c>
      <c r="B212" t="s">
        <v>2450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21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5.95</v>
      </c>
      <c r="J212" s="19">
        <f>I212/S212</f>
        <v>1.3827883520416463E-2</v>
      </c>
      <c r="K212" s="36" cm="1">
        <f t="array" ref="K212">_xll.BDP($B212&amp;" Equity","bid")</f>
        <v>5.95</v>
      </c>
      <c r="L212" s="36" cm="1">
        <f t="array" ref="L212">_xll.BDP($B212&amp;" Equity","ask")</f>
        <v>6.1</v>
      </c>
      <c r="M212" s="40">
        <f>(L212/K212-1)</f>
        <v>2.5210084033613356E-2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-119000</v>
      </c>
      <c r="Q212" s="58">
        <f>P212/'Master P&amp;L'!$AD$5*10000</f>
        <v>-0.52982253792664291</v>
      </c>
      <c r="R212" s="37" cm="1">
        <f t="array" ref="R212">_xll.BDP($C212&amp;" Equity","EST_PE_NXT_YR")*(T212/S212)</f>
        <v>22.039935083440202</v>
      </c>
      <c r="S212" s="36" cm="1">
        <f t="array" ref="S212">_xll.BDP(C212&amp;" Equity","LAST_PRICE")</f>
        <v>430.29</v>
      </c>
      <c r="T212" s="53" cm="1">
        <f t="array" ref="T212">_xll.BDP(B212&amp;" Equity","OPT_STRIKE_PX")</f>
        <v>420</v>
      </c>
      <c r="U212" s="40">
        <f>T212/S212-1</f>
        <v>-2.3914104441190909E-2</v>
      </c>
      <c r="V212" s="37" cm="1">
        <f t="array" ref="V212">_xll.BDP($B212&amp;" Equity","ivol_mid")</f>
        <v>25.91262</v>
      </c>
      <c r="W212" s="38" cm="1">
        <f t="array" ref="W212">_xll.BDP(B212&amp;" Equity","DELTA_MID_RT")</f>
        <v>-0.33363521099090576</v>
      </c>
      <c r="X212" s="48">
        <f>Y212/'Master P&amp;L'!$AE$5</f>
        <v>1.2783406366411805E-3</v>
      </c>
      <c r="Y212" s="15">
        <f>IF(G212="Sell", S212*W212*-H212*O212/N212, S212*W212*H212*O212/N212)</f>
        <v>2871197.8987455373</v>
      </c>
      <c r="Z212" s="15" cm="1">
        <f t="array" ref="Z212">_xll.BDP($B212&amp;" Equity","opt_theta")*H212*O212/N212</f>
        <v>-4869.2800000000007</v>
      </c>
      <c r="AA212" s="19" cm="1">
        <f t="array" ref="AA212">_xll.BDP($B212&amp;" Equity","opt_theta")/I212</f>
        <v>-4.0918319327731094E-2</v>
      </c>
      <c r="AB212" s="36" t="str" cm="1">
        <f t="array" ref="AB212">_xll.BDP($C212&amp;" Equity","EXPECTED_REPORT_DT")</f>
        <v>30/04/2026</v>
      </c>
      <c r="AC212" s="15">
        <f>S212*H212*O212/N212</f>
        <v>8605800</v>
      </c>
      <c r="AD212" s="48">
        <f>AC212/'Master P&amp;L'!$AE$5</f>
        <v>3.8315519301589107E-3</v>
      </c>
      <c r="AE212" t="s">
        <v>1876</v>
      </c>
      <c r="AK212" t="s">
        <v>1792</v>
      </c>
    </row>
    <row r="213" spans="1:37">
      <c r="A213" s="237">
        <v>20</v>
      </c>
      <c r="B213" t="s">
        <v>2452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21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3.4</v>
      </c>
      <c r="J213" s="19">
        <f>I213/S213</f>
        <v>7.9016477259522648E-3</v>
      </c>
      <c r="K213" s="36" cm="1">
        <f t="array" ref="K213">_xll.BDP($B213&amp;" Equity","bid")</f>
        <v>3.3</v>
      </c>
      <c r="L213" s="36" cm="1">
        <f t="array" ref="L213">_xll.BDP($B213&amp;" Equity","ask")</f>
        <v>3.4</v>
      </c>
      <c r="M213" s="40">
        <f>(L213/K213-1)</f>
        <v>3.0303030303030276E-2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68000</v>
      </c>
      <c r="Q213" s="58">
        <f>P213/'Master P&amp;L'!$AD$5*10000</f>
        <v>0.3027557359580817</v>
      </c>
      <c r="R213" s="37" cm="1">
        <f t="array" ref="R213">_xll.BDP($C213&amp;" Equity","EST_PE_NXT_YR")*(T213/S213)</f>
        <v>21.515174724310675</v>
      </c>
      <c r="S213" s="36" cm="1">
        <f t="array" ref="S213">_xll.BDP(C213&amp;" Equity","LAST_PRICE")</f>
        <v>430.29</v>
      </c>
      <c r="T213" s="53" cm="1">
        <f t="array" ref="T213">_xll.BDP(B213&amp;" Equity","OPT_STRIKE_PX")</f>
        <v>410</v>
      </c>
      <c r="U213" s="40">
        <f>T213/S213-1</f>
        <v>-4.7154244811638657E-2</v>
      </c>
      <c r="V213" s="37" cm="1">
        <f t="array" ref="V213">_xll.BDP(B213&amp;" Equity","ivol_mid")</f>
        <v>26.727910000000001</v>
      </c>
      <c r="W213" s="38" cm="1">
        <f t="array" ref="W213">_xll.BDP(B213&amp;" Equity","DELTA_MID_RT")</f>
        <v>-0.21046191453933716</v>
      </c>
      <c r="X213" s="48">
        <f>Y213/'Master P&amp;L'!$AE$5</f>
        <v>-8.06395754878137E-4</v>
      </c>
      <c r="Y213" s="15">
        <f>IF(G213="Sell", S213*W213*-H213*O213/N213, S213*W213*H213*O213/N213)</f>
        <v>-1811193.1441426277</v>
      </c>
      <c r="Z213" s="15" cm="1">
        <f t="array" ref="Z213">_xll.BDP($B213&amp;" Equity","opt_theta")*H213*O213/N213</f>
        <v>-4027.3199999999997</v>
      </c>
      <c r="AA213" s="19" cm="1">
        <f t="array" ref="AA213">_xll.BDP($B213&amp;" Equity","opt_theta")/I213</f>
        <v>-5.9225294117647057E-2</v>
      </c>
      <c r="AB213" s="36" t="str" cm="1">
        <f t="array" ref="AB213">_xll.BDP($C213&amp;" Equity","EXPECTED_REPORT_DT")</f>
        <v>30/04/2026</v>
      </c>
      <c r="AC213" s="15">
        <f>S213*H213*O213/N213</f>
        <v>8605800</v>
      </c>
      <c r="AD213" s="19">
        <f>AC213/'Master P&amp;L'!$AE$5</f>
        <v>3.8315519301589107E-3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-2.1999999999999997</v>
      </c>
      <c r="J215" s="100" t="s">
        <v>249</v>
      </c>
      <c r="K215" s="101">
        <f>K214/L212</f>
        <v>0</v>
      </c>
      <c r="P215" s="130">
        <f>P212+P214+P211+P213</f>
        <v>44000</v>
      </c>
      <c r="Q215" s="58">
        <f>P215/'Master P&amp;L'!$AD$5*10000</f>
        <v>0.19590077032581754</v>
      </c>
      <c r="S215" s="100" t="s">
        <v>251</v>
      </c>
      <c r="T215" s="102"/>
      <c r="W215" s="100" t="s">
        <v>252</v>
      </c>
      <c r="X215" s="122">
        <f>X212+X214+X211+X213</f>
        <v>1.6280008188509889E-3</v>
      </c>
      <c r="AC215" s="100" t="s">
        <v>229</v>
      </c>
      <c r="AD215" s="122">
        <f>AD212</f>
        <v>3.8315519301589107E-3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12707.104682922363</v>
      </c>
      <c r="AC216" s="100"/>
      <c r="AD216" s="104"/>
    </row>
    <row r="217" spans="1:37">
      <c r="C217">
        <f>H211*(T211-T212)*100+P215</f>
        <v>544000</v>
      </c>
      <c r="D217" s="64"/>
      <c r="H217" s="96"/>
      <c r="I217" s="64">
        <f>I212-I211</f>
        <v>1.2000000000000002</v>
      </c>
      <c r="K217" s="64">
        <f>(I211/25*A211)+(I212/25*A212)-(I214/25*A214)</f>
        <v>2.4239999999999999</v>
      </c>
      <c r="N217" s="36"/>
      <c r="O217" s="162"/>
      <c r="P217" s="15"/>
      <c r="Q217" s="58"/>
    </row>
    <row r="218" spans="1:37">
      <c r="C218">
        <f>C217/'Master P&amp;L'!$AD$5*10000</f>
        <v>2.4220458876646536</v>
      </c>
      <c r="I218" s="64">
        <f>I213-I214</f>
        <v>3.4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2.833333333333333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18.499999999999996</v>
      </c>
      <c r="J221" s="64">
        <f>I224-I225</f>
        <v>9.4500000000000011</v>
      </c>
      <c r="K221" s="129"/>
      <c r="W221" s="50">
        <f>W223-W222+W225-W224</f>
        <v>0.30070450901985168</v>
      </c>
    </row>
    <row r="222" spans="1:37">
      <c r="A222" s="237">
        <v>9</v>
      </c>
      <c r="B222" s="59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139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17.05</v>
      </c>
      <c r="J222" s="19">
        <f>I222/S222</f>
        <v>5.1463929972834291E-2</v>
      </c>
      <c r="K222" s="36" cm="1">
        <f t="array" ref="K222">_xll.BDP($B222&amp;" Equity","bid")</f>
        <v>17.05</v>
      </c>
      <c r="L222" s="36" cm="1">
        <f t="array" ref="L222">_xll.BDP($B222&amp;" Equity","ask")</f>
        <v>17.5</v>
      </c>
      <c r="M222" s="40">
        <f>(L222/K222-1)</f>
        <v>2.6392961876832821E-2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-85250</v>
      </c>
      <c r="Q222" s="58">
        <f>P222/'Master P&amp;L'!$AD$5*10000</f>
        <v>-0.3795577425062715</v>
      </c>
      <c r="R222" s="37" cm="1">
        <f t="array" ref="R222">_xll.BDP($C222&amp;" Equity","EST_PE_NXT_YR")*(T222/S222)</f>
        <v>28.82416012009541</v>
      </c>
      <c r="S222" s="36" cm="1">
        <f t="array" ref="S222">_xll.BDP(C222&amp;" Equity","LAST_PRICE")</f>
        <v>331.3</v>
      </c>
      <c r="T222" s="53" cm="1">
        <f t="array" ref="T222">_xll.BDP(B222&amp;" Equity","OPT_STRIKE_PX")</f>
        <v>410</v>
      </c>
      <c r="U222" s="40">
        <f>T222/S222-1</f>
        <v>0.23754904920012065</v>
      </c>
      <c r="V222" s="37" cm="1">
        <f t="array" ref="V222">_xll.BDP($B222&amp;" Equity","ivol_mid")</f>
        <v>49.766019999999997</v>
      </c>
      <c r="W222" s="38" cm="1">
        <f t="array" ref="W222">_xll.BDP(B222&amp;" Equity","DELTA_MID_RT")</f>
        <v>0.30921751260757446</v>
      </c>
      <c r="X222" s="48">
        <f>Y222/'Master P&amp;L'!$AE$5</f>
        <v>-2.28054680415367E-4</v>
      </c>
      <c r="Y222" s="15">
        <f>IF(G222="Sell", S222*W222*-H222*O222/N222, S222*W222*H222*O222/N222)</f>
        <v>-512218.8096344471</v>
      </c>
      <c r="Z222" s="15" cm="1">
        <f t="array" ref="Z222">_xll.BDP($B222&amp;" Equity","opt_theta")*H222*O222/N222</f>
        <v>-644.17499999999995</v>
      </c>
      <c r="AA222" s="19" cm="1">
        <f t="array" ref="AA222">_xll.BDP($B222&amp;" Equity","opt_theta")/I222</f>
        <v>-7.556304985337243E-3</v>
      </c>
      <c r="AB222" s="36" t="str" cm="1">
        <f t="array" ref="AB222">_xll.BDP($C222&amp;" Equity","EXPECTED_REPORT_DT")</f>
        <v>06/03/2026</v>
      </c>
      <c r="AC222" s="15">
        <f>S222*H222*O222/N222</f>
        <v>1656500</v>
      </c>
      <c r="AD222" s="19">
        <f>AC222/'Master P&amp;L'!$AE$5</f>
        <v>7.3752187737435632E-4</v>
      </c>
      <c r="AE222" t="s">
        <v>1875</v>
      </c>
      <c r="AK222" t="s">
        <v>1791</v>
      </c>
    </row>
    <row r="223" spans="1:37">
      <c r="A223" s="237">
        <v>3</v>
      </c>
      <c r="B223" s="59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139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35.549999999999997</v>
      </c>
      <c r="J223" s="19">
        <f>I223/S223</f>
        <v>0.10730455780259582</v>
      </c>
      <c r="K223" s="36" cm="1">
        <f t="array" ref="K223">_xll.BDP($B223&amp;" Equity","bid")</f>
        <v>34.9</v>
      </c>
      <c r="L223" s="36" cm="1">
        <f t="array" ref="L223">_xll.BDP($B223&amp;" Equity","ask")</f>
        <v>35.549999999999997</v>
      </c>
      <c r="M223" s="40">
        <f>(L223/K223-1)</f>
        <v>1.862464183381074E-2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177749.99999999997</v>
      </c>
      <c r="Q223" s="58">
        <f>P223/'Master P&amp;L'!$AD$5*10000</f>
        <v>0.791394589213956</v>
      </c>
      <c r="R223" s="37" cm="1">
        <f t="array" ref="R223">_xll.BDP($C223&amp;" Equity","EST_PE_NXT_YR")*(T223/S223)</f>
        <v>24.60599034642291</v>
      </c>
      <c r="S223" s="36" cm="1">
        <f t="array" ref="S223">_xll.BDP(C223&amp;" Equity","LAST_PRICE")</f>
        <v>331.3</v>
      </c>
      <c r="T223" s="53" cm="1">
        <f t="array" ref="T223">_xll.BDP(B223&amp;" Equity","OPT_STRIKE_PX")</f>
        <v>350</v>
      </c>
      <c r="U223" s="40">
        <f>T223/S223-1</f>
        <v>5.6444310292785849E-2</v>
      </c>
      <c r="V223" s="37" cm="1">
        <f t="array" ref="V223">_xll.BDP($B223&amp;" Equity","ivol_mid")</f>
        <v>50.514809999999997</v>
      </c>
      <c r="W223" s="38" cm="1">
        <f t="array" ref="W223">_xll.BDP(B223&amp;" Equity","DELTA_MID_RT")</f>
        <v>0.50905394554138184</v>
      </c>
      <c r="X223" s="48">
        <f>Y223/'Master P&amp;L'!$AE$5</f>
        <v>3.7543842160050328E-4</v>
      </c>
      <c r="Y223" s="15">
        <f>IF(G223="Sell", S223*W223*-H223*O223/N223, S223*W223*H223*O223/N223)</f>
        <v>843247.86078929901</v>
      </c>
      <c r="Z223" s="15" cm="1">
        <f t="array" ref="Z223">_xll.BDP($B223&amp;" Equity","opt_theta")*H223*O223/N223</f>
        <v>-733.8</v>
      </c>
      <c r="AA223" s="19" cm="1">
        <f t="array" ref="AA223">_xll.BDP($B223&amp;" Equity","opt_theta")/I223</f>
        <v>-4.1282700421940936E-3</v>
      </c>
      <c r="AB223" s="36" t="str" cm="1">
        <f t="array" ref="AB223">_xll.BDP($C223&amp;" Equity","EXPECTED_REPORT_DT")</f>
        <v>06/03/2026</v>
      </c>
      <c r="AC223" s="15">
        <f>S223*H223*O223/N223</f>
        <v>1656500</v>
      </c>
      <c r="AD223" s="48">
        <f>AC223/'Master P&amp;L'!$AE$5</f>
        <v>7.3752187737435632E-4</v>
      </c>
      <c r="AE223" t="s">
        <v>1876</v>
      </c>
      <c r="AK223" t="s">
        <v>1792</v>
      </c>
    </row>
    <row r="224" spans="1:37">
      <c r="A224" s="237"/>
      <c r="B224" s="59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139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24.55</v>
      </c>
      <c r="J224" s="19">
        <f>I224/S224</f>
        <v>7.4102022336251128E-2</v>
      </c>
      <c r="K224" s="36" cm="1">
        <f t="array" ref="K224">_xll.BDP($B224&amp;" Equity","bid")</f>
        <v>24.55</v>
      </c>
      <c r="L224" s="36" cm="1">
        <f t="array" ref="L224">_xll.BDP($B224&amp;" Equity","ask")</f>
        <v>25</v>
      </c>
      <c r="M224" s="40">
        <f>(L224/K224-1)</f>
        <v>1.8329938900203624E-2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-122750</v>
      </c>
      <c r="Q224" s="58">
        <f>P224/'Master P&amp;L'!$AD$5*10000</f>
        <v>-0.54651862630668413</v>
      </c>
      <c r="R224" s="37" cm="1">
        <f t="array" ref="R224">_xll.BDP($C224&amp;" Equity","EST_PE_NXT_YR")*(T224/S224)</f>
        <v>21.090848868362496</v>
      </c>
      <c r="S224" s="36" cm="1">
        <f t="array" ref="S224">_xll.BDP(C224&amp;" Equity","LAST_PRICE")</f>
        <v>331.3</v>
      </c>
      <c r="T224" s="53" cm="1">
        <f t="array" ref="T224">_xll.BDP(B224&amp;" Equity","OPT_STRIKE_PX")</f>
        <v>300</v>
      </c>
      <c r="U224" s="40">
        <f>T224/S224-1</f>
        <v>-9.4476305463326304E-2</v>
      </c>
      <c r="V224" s="37" cm="1">
        <f t="array" ref="V224">_xll.BDP(B224&amp;" Equity","ivol_mid")</f>
        <v>52.133769999999998</v>
      </c>
      <c r="W224" s="38" cm="1">
        <f t="array" ref="W224">_xll.BDP(B224&amp;" Equity","DELTA_MID_RT")</f>
        <v>-0.30709168314933777</v>
      </c>
      <c r="X224" s="48">
        <f>Y224/'Master P&amp;L'!$AE$5</f>
        <v>2.2648683468235058E-4</v>
      </c>
      <c r="Y224" s="15">
        <f>IF(G224="Sell", S224*W224*-H224*O224/N224, S224*W224*H224*O224/N224)</f>
        <v>508697.37313687801</v>
      </c>
      <c r="Z224" s="15" cm="1">
        <f t="array" ref="Z224">_xll.BDP($B224&amp;" Equity","opt_theta")*H224*O224/N224</f>
        <v>-670.65</v>
      </c>
      <c r="AA224" s="19" cm="1">
        <f t="array" ref="AA224">_xll.BDP($B224&amp;" Equity","opt_theta")/I224</f>
        <v>-5.4635437881873725E-3</v>
      </c>
      <c r="AB224" s="36" t="str" cm="1">
        <f t="array" ref="AB224">_xll.BDP($C224&amp;" Equity","EXPECTED_REPORT_DT")</f>
        <v>06/03/2026</v>
      </c>
      <c r="AC224" s="15">
        <f>S224*H224*O224/N224</f>
        <v>1656500</v>
      </c>
      <c r="AD224" s="19">
        <f>AC224/'Master P&amp;L'!$AE$5</f>
        <v>7.3752187737435632E-4</v>
      </c>
      <c r="AE224" t="s">
        <v>1877</v>
      </c>
      <c r="AK224" t="s">
        <v>1793</v>
      </c>
    </row>
    <row r="225" spans="1:37">
      <c r="A225" s="237"/>
      <c r="B225" s="59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139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15.1</v>
      </c>
      <c r="J225" s="19">
        <f>I225/S225</f>
        <v>4.5578025958345911E-2</v>
      </c>
      <c r="K225" s="36" cm="1">
        <f t="array" ref="K225">_xll.BDP($B225&amp;" Equity","bid")</f>
        <v>14.8</v>
      </c>
      <c r="L225" s="36" cm="1">
        <f t="array" ref="L225">_xll.BDP($B225&amp;" Equity","ask")</f>
        <v>15.1</v>
      </c>
      <c r="M225" s="40">
        <f>(L225/K225-1)</f>
        <v>2.0270270270270174E-2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75500</v>
      </c>
      <c r="Q225" s="58">
        <f>P225/'Master P&amp;L'!$AD$5*10000</f>
        <v>0.33614791271816419</v>
      </c>
      <c r="R225" s="37" cm="1">
        <f t="array" ref="R225">_xll.BDP($C225&amp;" Equity","EST_PE_NXT_YR")*(T225/S225)</f>
        <v>18.981763981526246</v>
      </c>
      <c r="S225" s="36" cm="1">
        <f t="array" ref="S225">_xll.BDP(C225&amp;" Equity","LAST_PRICE")</f>
        <v>331.3</v>
      </c>
      <c r="T225" s="53" cm="1">
        <f t="array" ref="T225">_xll.BDP(B225&amp;" Equity","OPT_STRIKE_PX")</f>
        <v>270</v>
      </c>
      <c r="U225" s="40">
        <f>T225/S225-1</f>
        <v>-0.18502867491699371</v>
      </c>
      <c r="V225" s="37" cm="1">
        <f t="array" ref="V225">_xll.BDP(B225&amp;" Equity","ivol_mid")</f>
        <v>53.752130000000001</v>
      </c>
      <c r="W225" s="38" cm="1">
        <f t="array" ref="W225">_xll.BDP(B225&amp;" Equity","DELTA_MID_RT")</f>
        <v>-0.20622360706329346</v>
      </c>
      <c r="X225" s="48">
        <f>Y225/'Master P&amp;L'!$AE$5</f>
        <v>-1.5209442184023177E-4</v>
      </c>
      <c r="Y225" s="15">
        <f>IF(G225="Sell", S225*W225*-H225*O225/N225, S225*W225*H225*O225/N225)</f>
        <v>-341609.40510034567</v>
      </c>
      <c r="Z225" s="15" cm="1">
        <f t="array" ref="Z225">_xll.BDP($B225&amp;" Equity","opt_theta")*H225*O225/N225</f>
        <v>-565.71499999999992</v>
      </c>
      <c r="AA225" s="19" cm="1">
        <f t="array" ref="AA225">_xll.BDP($B225&amp;" Equity","opt_theta")/I225</f>
        <v>-7.4929139072847676E-3</v>
      </c>
      <c r="AB225" s="36" t="str" cm="1">
        <f t="array" ref="AB225">_xll.BDP($C225&amp;" Equity","EXPECTED_REPORT_DT")</f>
        <v>06/03/2026</v>
      </c>
      <c r="AC225" s="15">
        <f>S225*H225*O225/N225</f>
        <v>1656500</v>
      </c>
      <c r="AD225" s="19">
        <f>AC225/'Master P&amp;L'!$AE$5</f>
        <v>7.3752187737435632E-4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9.0499999999999972</v>
      </c>
      <c r="J226" s="100" t="s">
        <v>249</v>
      </c>
      <c r="K226" s="101">
        <f>K225/L223</f>
        <v>0.41631504922644169</v>
      </c>
      <c r="P226" s="130">
        <f>P223+P225+P222+P224</f>
        <v>45249.999999999971</v>
      </c>
      <c r="Q226" s="58">
        <f>P226/'Master P&amp;L'!$AD$5*10000</f>
        <v>0.2014661331191645</v>
      </c>
      <c r="S226" s="100" t="s">
        <v>251</v>
      </c>
      <c r="T226" s="102"/>
      <c r="W226" s="100" t="s">
        <v>252</v>
      </c>
      <c r="X226" s="122">
        <f>X223+X225+X222+X224</f>
        <v>2.2177615402725509E-4</v>
      </c>
      <c r="AC226" s="100" t="s">
        <v>229</v>
      </c>
      <c r="AD226" s="122">
        <f>AD223</f>
        <v>7.3752187737435632E-4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8.1249999999999929</v>
      </c>
      <c r="P227" s="100"/>
      <c r="Q227" s="108"/>
      <c r="S227" s="100"/>
      <c r="T227" s="102"/>
      <c r="W227" s="100"/>
      <c r="X227" s="122"/>
      <c r="Y227" s="13">
        <f>(Y222+Y223+Y224)/S223</f>
        <v>2534.6405804157257</v>
      </c>
      <c r="AC227" s="100"/>
      <c r="AD227" s="104"/>
    </row>
    <row r="228" spans="1:37">
      <c r="D228" s="64"/>
      <c r="H228" s="96"/>
      <c r="I228" s="64">
        <f>I223-I222</f>
        <v>18.499999999999996</v>
      </c>
      <c r="K228" s="64">
        <f>(I222/25*A222)+(I223/25*A223)-(I225/25*A225)</f>
        <v>10.404</v>
      </c>
      <c r="N228" s="36"/>
      <c r="O228" s="162"/>
      <c r="P228" s="15"/>
      <c r="Q228" s="58"/>
    </row>
    <row r="229" spans="1:37">
      <c r="I229" s="64">
        <f>I224-I225</f>
        <v>9.4500000000000011</v>
      </c>
      <c r="K229">
        <v>11.59</v>
      </c>
      <c r="M229" s="267">
        <f>(I226-K227)*500*100</f>
        <v>46250.000000000218</v>
      </c>
      <c r="P229">
        <v>-7500</v>
      </c>
      <c r="S229">
        <v>521.79999999999995</v>
      </c>
    </row>
    <row r="230" spans="1:37">
      <c r="I230" s="40">
        <f>I229/I228</f>
        <v>0.51081081081081092</v>
      </c>
    </row>
    <row r="231" spans="1:37">
      <c r="I231" s="64"/>
    </row>
    <row r="232" spans="1:37">
      <c r="I232" s="64"/>
    </row>
    <row r="233" spans="1:37">
      <c r="A233" s="439">
        <f>P233/Y233</f>
        <v>0.19376373306152636</v>
      </c>
      <c r="B233" s="59" t="s">
        <v>2293</v>
      </c>
      <c r="C233" t="str" cm="1">
        <f t="array" ref="C233">_xll.BDP(B233&amp;" Equity","OPT_UNDL_TICKER")</f>
        <v>META US</v>
      </c>
      <c r="D233" s="43">
        <f>J233+U233</f>
        <v>7.6831821353803231E-2</v>
      </c>
      <c r="E233" cm="1">
        <f t="array" ref="E233">_xll.BDP($B233&amp;" Index","opt_days_expire")</f>
        <v>168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91.55</v>
      </c>
      <c r="J233" s="19">
        <f>I233/S233</f>
        <v>0.12777390090718771</v>
      </c>
      <c r="K233" s="36" cm="1">
        <f t="array" ref="K233">_xll.BDP($B233&amp;" Equity","bid")</f>
        <v>89.05</v>
      </c>
      <c r="L233" s="36" cm="1">
        <f t="array" ref="L233">_xll.BDP($B233&amp;" Equity","ask")</f>
        <v>91.55</v>
      </c>
      <c r="M233" s="40">
        <f>(L233/K233-1)</f>
        <v>2.8074115665356558E-2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366200</v>
      </c>
      <c r="Q233" s="58">
        <f>P233/'Master P&amp;L'!$AD$5*10000</f>
        <v>1.6304286839389632</v>
      </c>
      <c r="R233" s="37" cm="1">
        <f t="array" ref="R233">_xll.BDP($C233&amp;" Equity","EST_PE_NXT_YR")*(T233/S233)</f>
        <v>18.077642538110833</v>
      </c>
      <c r="S233" s="36" cm="1">
        <f t="array" ref="S233">_xll.BDP(C233&amp;" Equity","LAST_PRICE")</f>
        <v>716.5</v>
      </c>
      <c r="T233" s="53" cm="1">
        <f t="array" ref="T233">_xll.BDP(B233&amp;" Equity","OPT_STRIKE_PX")</f>
        <v>680</v>
      </c>
      <c r="U233" s="40">
        <f>T233/S233-1</f>
        <v>-5.0942079553384478E-2</v>
      </c>
      <c r="V233" s="37" cm="1">
        <f t="array" ref="V233">_xll.BDP($B233&amp;" Equity","ivol_mid")</f>
        <v>34.694459999999999</v>
      </c>
      <c r="W233" s="38" cm="1">
        <f t="array" ref="W233">_xll.BDP(B233&amp;" Equity","DELTA_MID_RT")</f>
        <v>0.65943145751953125</v>
      </c>
      <c r="X233" s="48">
        <f>Y233/'Master P&amp;L'!$AE$5</f>
        <v>8.4145193642674529E-4</v>
      </c>
      <c r="Y233" s="15">
        <f>IF(G233="Sell", S233*W233*-H233*O233/N233, S233*W233*H233*O233/N233)</f>
        <v>1889930.5572509766</v>
      </c>
      <c r="Z233" s="15" cm="1">
        <f t="array" ref="Z233">_xll.BDP($B233&amp;" Equity","opt_theta")*H233*O233/N233</f>
        <v>-957.65999999999985</v>
      </c>
      <c r="AA233" s="19" cm="1">
        <f t="array" ref="AA233">_xll.BDP($B233&amp;" Equity","opt_theta")/I233</f>
        <v>-2.6151283451665754E-3</v>
      </c>
      <c r="AB233" s="36" t="str" cm="1">
        <f t="array" ref="AB233">_xll.BDP($C233&amp;" Equity","EXPECTED_REPORT_DT")</f>
        <v>30/04/2026</v>
      </c>
      <c r="AC233" s="15">
        <f>S233*H233*O233/N233</f>
        <v>2866000</v>
      </c>
      <c r="AD233" s="48">
        <f>AC233/'Master P&amp;L'!$AE$5</f>
        <v>1.2760263812586206E-3</v>
      </c>
      <c r="AE233" t="str">
        <f>B233&amp;" -&gt; Buy to open "&amp;H233&amp;"x"</f>
        <v>META US 07/17/26 C680 -&gt; Buy to open 40x</v>
      </c>
    </row>
    <row r="234" spans="1:37">
      <c r="A234" s="439">
        <f t="shared" ref="A234:A235" si="0">P234/Y234</f>
        <v>0.1718430543009894</v>
      </c>
      <c r="B234" s="59" t="s">
        <v>2286</v>
      </c>
      <c r="C234" t="str" cm="1">
        <f t="array" ref="C234">_xll.BDP(B234&amp;" Equity","OPT_UNDL_TICKER")</f>
        <v>AMZN US</v>
      </c>
      <c r="D234" s="43">
        <f>J234+U234</f>
        <v>0.13100710405348936</v>
      </c>
      <c r="E234" cm="1">
        <f t="array" ref="E234">_xll.BDP($B234&amp;" Index","opt_days_expire")</f>
        <v>168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20.65</v>
      </c>
      <c r="J234" s="19">
        <f>I234/S234</f>
        <v>8.6293355620559953E-2</v>
      </c>
      <c r="K234" s="36" cm="1">
        <f t="array" ref="K234">_xll.BDP($B234&amp;" Equity","bid")</f>
        <v>19.05</v>
      </c>
      <c r="L234" s="36" cm="1">
        <f t="array" ref="L234">_xll.BDP($B234&amp;" Equity","ask")</f>
        <v>20.65</v>
      </c>
      <c r="M234" s="40">
        <f>(L234/K234-1)</f>
        <v>8.3989501312335735E-2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216825</v>
      </c>
      <c r="Q234" s="58">
        <f>P234/'Master P&amp;L'!$AD$5*10000</f>
        <v>0.96536783013398608</v>
      </c>
      <c r="R234" s="37" cm="1">
        <f t="array" ref="R234">_xll.BDP($C234&amp;" Equity","EST_PE_NXT_YR")*(T234/S234)</f>
        <v>26.299366152152</v>
      </c>
      <c r="S234" s="36" cm="1">
        <f t="array" ref="S234">_xll.BDP(C234&amp;" Equity","LAST_PRICE")</f>
        <v>239.3</v>
      </c>
      <c r="T234" s="53" cm="1">
        <f t="array" ref="T234">_xll.BDP(B234&amp;" Equity","OPT_STRIKE_PX")</f>
        <v>250</v>
      </c>
      <c r="U234" s="40">
        <f>T234/S234-1</f>
        <v>4.4713748432929412E-2</v>
      </c>
      <c r="V234" s="37" cm="1">
        <f t="array" ref="V234">_xll.BDP(B234&amp;" Equity","ivol_mid")</f>
        <v>35.397280000000002</v>
      </c>
      <c r="W234" s="38" cm="1">
        <f t="array" ref="W234">_xll.BDP(B234&amp;" Equity","DELTA_MID_RT")</f>
        <v>0.50216376781463623</v>
      </c>
      <c r="X234" s="48">
        <f>Y234/'Master P&amp;L'!$AE$5</f>
        <v>5.6177297014466999E-4</v>
      </c>
      <c r="Y234" s="15">
        <f>IF(G234="Sell", S234*W234*-H234*O234/N234, S234*W234*H234*O234/N234)</f>
        <v>1261761.7911994457</v>
      </c>
      <c r="Z234" s="15" cm="1">
        <f t="array" ref="Z234">_xll.BDP($B234&amp;" Equity","opt_theta")*H234*O234/N234</f>
        <v>-695.92950000000008</v>
      </c>
      <c r="AA234" s="19" cm="1">
        <f t="array" ref="AA234">_xll.BDP($B234&amp;" Equity","opt_theta")/I234</f>
        <v>-3.2096368038740924E-3</v>
      </c>
      <c r="AB234" s="36" t="str" cm="1">
        <f t="array" ref="AB234">_xll.BDP($C234&amp;" Equity","EXPECTED_REPORT_DT")</f>
        <v>05/02/2026</v>
      </c>
      <c r="AC234" s="15">
        <f>S234*H234*O234/N234</f>
        <v>2512650</v>
      </c>
      <c r="AD234" s="19">
        <f>AC234/'Master P&amp;L'!$AE$5</f>
        <v>1.1187047058162851E-3</v>
      </c>
      <c r="AE234" t="str">
        <f>B234  &amp; " -&gt; Sell to open " &amp;   H234 &amp;"x"</f>
        <v>AMZN US 07/17/26 C250 -&gt; Sell to open 105x</v>
      </c>
    </row>
    <row r="235" spans="1:37">
      <c r="A235" s="439">
        <f t="shared" si="0"/>
        <v>0.11619907205404283</v>
      </c>
      <c r="B235" s="59" t="s">
        <v>2289</v>
      </c>
      <c r="C235" t="str" cm="1">
        <f t="array" ref="C235">_xll.BDP(B235&amp;" Equity","OPT_UNDL_TICKER")</f>
        <v>MSFT US</v>
      </c>
      <c r="D235" s="43">
        <f>J235+U235</f>
        <v>0.13644286411489917</v>
      </c>
      <c r="E235" cm="1">
        <f t="array" ref="E235">_xll.BDP($B235&amp;" Index","opt_days_expire")</f>
        <v>168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19</v>
      </c>
      <c r="J235" s="19">
        <f t="shared" ref="J235" si="2">I235/S235</f>
        <v>4.4156266703850887E-2</v>
      </c>
      <c r="K235" s="36" cm="1">
        <f t="array" ref="K235">_xll.BDP($B235&amp;" Equity","bid")</f>
        <v>18.75</v>
      </c>
      <c r="L235" s="36" cm="1">
        <f t="array" ref="L235">_xll.BDP($B235&amp;" Equity","ask")</f>
        <v>19</v>
      </c>
      <c r="M235" s="40">
        <f t="shared" ref="M235" si="3">(L235/K235-1)</f>
        <v>1.3333333333333419E-2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104500</v>
      </c>
      <c r="Q235" s="58">
        <f>P235/'Master P&amp;L'!$AD$5*10000</f>
        <v>0.46526432952381669</v>
      </c>
      <c r="R235" s="37" cm="1">
        <f t="array" ref="R235">_xll.BDP($C235&amp;" Equity","EST_PE_NXT_YR")*(T235/S235)</f>
        <v>24.663736879087846</v>
      </c>
      <c r="S235" s="36" cm="1">
        <f t="array" ref="S235">_xll.BDP(C235&amp;" Equity","LAST_PRICE")</f>
        <v>430.29</v>
      </c>
      <c r="T235" s="53" cm="1">
        <f t="array" ref="T235">_xll.BDP(B235&amp;" Equity","OPT_STRIKE_PX")</f>
        <v>470</v>
      </c>
      <c r="U235" s="40">
        <f t="shared" ref="U235" si="5">T235/S235-1</f>
        <v>9.2286597411048277E-2</v>
      </c>
      <c r="V235" s="37" cm="1">
        <f t="array" ref="V235">_xll.BDP(B235&amp;" Equity","ivol_mid")</f>
        <v>27.328479999999999</v>
      </c>
      <c r="W235" s="38" cm="1">
        <f t="array" ref="W235">_xll.BDP(B235&amp;" Equity","DELTA_MID_RT")</f>
        <v>0.38000532984733582</v>
      </c>
      <c r="X235" s="48">
        <f>Y235/'Master P&amp;L'!$AE$5</f>
        <v>4.0040279263798916E-4</v>
      </c>
      <c r="Y235" s="15">
        <f t="shared" ref="Y235" si="6">IF(G235="Sell", S235*W235*-H235*O235/N235, S235*W235*H235*O235/N235)</f>
        <v>899318.71359005582</v>
      </c>
      <c r="Z235" s="15" cm="1">
        <f t="array" ref="Z235">_xll.BDP($B235&amp;" Equity","opt_theta")*H235*O235/N235</f>
        <v>-484.38499999999999</v>
      </c>
      <c r="AA235" s="19" cm="1">
        <f t="array" ref="AA235">_xll.BDP($B235&amp;" Equity","opt_theta")/I235</f>
        <v>-4.6352631578947369E-3</v>
      </c>
      <c r="AB235" s="36" t="str" cm="1">
        <f t="array" ref="AB235">_xll.BDP($C235&amp;" Equity","EXPECTED_REPORT_DT")</f>
        <v>30/04/2026</v>
      </c>
      <c r="AC235" s="15">
        <f t="shared" ref="AC235" si="7">S235*H235*O235/N235</f>
        <v>2366595</v>
      </c>
      <c r="AD235" s="19">
        <f>AC235/'Master P&amp;L'!$AE$5</f>
        <v>1.0536767807937004E-3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39">
        <f t="shared" ref="A236" si="9">P236/Y236</f>
        <v>0.16810631898461664</v>
      </c>
      <c r="B236" s="59" t="s">
        <v>2291</v>
      </c>
      <c r="C236" t="str" cm="1">
        <f t="array" ref="C236">_xll.BDP(B236&amp;" Equity","OPT_UNDL_TICKER")</f>
        <v>GOOG US</v>
      </c>
      <c r="D236" s="43">
        <f>J236+U236</f>
        <v>0.12117094496794979</v>
      </c>
      <c r="E236" cm="1">
        <f t="array" ref="E236">_xll.BDP($B236&amp;" Index","opt_days_expire")</f>
        <v>168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29.55</v>
      </c>
      <c r="J236" s="19">
        <f t="shared" ref="J236" si="11">I236/S236</f>
        <v>8.728916196496618E-2</v>
      </c>
      <c r="K236" s="36" cm="1">
        <f t="array" ref="K236">_xll.BDP($B236&amp;" Equity","bid")</f>
        <v>29.3</v>
      </c>
      <c r="L236" s="36" cm="1">
        <f t="array" ref="L236">_xll.BDP($B236&amp;" Equity","ask")</f>
        <v>29.55</v>
      </c>
      <c r="M236" s="40">
        <f t="shared" ref="M236" si="12">(L236/K236-1)</f>
        <v>8.5324232081911422E-3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206850</v>
      </c>
      <c r="Q236" s="58">
        <f>P236/'Master P&amp;L'!$AD$5*10000</f>
        <v>0.92095623504307633</v>
      </c>
      <c r="R236" s="37" cm="1">
        <f t="array" ref="R236">_xll.BDP($C236&amp;" Equity","EST_PE_NXT_YR")*(T236/S236)</f>
        <v>29.594964449240155</v>
      </c>
      <c r="S236" s="36" cm="1">
        <f t="array" ref="S236">_xll.BDP(C236&amp;" Equity","LAST_PRICE")</f>
        <v>338.53</v>
      </c>
      <c r="T236" s="53" cm="1">
        <f t="array" ref="T236">_xll.BDP(B236&amp;" Equity","OPT_STRIKE_PX")</f>
        <v>350</v>
      </c>
      <c r="U236" s="40">
        <f t="shared" ref="U236" si="14">T236/S236-1</f>
        <v>3.3881783002983612E-2</v>
      </c>
      <c r="V236" s="37" cm="1">
        <f t="array" ref="V236">_xll.BDP(B236&amp;" Equity","ivol_mid")</f>
        <v>35.00864</v>
      </c>
      <c r="W236" s="38" cm="1">
        <f t="array" ref="W236">_xll.BDP(B236&amp;" Equity","DELTA_MID_RT")</f>
        <v>0.51924973726272583</v>
      </c>
      <c r="X236" s="48">
        <f>Y236/'Master P&amp;L'!$AE$5</f>
        <v>5.4784153302848341E-4</v>
      </c>
      <c r="Y236" s="15">
        <f t="shared" ref="Y236" si="15">IF(G236="Sell", S236*W236*-H236*O236/N236, S236*W236*H236*O236/N236)</f>
        <v>1230471.294888854</v>
      </c>
      <c r="Z236" s="15" cm="1">
        <f t="array" ref="Z236">_xll.BDP($B236&amp;" Equity","opt_theta")*H236*O236/N236</f>
        <v>-724.43700000000001</v>
      </c>
      <c r="AA236" s="19" cm="1">
        <f t="array" ref="AA236">_xll.BDP($B236&amp;" Equity","opt_theta")/I236</f>
        <v>-3.502233502538071E-3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2369710</v>
      </c>
      <c r="AD236" s="19">
        <f>AC236/'Master P&amp;L'!$AE$5</f>
        <v>1.0550636692018024E-3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39">
        <f t="shared" ref="A237" si="18">P237/Y237</f>
        <v>0.21586757262746847</v>
      </c>
      <c r="B237" s="59" t="s">
        <v>2292</v>
      </c>
      <c r="C237" t="str" cm="1">
        <f t="array" ref="C237">_xll.BDP(B237&amp;" Equity","OPT_UNDL_TICKER")</f>
        <v>NVDA US</v>
      </c>
      <c r="D237" s="43">
        <f t="shared" ref="D237" si="19">J237+U237</f>
        <v>0.14032334013498676</v>
      </c>
      <c r="E237" cm="1">
        <f t="array" ref="E237">_xll.BDP($B237&amp;" Index","opt_days_expire")</f>
        <v>168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22.95</v>
      </c>
      <c r="J237" s="19">
        <f t="shared" ref="J237" si="21">I237/S237</f>
        <v>0.12007534139067651</v>
      </c>
      <c r="K237" s="36" cm="1">
        <f t="array" ref="K237">_xll.BDP($B237&amp;" Equity","bid")</f>
        <v>22.8</v>
      </c>
      <c r="L237" s="36" cm="1">
        <f t="array" ref="L237">_xll.BDP($B237&amp;" Equity","ask")</f>
        <v>22.95</v>
      </c>
      <c r="M237" s="40">
        <f t="shared" ref="M237" si="22">(L237/K237-1)</f>
        <v>6.5789473684210176E-3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309825</v>
      </c>
      <c r="Q237" s="58">
        <f>P237/'Master P&amp;L'!$AD$5*10000</f>
        <v>1.3794308219590095</v>
      </c>
      <c r="R237" s="37" cm="1">
        <f t="array" ref="R237">_xll.BDP($C237&amp;" Equity","EST_PE_NXT_YR")*(T237/S237)</f>
        <v>25.084064773885519</v>
      </c>
      <c r="S237" s="36" cm="1">
        <f t="array" ref="S237">_xll.BDP(C237&amp;" Equity","LAST_PRICE")</f>
        <v>191.13</v>
      </c>
      <c r="T237" s="53" cm="1">
        <f t="array" ref="T237">_xll.BDP(B237&amp;" Equity","OPT_STRIKE_PX")</f>
        <v>195</v>
      </c>
      <c r="U237" s="40">
        <f t="shared" ref="U237" si="24">T237/S237-1</f>
        <v>2.0247998744310269E-2</v>
      </c>
      <c r="V237" s="37" cm="1">
        <f t="array" ref="V237">_xll.BDP(B237&amp;" Equity","ivol_mid")</f>
        <v>45.072159999999997</v>
      </c>
      <c r="W237" s="38" cm="1">
        <f t="array" ref="W237">_xll.BDP(B237&amp;" Equity","DELTA_MID_RT")</f>
        <v>0.55624538660049438</v>
      </c>
      <c r="X237" s="48">
        <f>Y237/'Master P&amp;L'!$AE$5</f>
        <v>6.390171553647615E-4</v>
      </c>
      <c r="Y237" s="15">
        <f t="shared" ref="Y237" si="25">IF(G237="Sell", S237*W237*-H237*O237/N237, S237*W237*H237*O237/N237)</f>
        <v>1435254.9400028586</v>
      </c>
      <c r="Z237" s="15" cm="1">
        <f t="array" ref="Z237">_xll.BDP($B237&amp;" Equity","opt_theta")*H237*O237/N237</f>
        <v>-897.77700000000016</v>
      </c>
      <c r="AA237" s="19" cm="1">
        <f t="array" ref="AA237">_xll.BDP($B237&amp;" Equity","opt_theta")/I237</f>
        <v>-2.8976906318082794E-3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2580255</v>
      </c>
      <c r="AD237" s="19">
        <f>AC237/'Master P&amp;L'!$AE$5</f>
        <v>1.1488044139478235E-3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-70.900000000000006</v>
      </c>
      <c r="J239" s="19"/>
      <c r="K239" s="109">
        <f>AVERAGE(K233:L233)-AVERAGE(K234:L234)</f>
        <v>70.449999999999989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8"/>
  <sheetViews>
    <sheetView topLeftCell="E40" workbookViewId="0">
      <selection activeCell="H59" sqref="H59:H61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2397</v>
      </c>
      <c r="J5" s="6" t="s">
        <v>2394</v>
      </c>
      <c r="K5" s="6" t="s">
        <v>2396</v>
      </c>
      <c r="L5" s="6" t="s">
        <v>2395</v>
      </c>
      <c r="O5" s="6" t="s">
        <v>5</v>
      </c>
      <c r="P5" s="6" t="s">
        <v>2401</v>
      </c>
      <c r="Q5" s="6" t="s">
        <v>2401</v>
      </c>
      <c r="R5" s="6" t="s">
        <v>2402</v>
      </c>
      <c r="S5" s="6" t="s">
        <v>2400</v>
      </c>
      <c r="T5" s="6" t="s">
        <v>2400</v>
      </c>
      <c r="V5" s="445" t="s">
        <v>1958</v>
      </c>
      <c r="W5" s="445" t="s">
        <v>1958</v>
      </c>
      <c r="X5" s="445" t="s">
        <v>1955</v>
      </c>
      <c r="Y5" s="445" t="s">
        <v>1955</v>
      </c>
      <c r="Z5" s="445" t="s">
        <v>1956</v>
      </c>
      <c r="AA5" s="445" t="s">
        <v>1956</v>
      </c>
      <c r="AB5" s="445" t="s">
        <v>1957</v>
      </c>
      <c r="AC5" s="445" t="s">
        <v>1957</v>
      </c>
      <c r="AD5" s="445" t="s">
        <v>1958</v>
      </c>
    </row>
    <row r="6" spans="3:30" s="6" customFormat="1">
      <c r="V6" s="445" t="s">
        <v>2398</v>
      </c>
      <c r="W6" s="445" t="s">
        <v>2399</v>
      </c>
      <c r="X6" s="445" t="s">
        <v>2398</v>
      </c>
      <c r="Y6" s="445" t="s">
        <v>2399</v>
      </c>
      <c r="Z6" s="445" t="s">
        <v>2398</v>
      </c>
      <c r="AA6" s="445" t="s">
        <v>2399</v>
      </c>
      <c r="AB6" s="445" t="s">
        <v>2398</v>
      </c>
      <c r="AC6" s="445" t="s">
        <v>2399</v>
      </c>
      <c r="AD6" s="445" t="s">
        <v>2398</v>
      </c>
    </row>
    <row r="7" spans="3:30">
      <c r="P7" s="446"/>
      <c r="Q7" s="446"/>
      <c r="R7" s="446"/>
      <c r="T7" s="446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445"/>
      <c r="W10" s="445">
        <f>W9-V9</f>
        <v>-1.8999999999999986</v>
      </c>
      <c r="X10" s="445"/>
      <c r="Y10" s="445">
        <f>Y9-X9</f>
        <v>-1.3200000000000003</v>
      </c>
      <c r="Z10" s="445"/>
      <c r="AA10" s="445">
        <f>AA9-Z9</f>
        <v>-0.40000000000000213</v>
      </c>
      <c r="AB10" s="445"/>
      <c r="AC10" s="445">
        <f>AC9-AB9</f>
        <v>-1.5</v>
      </c>
      <c r="AD10" s="445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452" t="s">
        <v>81</v>
      </c>
      <c r="D13" s="453">
        <v>-2.0000000000000001E-4</v>
      </c>
      <c r="E13" s="444"/>
      <c r="F13" s="444"/>
      <c r="H13" s="452"/>
      <c r="I13" s="452"/>
      <c r="J13" s="452"/>
      <c r="K13" s="452"/>
      <c r="L13" s="452"/>
      <c r="M13" s="452"/>
      <c r="N13" s="452"/>
      <c r="O13" s="460">
        <v>672</v>
      </c>
      <c r="P13" s="460">
        <v>750</v>
      </c>
      <c r="Q13" s="460">
        <v>710</v>
      </c>
      <c r="R13" s="460">
        <v>672</v>
      </c>
      <c r="S13" s="460">
        <v>630</v>
      </c>
      <c r="T13" s="460">
        <v>600</v>
      </c>
      <c r="U13" s="452"/>
      <c r="V13" s="455"/>
      <c r="W13" s="455"/>
      <c r="X13" s="455"/>
      <c r="Y13" s="455"/>
      <c r="Z13" s="455"/>
      <c r="AA13" s="455"/>
      <c r="AB13" s="455"/>
      <c r="AC13" s="455"/>
      <c r="AD13" s="455"/>
    </row>
    <row r="14" spans="3:30" s="6" customFormat="1">
      <c r="C14" s="452"/>
      <c r="D14" s="453"/>
      <c r="E14" s="444"/>
      <c r="F14" s="444"/>
      <c r="H14" s="452"/>
      <c r="I14" s="452"/>
      <c r="J14" s="452"/>
      <c r="K14" s="452"/>
      <c r="L14" s="452"/>
      <c r="M14" s="452"/>
      <c r="N14" s="452"/>
      <c r="O14" s="452"/>
      <c r="P14" s="461">
        <f>P13/$O13-1</f>
        <v>0.1160714285714286</v>
      </c>
      <c r="Q14" s="461">
        <f>Q13/$O13-1</f>
        <v>5.6547619047619069E-2</v>
      </c>
      <c r="R14" s="461">
        <f>R13/$O13-1</f>
        <v>0</v>
      </c>
      <c r="S14" s="461">
        <f>S13/$O13-1</f>
        <v>-6.25E-2</v>
      </c>
      <c r="T14" s="461">
        <f>T13/$O13-1</f>
        <v>-0.1071428571428571</v>
      </c>
      <c r="U14" s="452"/>
      <c r="V14" s="455"/>
      <c r="W14" s="455"/>
      <c r="X14" s="455"/>
      <c r="Y14" s="455"/>
      <c r="Z14" s="455"/>
      <c r="AA14" s="455"/>
      <c r="AB14" s="455"/>
      <c r="AC14" s="455"/>
      <c r="AD14" s="455"/>
    </row>
    <row r="15" spans="3:30" s="6" customFormat="1">
      <c r="C15" s="452"/>
      <c r="D15" s="453"/>
      <c r="E15" s="43"/>
      <c r="F15" s="43"/>
      <c r="G15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0"/>
      <c r="W15" s="450"/>
      <c r="X15" s="450"/>
      <c r="Y15" s="450"/>
      <c r="Z15" s="450"/>
      <c r="AA15" s="450"/>
      <c r="AB15" s="450"/>
      <c r="AC15" s="450"/>
      <c r="AD15" s="450"/>
    </row>
    <row r="16" spans="3:30">
      <c r="C16" s="447"/>
      <c r="D16" s="448"/>
      <c r="E16" s="43"/>
      <c r="F16" s="43"/>
      <c r="H16" s="447"/>
      <c r="I16" s="449"/>
      <c r="J16" s="448"/>
      <c r="K16" s="448"/>
      <c r="L16" s="448">
        <f>L17*Q18/100</f>
        <v>1.3904410769101138E-3</v>
      </c>
      <c r="M16" s="447"/>
      <c r="N16" s="447"/>
      <c r="O16" s="447"/>
      <c r="P16" s="447"/>
      <c r="Q16" s="447"/>
      <c r="R16" s="447"/>
      <c r="S16" s="447"/>
      <c r="T16" s="447"/>
      <c r="U16" s="447"/>
      <c r="V16" s="450"/>
      <c r="W16" s="450"/>
      <c r="X16" s="450"/>
      <c r="Y16" s="450"/>
      <c r="Z16" s="450"/>
      <c r="AA16" s="450"/>
      <c r="AB16" s="450"/>
      <c r="AC16" s="450"/>
      <c r="AD16" s="450"/>
    </row>
    <row r="17" spans="3:30">
      <c r="C17" s="447"/>
      <c r="D17" s="448"/>
      <c r="E17" s="43"/>
      <c r="F17" s="43"/>
      <c r="H17" s="452" t="str">
        <f>'Options Price'!B171</f>
        <v>META US 07/17/26 C700</v>
      </c>
      <c r="I17" s="454">
        <f>Options!V9</f>
        <v>2.4664420876689324</v>
      </c>
      <c r="J17" s="453">
        <f>Options!AB9</f>
        <v>-2.3028611304954594E-2</v>
      </c>
      <c r="K17" s="453">
        <f>Options!AG9</f>
        <v>1.3721345500137918E-3</v>
      </c>
      <c r="L17" s="453">
        <f>Options!AH9</f>
        <v>2.2426468982421192E-3</v>
      </c>
      <c r="M17" s="447"/>
      <c r="N17" s="447" t="s">
        <v>1</v>
      </c>
      <c r="O17" s="447">
        <v>37</v>
      </c>
      <c r="P17" s="447">
        <v>34</v>
      </c>
      <c r="Q17" s="447">
        <v>34</v>
      </c>
      <c r="R17" s="447">
        <v>34</v>
      </c>
      <c r="S17" s="447">
        <v>34</v>
      </c>
      <c r="T17" s="447">
        <v>34</v>
      </c>
      <c r="U17" s="447"/>
      <c r="V17" s="450">
        <v>36.299999999999997</v>
      </c>
      <c r="W17" s="450">
        <v>34.119999999999997</v>
      </c>
      <c r="X17" s="450">
        <v>39.200000000000003</v>
      </c>
      <c r="Y17" s="450">
        <v>37.200000000000003</v>
      </c>
      <c r="Z17" s="450">
        <v>32</v>
      </c>
      <c r="AA17" s="450">
        <v>31.7</v>
      </c>
      <c r="AB17" s="450">
        <v>37</v>
      </c>
      <c r="AC17" s="450">
        <v>38.5</v>
      </c>
      <c r="AD17" s="450">
        <v>36.5</v>
      </c>
    </row>
    <row r="18" spans="3:30">
      <c r="C18" s="447"/>
      <c r="D18" s="448"/>
      <c r="E18" s="43"/>
      <c r="F18" s="43"/>
      <c r="H18" s="447"/>
      <c r="I18" s="449"/>
      <c r="J18" s="448"/>
      <c r="K18" s="448"/>
      <c r="L18" s="448"/>
      <c r="M18" s="447"/>
      <c r="N18" s="447" t="s">
        <v>220</v>
      </c>
      <c r="O18" s="447">
        <v>53</v>
      </c>
      <c r="P18" s="447">
        <v>71</v>
      </c>
      <c r="Q18" s="447">
        <v>62</v>
      </c>
      <c r="R18" s="447">
        <v>52</v>
      </c>
      <c r="S18" s="447">
        <v>52</v>
      </c>
      <c r="T18" s="447">
        <v>34</v>
      </c>
      <c r="U18" s="447"/>
      <c r="V18" s="455"/>
      <c r="W18" s="455">
        <f>W17-V17</f>
        <v>-2.1799999999999997</v>
      </c>
      <c r="X18" s="455"/>
      <c r="Y18" s="455">
        <f>Y17-X17</f>
        <v>-2</v>
      </c>
      <c r="Z18" s="455"/>
      <c r="AA18" s="455">
        <f>AA17-Z17</f>
        <v>-0.30000000000000071</v>
      </c>
      <c r="AB18" s="455"/>
      <c r="AC18" s="455">
        <f>AC17-AB17</f>
        <v>1.5</v>
      </c>
      <c r="AD18" s="455"/>
    </row>
    <row r="19" spans="3:30">
      <c r="C19" s="447"/>
      <c r="D19" s="448"/>
      <c r="E19" s="43"/>
      <c r="F19" s="43"/>
      <c r="H19" s="447"/>
      <c r="I19" s="449"/>
      <c r="J19" s="448"/>
      <c r="K19" s="448"/>
      <c r="L19" s="448"/>
      <c r="M19" s="447"/>
      <c r="N19" s="447" t="s">
        <v>5</v>
      </c>
      <c r="O19" s="447">
        <v>64</v>
      </c>
      <c r="P19" s="447">
        <v>106</v>
      </c>
      <c r="Q19" s="447">
        <v>80</v>
      </c>
      <c r="R19" s="447">
        <v>58</v>
      </c>
      <c r="S19" s="447">
        <v>38</v>
      </c>
      <c r="T19" s="447">
        <v>27</v>
      </c>
      <c r="U19" s="447"/>
      <c r="V19" s="450"/>
      <c r="W19" s="450"/>
      <c r="X19" s="450"/>
      <c r="Y19" s="450"/>
      <c r="Z19" s="450"/>
      <c r="AA19" s="450"/>
      <c r="AB19" s="450"/>
      <c r="AC19" s="450"/>
      <c r="AD19" s="450"/>
    </row>
    <row r="20" spans="3:30">
      <c r="C20" s="447"/>
      <c r="D20" s="448"/>
      <c r="E20" s="43"/>
      <c r="F20" s="43"/>
      <c r="H20" s="447"/>
      <c r="I20" s="449"/>
      <c r="J20" s="448"/>
      <c r="K20" s="448"/>
      <c r="L20" s="448"/>
      <c r="M20" s="447"/>
      <c r="N20" s="447" t="s">
        <v>103</v>
      </c>
      <c r="O20" s="447"/>
      <c r="P20" s="451">
        <f>P19/$O19-1</f>
        <v>0.65625</v>
      </c>
      <c r="Q20" s="451">
        <f t="shared" ref="Q20:T20" si="0">Q19/$O19-1</f>
        <v>0.25</v>
      </c>
      <c r="R20" s="451">
        <f t="shared" si="0"/>
        <v>-9.375E-2</v>
      </c>
      <c r="S20" s="451">
        <f t="shared" si="0"/>
        <v>-0.40625</v>
      </c>
      <c r="T20" s="451">
        <f t="shared" si="0"/>
        <v>-0.578125</v>
      </c>
      <c r="U20" s="447"/>
      <c r="V20" s="450"/>
      <c r="W20" s="450"/>
      <c r="X20" s="450"/>
      <c r="Y20" s="450"/>
      <c r="Z20" s="450"/>
      <c r="AA20" s="450"/>
      <c r="AB20" s="450"/>
      <c r="AC20" s="450"/>
      <c r="AD20" s="450"/>
    </row>
    <row r="21" spans="3:30">
      <c r="C21" s="447"/>
      <c r="D21" s="448"/>
      <c r="E21" s="43"/>
      <c r="F21" s="43"/>
      <c r="H21" s="447"/>
      <c r="I21" s="449"/>
      <c r="J21" s="448"/>
      <c r="K21" s="448"/>
      <c r="L21" s="448"/>
      <c r="M21" s="447"/>
      <c r="N21" s="447" t="s">
        <v>2323</v>
      </c>
      <c r="O21" s="447"/>
      <c r="P21" s="449">
        <f>$I$17*(1+P20)</f>
        <v>4.0850447077016696</v>
      </c>
      <c r="Q21" s="449">
        <f t="shared" ref="Q21:T21" si="1">$I$17*(1+Q20)</f>
        <v>3.0830526095861654</v>
      </c>
      <c r="R21" s="449">
        <f t="shared" si="1"/>
        <v>2.2352131419499699</v>
      </c>
      <c r="S21" s="449">
        <f t="shared" si="1"/>
        <v>1.4644499895534286</v>
      </c>
      <c r="T21" s="449">
        <f t="shared" si="1"/>
        <v>1.0405302557353309</v>
      </c>
      <c r="U21" s="447"/>
      <c r="V21" s="450"/>
      <c r="W21" s="450"/>
      <c r="X21" s="450"/>
      <c r="Y21" s="450"/>
      <c r="Z21" s="450"/>
      <c r="AA21" s="450"/>
      <c r="AB21" s="450"/>
      <c r="AC21" s="450"/>
      <c r="AD21" s="450"/>
    </row>
    <row r="22" spans="3:30">
      <c r="C22" s="447"/>
      <c r="D22" s="448"/>
      <c r="E22" s="43"/>
      <c r="F22" s="43"/>
      <c r="H22" s="447"/>
      <c r="I22" s="449"/>
      <c r="J22" s="448"/>
      <c r="K22" s="448"/>
      <c r="L22" s="448"/>
      <c r="M22" s="447"/>
      <c r="N22" s="447" t="s">
        <v>2403</v>
      </c>
      <c r="O22" s="447"/>
      <c r="P22" s="449">
        <f>P21-$I$17</f>
        <v>1.6186026200327372</v>
      </c>
      <c r="Q22" s="449">
        <f t="shared" ref="Q22:T22" si="2">Q21-$I$17</f>
        <v>0.61661052191723309</v>
      </c>
      <c r="R22" s="449">
        <f t="shared" si="2"/>
        <v>-0.23122894571896246</v>
      </c>
      <c r="S22" s="449">
        <f t="shared" si="2"/>
        <v>-1.0019920981155037</v>
      </c>
      <c r="T22" s="449">
        <f t="shared" si="2"/>
        <v>-1.4259118319336015</v>
      </c>
      <c r="U22" s="447"/>
      <c r="V22" s="450"/>
      <c r="W22" s="450"/>
      <c r="X22" s="450"/>
      <c r="Y22" s="450"/>
      <c r="Z22" s="450"/>
      <c r="AA22" s="450"/>
      <c r="AB22" s="450"/>
      <c r="AC22" s="450"/>
      <c r="AD22" s="450"/>
    </row>
    <row r="23" spans="3:30" ht="15.75" thickBot="1">
      <c r="C23" s="447"/>
      <c r="D23" s="448"/>
      <c r="E23" s="43"/>
      <c r="F23" s="43"/>
      <c r="H23" s="447"/>
      <c r="I23" s="449"/>
      <c r="J23" s="448"/>
      <c r="K23" s="448"/>
      <c r="L23" s="448"/>
      <c r="M23" s="447"/>
      <c r="N23" s="447"/>
      <c r="O23" s="447"/>
      <c r="P23" s="447"/>
      <c r="Q23" s="447"/>
      <c r="R23" s="447"/>
      <c r="S23" s="447"/>
      <c r="T23" s="447"/>
      <c r="U23" s="447"/>
      <c r="V23" s="450"/>
      <c r="W23" s="450"/>
      <c r="X23" s="450"/>
      <c r="Y23" s="450"/>
      <c r="Z23" s="450"/>
      <c r="AA23" s="450"/>
      <c r="AB23" s="450"/>
      <c r="AC23" s="450"/>
      <c r="AD23" s="450"/>
    </row>
    <row r="24" spans="3:30" ht="15.75" thickBot="1">
      <c r="C24" s="447"/>
      <c r="D24" s="448"/>
      <c r="E24" s="43"/>
      <c r="F24" s="43"/>
      <c r="H24" s="458" t="s">
        <v>220</v>
      </c>
      <c r="I24" s="459">
        <f>K17*10000</f>
        <v>13.721345500137918</v>
      </c>
      <c r="J24" s="448"/>
      <c r="K24" s="448"/>
      <c r="L24" s="448"/>
      <c r="M24" s="447"/>
      <c r="N24" s="447"/>
      <c r="O24" s="447"/>
      <c r="P24" s="456">
        <f>P22/$I$24</f>
        <v>0.11796238350069008</v>
      </c>
      <c r="Q24" s="456">
        <f t="shared" ref="Q24:T24" si="3">Q22/$I$24</f>
        <v>4.4938050857405737E-2</v>
      </c>
      <c r="R24" s="456">
        <f t="shared" si="3"/>
        <v>-1.6851769071527155E-2</v>
      </c>
      <c r="S24" s="456">
        <f t="shared" si="3"/>
        <v>-7.3024332643284312E-2</v>
      </c>
      <c r="T24" s="456">
        <f t="shared" si="3"/>
        <v>-0.10391924260775076</v>
      </c>
      <c r="U24" s="447"/>
      <c r="V24" s="450"/>
      <c r="W24" s="450"/>
      <c r="X24" s="450"/>
      <c r="Y24" s="450"/>
      <c r="Z24" s="450"/>
      <c r="AA24" s="450"/>
      <c r="AB24" s="450"/>
      <c r="AC24" s="450"/>
      <c r="AD24" s="450"/>
    </row>
    <row r="25" spans="3:30">
      <c r="D25" s="43"/>
      <c r="E25" s="43"/>
      <c r="F25" s="43"/>
      <c r="H25" s="447"/>
      <c r="I25" s="449"/>
      <c r="J25" s="448"/>
      <c r="K25" s="448"/>
      <c r="L25" s="448"/>
      <c r="M25" s="447"/>
      <c r="N25" s="447"/>
      <c r="O25" s="447"/>
      <c r="P25" s="447"/>
      <c r="Q25" s="447"/>
      <c r="R25" s="447"/>
      <c r="S25" s="447"/>
      <c r="T25" s="447"/>
      <c r="U25" s="447"/>
      <c r="V25" s="450"/>
      <c r="W25" s="450"/>
      <c r="X25" s="450"/>
      <c r="Y25" s="450"/>
      <c r="Z25" s="450"/>
      <c r="AA25" s="450"/>
      <c r="AB25" s="450"/>
      <c r="AC25" s="450"/>
      <c r="AD25" s="450"/>
    </row>
    <row r="26" spans="3:30">
      <c r="D26" s="43"/>
      <c r="E26" s="43"/>
      <c r="F26" s="43"/>
      <c r="H26" s="447"/>
      <c r="I26" s="449"/>
      <c r="J26" s="448"/>
      <c r="K26" s="448"/>
      <c r="L26" s="448" t="e">
        <f>L27*Q28/100</f>
        <v>#REF!</v>
      </c>
      <c r="M26" s="447"/>
      <c r="N26" s="447"/>
      <c r="O26" s="447"/>
      <c r="P26" s="447"/>
      <c r="Q26" s="447"/>
      <c r="R26" s="447"/>
      <c r="S26" s="447"/>
      <c r="T26" s="447"/>
      <c r="U26" s="447"/>
      <c r="V26" s="450"/>
      <c r="W26" s="450"/>
      <c r="X26" s="450"/>
      <c r="Y26" s="450"/>
      <c r="Z26" s="450"/>
      <c r="AA26" s="450"/>
      <c r="AB26" s="450"/>
      <c r="AC26" s="450"/>
      <c r="AD26" s="450"/>
    </row>
    <row r="27" spans="3:30">
      <c r="D27" s="43"/>
      <c r="E27" s="43"/>
      <c r="F27" s="43"/>
      <c r="H27" s="452" t="e">
        <f>Options!#REF!</f>
        <v>#REF!</v>
      </c>
      <c r="I27" s="454" t="e">
        <f>Options!#REF!</f>
        <v>#REF!</v>
      </c>
      <c r="J27" s="453" t="e">
        <f>Options!#REF!</f>
        <v>#REF!</v>
      </c>
      <c r="K27" s="453" t="e">
        <f>Options!#REF!</f>
        <v>#REF!</v>
      </c>
      <c r="L27" s="453" t="e">
        <f>Options!#REF!</f>
        <v>#REF!</v>
      </c>
      <c r="M27" s="447"/>
      <c r="N27" s="447" t="s">
        <v>1</v>
      </c>
      <c r="O27" s="447">
        <v>37</v>
      </c>
      <c r="P27" s="447">
        <v>32.5</v>
      </c>
      <c r="Q27" s="447">
        <v>32.5</v>
      </c>
      <c r="R27" s="447">
        <v>32.5</v>
      </c>
      <c r="S27" s="447">
        <v>32.5</v>
      </c>
      <c r="T27" s="447">
        <v>32.5</v>
      </c>
      <c r="U27" s="447"/>
      <c r="V27" s="450">
        <v>37.5</v>
      </c>
      <c r="W27" s="450">
        <v>33.200000000000003</v>
      </c>
      <c r="X27" s="450">
        <v>40.299999999999997</v>
      </c>
      <c r="Y27" s="450">
        <v>36.700000000000003</v>
      </c>
      <c r="Z27" s="450">
        <v>32</v>
      </c>
      <c r="AA27" s="450">
        <v>30</v>
      </c>
      <c r="AB27" s="450">
        <v>37.1</v>
      </c>
      <c r="AC27" s="450">
        <v>37.4</v>
      </c>
      <c r="AD27" s="450">
        <v>36.799999999999997</v>
      </c>
    </row>
    <row r="28" spans="3:30">
      <c r="D28" s="43"/>
      <c r="E28" s="43"/>
      <c r="F28" s="43"/>
      <c r="H28" s="447"/>
      <c r="I28" s="449"/>
      <c r="J28" s="448"/>
      <c r="K28" s="448"/>
      <c r="L28" s="448"/>
      <c r="M28" s="447"/>
      <c r="N28" s="447" t="s">
        <v>220</v>
      </c>
      <c r="O28" s="447">
        <v>48</v>
      </c>
      <c r="P28" s="447">
        <v>75</v>
      </c>
      <c r="Q28" s="447">
        <v>62</v>
      </c>
      <c r="R28" s="447">
        <v>48</v>
      </c>
      <c r="S28" s="447">
        <v>31</v>
      </c>
      <c r="T28" s="447">
        <v>21</v>
      </c>
      <c r="U28" s="447"/>
      <c r="V28" s="455"/>
      <c r="W28" s="455">
        <f>W27-V27</f>
        <v>-4.2999999999999972</v>
      </c>
      <c r="X28" s="455"/>
      <c r="Y28" s="455">
        <f>Y27-X27</f>
        <v>-3.5999999999999943</v>
      </c>
      <c r="Z28" s="455"/>
      <c r="AA28" s="455">
        <f>AA27-Z27</f>
        <v>-2</v>
      </c>
      <c r="AB28" s="455"/>
      <c r="AC28" s="455">
        <f>AC27-AB27</f>
        <v>0.29999999999999716</v>
      </c>
      <c r="AD28" s="455"/>
    </row>
    <row r="29" spans="3:30">
      <c r="D29" s="43"/>
      <c r="E29" s="43"/>
      <c r="F29" s="43"/>
      <c r="H29" s="447"/>
      <c r="I29" s="449"/>
      <c r="J29" s="448"/>
      <c r="K29" s="448"/>
      <c r="L29" s="448"/>
      <c r="M29" s="447"/>
      <c r="N29" s="447" t="s">
        <v>5</v>
      </c>
      <c r="O29" s="447">
        <v>40</v>
      </c>
      <c r="P29" s="447">
        <v>82.9</v>
      </c>
      <c r="Q29" s="447">
        <v>55</v>
      </c>
      <c r="R29" s="447">
        <v>34</v>
      </c>
      <c r="S29" s="447">
        <v>18</v>
      </c>
      <c r="T29" s="447">
        <v>10</v>
      </c>
      <c r="U29" s="447"/>
      <c r="V29" s="450"/>
      <c r="W29" s="450"/>
      <c r="X29" s="450"/>
      <c r="Y29" s="450"/>
      <c r="Z29" s="450"/>
      <c r="AA29" s="450"/>
      <c r="AB29" s="450"/>
      <c r="AC29" s="450"/>
      <c r="AD29" s="450"/>
    </row>
    <row r="30" spans="3:30">
      <c r="D30" s="43"/>
      <c r="E30" s="43"/>
      <c r="F30" s="43"/>
      <c r="H30" s="447"/>
      <c r="I30" s="449"/>
      <c r="J30" s="448"/>
      <c r="K30" s="448"/>
      <c r="L30" s="448"/>
      <c r="M30" s="447"/>
      <c r="N30" s="447" t="s">
        <v>103</v>
      </c>
      <c r="O30" s="447"/>
      <c r="P30" s="451">
        <f>P29/$O29-1</f>
        <v>1.0725000000000002</v>
      </c>
      <c r="Q30" s="451">
        <f t="shared" ref="Q30" si="4">Q29/$O29-1</f>
        <v>0.375</v>
      </c>
      <c r="R30" s="451">
        <f t="shared" ref="R30" si="5">R29/$O29-1</f>
        <v>-0.15000000000000002</v>
      </c>
      <c r="S30" s="451">
        <f t="shared" ref="S30" si="6">S29/$O29-1</f>
        <v>-0.55000000000000004</v>
      </c>
      <c r="T30" s="451">
        <f t="shared" ref="T30" si="7">T29/$O29-1</f>
        <v>-0.75</v>
      </c>
      <c r="U30" s="447"/>
      <c r="V30" s="450"/>
      <c r="W30" s="450"/>
      <c r="X30" s="450"/>
      <c r="Y30" s="450"/>
      <c r="Z30" s="450"/>
      <c r="AA30" s="450"/>
      <c r="AB30" s="450"/>
      <c r="AC30" s="450"/>
      <c r="AD30" s="450"/>
    </row>
    <row r="31" spans="3:30">
      <c r="D31" s="43"/>
      <c r="E31" s="43"/>
      <c r="F31" s="43"/>
      <c r="H31" s="447"/>
      <c r="I31" s="449"/>
      <c r="J31" s="448"/>
      <c r="K31" s="448"/>
      <c r="L31" s="448"/>
      <c r="M31" s="447"/>
      <c r="N31" s="447" t="s">
        <v>2323</v>
      </c>
      <c r="O31" s="447"/>
      <c r="P31" s="449" t="e">
        <f>$I$27*(1+P30)</f>
        <v>#REF!</v>
      </c>
      <c r="Q31" s="449" t="e">
        <f t="shared" ref="Q31:T31" si="8">$I$27*(1+Q30)</f>
        <v>#REF!</v>
      </c>
      <c r="R31" s="449" t="e">
        <f t="shared" si="8"/>
        <v>#REF!</v>
      </c>
      <c r="S31" s="449" t="e">
        <f t="shared" si="8"/>
        <v>#REF!</v>
      </c>
      <c r="T31" s="449" t="e">
        <f t="shared" si="8"/>
        <v>#REF!</v>
      </c>
      <c r="U31" s="447"/>
      <c r="V31" s="450"/>
      <c r="W31" s="450"/>
      <c r="X31" s="450"/>
      <c r="Y31" s="450"/>
      <c r="Z31" s="450"/>
      <c r="AA31" s="450"/>
      <c r="AB31" s="450"/>
      <c r="AC31" s="450"/>
      <c r="AD31" s="450"/>
    </row>
    <row r="32" spans="3:30">
      <c r="D32" s="43"/>
      <c r="E32" s="43"/>
      <c r="F32" s="43"/>
      <c r="H32" s="447"/>
      <c r="I32" s="449"/>
      <c r="J32" s="448"/>
      <c r="K32" s="448"/>
      <c r="L32" s="448"/>
      <c r="M32" s="447"/>
      <c r="N32" s="447" t="s">
        <v>2403</v>
      </c>
      <c r="O32" s="447"/>
      <c r="P32" s="449" t="e">
        <f>P31-$I$27</f>
        <v>#REF!</v>
      </c>
      <c r="Q32" s="449" t="e">
        <f t="shared" ref="Q32:T32" si="9">Q31-$I$27</f>
        <v>#REF!</v>
      </c>
      <c r="R32" s="449" t="e">
        <f t="shared" si="9"/>
        <v>#REF!</v>
      </c>
      <c r="S32" s="449" t="e">
        <f t="shared" si="9"/>
        <v>#REF!</v>
      </c>
      <c r="T32" s="449" t="e">
        <f t="shared" si="9"/>
        <v>#REF!</v>
      </c>
      <c r="U32" s="447"/>
      <c r="V32" s="450"/>
      <c r="W32" s="450"/>
      <c r="X32" s="450"/>
      <c r="Y32" s="450"/>
      <c r="Z32" s="450"/>
      <c r="AA32" s="450"/>
      <c r="AB32" s="450"/>
      <c r="AC32" s="450"/>
      <c r="AD32" s="450"/>
    </row>
    <row r="33" spans="3:30" ht="15.75" thickBot="1">
      <c r="D33" s="43"/>
      <c r="E33" s="43"/>
      <c r="F33" s="43"/>
      <c r="H33" s="447"/>
      <c r="I33" s="449"/>
      <c r="J33" s="448"/>
      <c r="K33" s="448"/>
      <c r="L33" s="448"/>
      <c r="M33" s="447"/>
      <c r="N33" s="447"/>
      <c r="O33" s="447"/>
      <c r="P33" s="447"/>
      <c r="Q33" s="447"/>
      <c r="R33" s="447"/>
      <c r="S33" s="447"/>
      <c r="T33" s="447"/>
      <c r="U33" s="447"/>
      <c r="V33" s="450"/>
      <c r="W33" s="450"/>
      <c r="X33" s="450"/>
      <c r="Y33" s="450"/>
      <c r="Z33" s="450"/>
      <c r="AA33" s="450"/>
      <c r="AB33" s="450"/>
      <c r="AC33" s="450"/>
      <c r="AD33" s="450"/>
    </row>
    <row r="34" spans="3:30" ht="15.75" thickBot="1">
      <c r="D34" s="43"/>
      <c r="E34" s="43"/>
      <c r="F34" s="43"/>
      <c r="H34" s="458" t="s">
        <v>220</v>
      </c>
      <c r="I34" s="459" t="e">
        <f>K27*10000</f>
        <v>#REF!</v>
      </c>
      <c r="J34" s="448"/>
      <c r="K34" s="448"/>
      <c r="L34" s="448"/>
      <c r="M34" s="447"/>
      <c r="N34" s="447"/>
      <c r="O34" s="447"/>
      <c r="P34" s="456" t="e">
        <f>P32/$I$34</f>
        <v>#REF!</v>
      </c>
      <c r="Q34" s="456" t="e">
        <f t="shared" ref="Q34:T34" si="10">Q32/$I$34</f>
        <v>#REF!</v>
      </c>
      <c r="R34" s="456" t="e">
        <f t="shared" si="10"/>
        <v>#REF!</v>
      </c>
      <c r="S34" s="456" t="e">
        <f t="shared" si="10"/>
        <v>#REF!</v>
      </c>
      <c r="T34" s="456" t="e">
        <f t="shared" si="10"/>
        <v>#REF!</v>
      </c>
      <c r="U34" s="447"/>
      <c r="V34" s="450"/>
      <c r="W34" s="450"/>
      <c r="X34" s="450"/>
      <c r="Y34" s="450"/>
      <c r="Z34" s="450"/>
      <c r="AA34" s="450"/>
      <c r="AB34" s="450"/>
      <c r="AC34" s="450"/>
      <c r="AD34" s="450"/>
    </row>
    <row r="35" spans="3:30" ht="15.75" thickBot="1">
      <c r="D35" s="43"/>
      <c r="E35" s="43"/>
      <c r="F35" s="43"/>
      <c r="H35" s="447"/>
      <c r="I35" s="447"/>
      <c r="J35" s="447"/>
      <c r="K35" s="447"/>
      <c r="L35" s="447"/>
      <c r="M35" s="447"/>
      <c r="N35" s="447"/>
      <c r="O35" s="447"/>
      <c r="P35" s="447"/>
      <c r="Q35" s="447"/>
      <c r="R35" s="447"/>
      <c r="S35" s="447"/>
      <c r="T35" s="447"/>
      <c r="U35" s="447"/>
      <c r="V35" s="450"/>
      <c r="W35" s="450"/>
      <c r="X35" s="450"/>
      <c r="Y35" s="450"/>
      <c r="Z35" s="450"/>
      <c r="AA35" s="450"/>
      <c r="AB35" s="450"/>
      <c r="AC35" s="450"/>
      <c r="AD35" s="450"/>
    </row>
    <row r="36" spans="3:30" s="6" customFormat="1" ht="15.75" thickBot="1">
      <c r="D36" s="444"/>
      <c r="E36" s="444"/>
      <c r="F36" s="444"/>
      <c r="H36" s="452"/>
      <c r="I36" s="454"/>
      <c r="J36" s="453"/>
      <c r="K36" s="453"/>
      <c r="L36" s="453"/>
      <c r="M36" s="452"/>
      <c r="N36" s="462" t="s">
        <v>2405</v>
      </c>
      <c r="O36" s="463"/>
      <c r="P36" s="464" t="e">
        <f>P22+P32</f>
        <v>#REF!</v>
      </c>
      <c r="Q36" s="464" t="e">
        <f t="shared" ref="Q36:T36" si="11">Q22+Q32</f>
        <v>#REF!</v>
      </c>
      <c r="R36" s="464" t="e">
        <f t="shared" si="11"/>
        <v>#REF!</v>
      </c>
      <c r="S36" s="464" t="e">
        <f t="shared" si="11"/>
        <v>#REF!</v>
      </c>
      <c r="T36" s="465" t="e">
        <f t="shared" si="11"/>
        <v>#REF!</v>
      </c>
      <c r="U36" s="452"/>
      <c r="V36" s="455"/>
      <c r="W36" s="455"/>
      <c r="X36" s="455"/>
      <c r="Y36" s="455"/>
      <c r="Z36" s="455"/>
      <c r="AA36" s="455"/>
      <c r="AB36" s="455"/>
      <c r="AC36" s="455"/>
      <c r="AD36" s="455"/>
    </row>
    <row r="37" spans="3:30">
      <c r="D37" s="43"/>
      <c r="E37" s="43"/>
      <c r="F37" s="43"/>
      <c r="H37" s="447"/>
      <c r="I37" s="454"/>
      <c r="J37" s="453"/>
      <c r="K37" s="453"/>
      <c r="L37" s="453"/>
      <c r="M37" s="447"/>
      <c r="N37" s="447"/>
      <c r="O37" s="447"/>
      <c r="P37" s="447"/>
      <c r="Q37" s="447"/>
      <c r="R37" s="447"/>
      <c r="S37" s="447"/>
      <c r="T37" s="447"/>
      <c r="U37" s="447"/>
      <c r="V37" s="450"/>
      <c r="W37" s="450"/>
      <c r="X37" s="450"/>
      <c r="Y37" s="450"/>
      <c r="Z37" s="450"/>
      <c r="AA37" s="450"/>
      <c r="AB37" s="450"/>
      <c r="AC37" s="450"/>
      <c r="AD37" s="450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466"/>
      <c r="K39" s="466"/>
      <c r="L39" s="466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25"/>
      <c r="W39" s="425"/>
      <c r="X39" s="425"/>
      <c r="Y39" s="425"/>
      <c r="Z39" s="425"/>
      <c r="AA39" s="425"/>
      <c r="AB39" s="425"/>
      <c r="AC39" s="425"/>
      <c r="AD39" s="425"/>
    </row>
    <row r="40" spans="3:30">
      <c r="D40" s="43"/>
      <c r="E40" s="43"/>
      <c r="F40" s="43"/>
      <c r="H40" s="59"/>
      <c r="I40" s="337"/>
      <c r="J40" s="466"/>
      <c r="K40" s="466"/>
      <c r="L40" s="466"/>
      <c r="M40" s="59"/>
      <c r="N40" s="59"/>
      <c r="O40" s="93"/>
      <c r="P40" s="467">
        <f>P39/$O39-1</f>
        <v>7.0686070686070579E-2</v>
      </c>
      <c r="Q40" s="467">
        <f t="shared" ref="Q40:T40" si="12">Q39/$O39-1</f>
        <v>4.9896049896049899E-2</v>
      </c>
      <c r="R40" s="467">
        <f t="shared" si="12"/>
        <v>0</v>
      </c>
      <c r="S40" s="467">
        <f t="shared" si="12"/>
        <v>-5.4054054054054057E-2</v>
      </c>
      <c r="T40" s="467">
        <f t="shared" si="12"/>
        <v>-7.4844074844074848E-2</v>
      </c>
      <c r="U40" s="59"/>
      <c r="V40" s="425"/>
      <c r="W40" s="425"/>
      <c r="X40" s="425"/>
      <c r="Y40" s="425"/>
      <c r="Z40" s="425"/>
      <c r="AA40" s="425"/>
      <c r="AB40" s="425"/>
      <c r="AC40" s="425"/>
      <c r="AD40" s="425"/>
    </row>
    <row r="41" spans="3:30">
      <c r="D41" s="43"/>
      <c r="E41" s="43"/>
      <c r="F41" s="43"/>
      <c r="H41" s="59"/>
      <c r="I41" s="337"/>
      <c r="J41" s="466"/>
      <c r="K41" s="466"/>
      <c r="L41" s="466" t="e">
        <f>L42*T43/100</f>
        <v>#REF!</v>
      </c>
      <c r="M41" s="59"/>
      <c r="N41" s="59"/>
      <c r="O41" s="59"/>
      <c r="P41" s="59"/>
      <c r="Q41" s="59"/>
      <c r="R41" s="59"/>
      <c r="S41" s="59"/>
      <c r="T41" s="59"/>
      <c r="U41" s="59"/>
      <c r="V41" s="425"/>
      <c r="W41" s="425"/>
      <c r="X41" s="425"/>
      <c r="Y41" s="425"/>
      <c r="Z41" s="425"/>
      <c r="AA41" s="425"/>
      <c r="AB41" s="425"/>
      <c r="AC41" s="425"/>
      <c r="AD41" s="425"/>
    </row>
    <row r="42" spans="3:30">
      <c r="D42" s="43"/>
      <c r="E42" s="43"/>
      <c r="F42" s="43"/>
      <c r="H42" s="59" t="e">
        <f>Options!#REF!</f>
        <v>#REF!</v>
      </c>
      <c r="I42" s="337" t="e">
        <f>Options!#REF!</f>
        <v>#REF!</v>
      </c>
      <c r="J42" s="466" t="e">
        <f>Options!#REF!</f>
        <v>#REF!</v>
      </c>
      <c r="K42" s="466" t="e">
        <f>Options!#REF!</f>
        <v>#REF!</v>
      </c>
      <c r="L42" s="466" t="e">
        <f>Options!#REF!</f>
        <v>#REF!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25">
        <v>23.2</v>
      </c>
      <c r="W42" s="425">
        <v>22.9</v>
      </c>
      <c r="X42" s="425">
        <v>27.1</v>
      </c>
      <c r="Y42" s="425">
        <v>24.8</v>
      </c>
      <c r="Z42" s="425">
        <v>21.5</v>
      </c>
      <c r="AA42" s="425">
        <v>22</v>
      </c>
      <c r="AB42" s="425">
        <v>26.4</v>
      </c>
      <c r="AC42" s="425">
        <v>26.5</v>
      </c>
      <c r="AD42" s="425">
        <v>27.5</v>
      </c>
    </row>
    <row r="43" spans="3:30">
      <c r="D43" s="43"/>
      <c r="E43" s="43"/>
      <c r="F43" s="43"/>
      <c r="H43" s="59"/>
      <c r="I43" s="468"/>
      <c r="J43" s="469"/>
      <c r="K43" s="469"/>
      <c r="L43" s="469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470"/>
      <c r="W43" s="470">
        <f>W42-V42</f>
        <v>-0.30000000000000071</v>
      </c>
      <c r="X43" s="470"/>
      <c r="Y43" s="470">
        <f>Y42-X42</f>
        <v>-2.3000000000000007</v>
      </c>
      <c r="Z43" s="470"/>
      <c r="AA43" s="470">
        <f>AA42-Z42</f>
        <v>0.5</v>
      </c>
      <c r="AB43" s="470"/>
      <c r="AC43" s="470">
        <f>AC42-AB42</f>
        <v>0.10000000000000142</v>
      </c>
      <c r="AD43" s="470"/>
    </row>
    <row r="44" spans="3:30">
      <c r="D44" s="43"/>
      <c r="E44" s="43"/>
      <c r="F44" s="43"/>
      <c r="H44" s="59"/>
      <c r="I44" s="337"/>
      <c r="J44" s="466"/>
      <c r="K44" s="466"/>
      <c r="L44" s="466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25"/>
      <c r="W44" s="425"/>
      <c r="X44" s="425"/>
      <c r="Y44" s="425"/>
      <c r="Z44" s="425"/>
      <c r="AA44" s="425"/>
      <c r="AB44" s="425"/>
      <c r="AC44" s="425"/>
      <c r="AD44" s="425"/>
    </row>
    <row r="45" spans="3:30">
      <c r="D45" s="43"/>
      <c r="E45" s="43"/>
      <c r="F45" s="43"/>
      <c r="H45" s="59"/>
      <c r="I45" s="337"/>
      <c r="J45" s="466"/>
      <c r="K45" s="466"/>
      <c r="L45" s="466"/>
      <c r="M45" s="59"/>
      <c r="N45" s="59" t="s">
        <v>103</v>
      </c>
      <c r="O45" s="59"/>
      <c r="P45" s="424">
        <f>P44/$O44-1</f>
        <v>0.4838709677419355</v>
      </c>
      <c r="Q45" s="424">
        <f t="shared" ref="Q45" si="13">Q44/$O44-1</f>
        <v>0.29032258064516125</v>
      </c>
      <c r="R45" s="424">
        <f t="shared" ref="R45" si="14">R44/$O44-1</f>
        <v>-0.12903225806451613</v>
      </c>
      <c r="S45" s="424">
        <f t="shared" ref="S45" si="15">S44/$O44-1</f>
        <v>-0.4838709677419355</v>
      </c>
      <c r="T45" s="424">
        <f t="shared" ref="T45" si="16">T44/$O44-1</f>
        <v>-0.58064516129032251</v>
      </c>
      <c r="U45" s="59"/>
      <c r="V45" s="425"/>
      <c r="W45" s="425"/>
      <c r="X45" s="425"/>
      <c r="Y45" s="425"/>
      <c r="Z45" s="425"/>
      <c r="AA45" s="425"/>
      <c r="AB45" s="425"/>
      <c r="AC45" s="425"/>
      <c r="AD45" s="425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2323</v>
      </c>
      <c r="O46" s="59"/>
      <c r="P46" s="337" t="e">
        <f>$I$42*(1+P45)</f>
        <v>#REF!</v>
      </c>
      <c r="Q46" s="337" t="e">
        <f t="shared" ref="Q46:T46" si="17">$I$42*(1+Q45)</f>
        <v>#REF!</v>
      </c>
      <c r="R46" s="337" t="e">
        <f t="shared" si="17"/>
        <v>#REF!</v>
      </c>
      <c r="S46" s="337" t="e">
        <f t="shared" si="17"/>
        <v>#REF!</v>
      </c>
      <c r="T46" s="337" t="e">
        <f t="shared" si="17"/>
        <v>#REF!</v>
      </c>
      <c r="U46" s="59"/>
      <c r="V46" s="425"/>
      <c r="W46" s="425"/>
      <c r="X46" s="425"/>
      <c r="Y46" s="425"/>
      <c r="Z46" s="425"/>
      <c r="AA46" s="425"/>
      <c r="AB46" s="425"/>
      <c r="AC46" s="425"/>
      <c r="AD46" s="425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2403</v>
      </c>
      <c r="O47" s="59"/>
      <c r="P47" s="337" t="e">
        <f>P46-$I$42</f>
        <v>#REF!</v>
      </c>
      <c r="Q47" s="337" t="e">
        <f t="shared" ref="Q47:T47" si="18">Q46-$I$42</f>
        <v>#REF!</v>
      </c>
      <c r="R47" s="337" t="e">
        <f t="shared" si="18"/>
        <v>#REF!</v>
      </c>
      <c r="S47" s="337" t="e">
        <f t="shared" si="18"/>
        <v>#REF!</v>
      </c>
      <c r="T47" s="337" t="e">
        <f t="shared" si="18"/>
        <v>#REF!</v>
      </c>
      <c r="U47" s="59"/>
      <c r="V47" s="425"/>
      <c r="W47" s="425"/>
      <c r="X47" s="425"/>
      <c r="Y47" s="425"/>
      <c r="Z47" s="425"/>
      <c r="AA47" s="425"/>
      <c r="AB47" s="425"/>
      <c r="AC47" s="425"/>
      <c r="AD47" s="425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470"/>
      <c r="W48" s="470"/>
      <c r="X48" s="470"/>
      <c r="Y48" s="470"/>
      <c r="Z48" s="470"/>
      <c r="AA48" s="470"/>
      <c r="AB48" s="470"/>
      <c r="AC48" s="470"/>
      <c r="AD48" s="470"/>
    </row>
    <row r="49" spans="8:30">
      <c r="H49" s="59"/>
      <c r="I49" s="59"/>
      <c r="J49" s="59"/>
      <c r="K49" s="59"/>
      <c r="L49" s="59"/>
      <c r="M49" s="59"/>
      <c r="N49" s="59"/>
      <c r="O49" s="59"/>
      <c r="P49" s="423" t="e">
        <f>P47/$I$42</f>
        <v>#REF!</v>
      </c>
      <c r="Q49" s="423" t="e">
        <f t="shared" ref="Q49:T49" si="19">Q47/$I$42</f>
        <v>#REF!</v>
      </c>
      <c r="R49" s="423" t="e">
        <f t="shared" si="19"/>
        <v>#REF!</v>
      </c>
      <c r="S49" s="423" t="e">
        <f t="shared" si="19"/>
        <v>#REF!</v>
      </c>
      <c r="T49" s="423" t="e">
        <f t="shared" si="19"/>
        <v>#REF!</v>
      </c>
      <c r="U49" s="59"/>
      <c r="V49" s="425"/>
      <c r="W49" s="425"/>
      <c r="X49" s="425"/>
      <c r="Y49" s="425"/>
      <c r="Z49" s="425"/>
      <c r="AA49" s="425"/>
      <c r="AB49" s="425"/>
      <c r="AC49" s="425"/>
      <c r="AD49" s="425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25"/>
      <c r="W50" s="425"/>
      <c r="X50" s="425"/>
      <c r="Y50" s="425"/>
      <c r="Z50" s="425"/>
      <c r="AA50" s="425"/>
      <c r="AB50" s="425"/>
      <c r="AC50" s="425"/>
      <c r="AD50" s="425"/>
    </row>
    <row r="51" spans="8:30" ht="15.75" thickBot="1">
      <c r="H51" s="59"/>
      <c r="I51" s="59"/>
      <c r="J51" s="59"/>
      <c r="K51" s="59"/>
      <c r="L51" s="59"/>
      <c r="M51" s="59"/>
      <c r="N51" s="471" t="s">
        <v>2405</v>
      </c>
      <c r="O51" s="472"/>
      <c r="P51" s="473" t="e">
        <f>P47</f>
        <v>#REF!</v>
      </c>
      <c r="Q51" s="473" t="e">
        <f t="shared" ref="Q51:T51" si="20">Q47</f>
        <v>#REF!</v>
      </c>
      <c r="R51" s="473" t="e">
        <f t="shared" si="20"/>
        <v>#REF!</v>
      </c>
      <c r="S51" s="473" t="e">
        <f t="shared" si="20"/>
        <v>#REF!</v>
      </c>
      <c r="T51" s="473" t="e">
        <f t="shared" si="20"/>
        <v>#REF!</v>
      </c>
      <c r="U51" s="59"/>
      <c r="V51" s="425"/>
      <c r="W51" s="425"/>
      <c r="X51" s="425"/>
      <c r="Y51" s="425"/>
      <c r="Z51" s="425"/>
      <c r="AA51" s="425"/>
      <c r="AB51" s="425"/>
      <c r="AC51" s="425"/>
      <c r="AD51" s="425"/>
    </row>
    <row r="57" spans="8:30">
      <c r="I57" t="s">
        <v>2464</v>
      </c>
    </row>
    <row r="58" spans="8:30">
      <c r="H58" t="s">
        <v>2463</v>
      </c>
      <c r="I58" s="43">
        <f>25000/25673-1</f>
        <v>-2.6214310754489101E-2</v>
      </c>
    </row>
    <row r="59" spans="8:30">
      <c r="H59" s="43">
        <v>2.5000000000000001E-2</v>
      </c>
      <c r="I59" s="276">
        <f>H59*$I$58*10000</f>
        <v>-6.5535776886222754</v>
      </c>
    </row>
    <row r="60" spans="8:30">
      <c r="H60" s="43">
        <v>0.02</v>
      </c>
      <c r="I60" s="276">
        <f>H60*$I$58*10000</f>
        <v>-5.2428621508978202</v>
      </c>
    </row>
    <row r="61" spans="8:30">
      <c r="H61" s="43">
        <v>1.4999999999999999E-2</v>
      </c>
      <c r="I61" s="276">
        <f>H61*$I$58*10000</f>
        <v>-3.9321466131733649</v>
      </c>
    </row>
    <row r="63" spans="8:30">
      <c r="I63" s="276"/>
      <c r="J63" s="43"/>
      <c r="K63" s="43"/>
      <c r="L63" s="43"/>
    </row>
    <row r="64" spans="8:30">
      <c r="I64" t="s">
        <v>2464</v>
      </c>
      <c r="J64" s="43"/>
      <c r="K64" s="43"/>
      <c r="L64" s="43"/>
    </row>
    <row r="65" spans="8:9">
      <c r="H65" t="s">
        <v>2463</v>
      </c>
      <c r="I65" s="43">
        <v>0.01</v>
      </c>
    </row>
    <row r="66" spans="8:9">
      <c r="H66" s="43">
        <v>-0.01</v>
      </c>
      <c r="I66" s="276">
        <f>H66*$I$65*10000</f>
        <v>-1</v>
      </c>
    </row>
    <row r="67" spans="8:9">
      <c r="H67" s="43"/>
      <c r="I67" s="276"/>
    </row>
    <row r="68" spans="8:9">
      <c r="H68" s="43"/>
      <c r="I68" s="276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2358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43">
        <f>C45/C41*D41</f>
        <v>13303769.401330376</v>
      </c>
    </row>
    <row r="50" spans="1:10">
      <c r="I50" s="93" cm="1">
        <f t="array" ref="I50">_xll.BDP("cny Curncy","LAST_PRICE")</f>
        <v>6.9569000000000001</v>
      </c>
    </row>
    <row r="51" spans="1:10">
      <c r="F51" s="80" t="s">
        <v>2348</v>
      </c>
      <c r="G51" s="80" t="s">
        <v>2349</v>
      </c>
      <c r="H51" s="80" t="str">
        <f>F51</f>
        <v>YEST</v>
      </c>
      <c r="I51" s="80" t="str">
        <f>G51</f>
        <v>TODAY</v>
      </c>
      <c r="J51" t="s">
        <v>2322</v>
      </c>
    </row>
    <row r="52" spans="1:10">
      <c r="A52" s="433" t="s">
        <v>1930</v>
      </c>
      <c r="B52" s="434">
        <v>46101</v>
      </c>
      <c r="C52" s="433">
        <v>276451</v>
      </c>
      <c r="D52" s="433" t="s">
        <v>1932</v>
      </c>
      <c r="E52" s="433" t="s">
        <v>2146</v>
      </c>
      <c r="F52" s="441">
        <f>Precificação!N2</f>
        <v>10.01</v>
      </c>
      <c r="G52" s="276">
        <v>10.45</v>
      </c>
      <c r="H52" s="267">
        <f>$C52*F52/$I$50</f>
        <v>397774.08184679953</v>
      </c>
      <c r="I52" s="267">
        <f>$C52*G52/$I$50</f>
        <v>415258.65687303251</v>
      </c>
      <c r="J52" s="267">
        <f>I52-H52</f>
        <v>17484.575026232982</v>
      </c>
    </row>
    <row r="53" spans="1:10">
      <c r="A53" s="433" t="s">
        <v>1930</v>
      </c>
      <c r="B53" s="434">
        <v>46101</v>
      </c>
      <c r="C53" s="433">
        <v>276451</v>
      </c>
      <c r="D53" s="433" t="s">
        <v>1932</v>
      </c>
      <c r="E53" s="433" t="s">
        <v>2147</v>
      </c>
      <c r="F53" s="441">
        <f>Precificação!N3</f>
        <v>2.37</v>
      </c>
      <c r="G53" s="276">
        <v>2.35</v>
      </c>
      <c r="H53" s="267">
        <f>$C53*F53/$I$50</f>
        <v>94178.279118572929</v>
      </c>
      <c r="I53" s="267">
        <f>$C53*G53/$I$50</f>
        <v>93383.525708289613</v>
      </c>
      <c r="J53" s="267">
        <f>I53-H53</f>
        <v>-794.75341028331604</v>
      </c>
    </row>
    <row r="54" spans="1:10">
      <c r="E54" s="276">
        <f>E53-E52</f>
        <v>15</v>
      </c>
      <c r="F54" s="276">
        <f>F52-F53</f>
        <v>7.64</v>
      </c>
      <c r="G54" s="276">
        <f>G52-G53</f>
        <v>8.1</v>
      </c>
      <c r="H54" s="408">
        <f>H52-H53</f>
        <v>303595.80272822658</v>
      </c>
      <c r="I54" s="408">
        <f>I52-I53</f>
        <v>321875.13116474287</v>
      </c>
      <c r="J54" s="408">
        <f>J52-J53</f>
        <v>18279.328436516298</v>
      </c>
    </row>
    <row r="55" spans="1:10">
      <c r="I55" t="s">
        <v>2323</v>
      </c>
      <c r="J55" s="276">
        <f>J54/'Master P&amp;L'!AD7*10000</f>
        <v>7.6285795245596158E-2</v>
      </c>
    </row>
    <row r="58" spans="1:10">
      <c r="B58" s="5"/>
      <c r="D58" s="5"/>
    </row>
    <row r="61" spans="1:10">
      <c r="B61" t="s">
        <v>2360</v>
      </c>
    </row>
    <row r="62" spans="1:10">
      <c r="C62" t="s">
        <v>209</v>
      </c>
      <c r="D62" t="s">
        <v>210</v>
      </c>
    </row>
    <row r="63" spans="1:10">
      <c r="B63" t="s">
        <v>2362</v>
      </c>
      <c r="C63">
        <v>99.21</v>
      </c>
      <c r="D63">
        <v>99.06</v>
      </c>
    </row>
    <row r="64" spans="1:10">
      <c r="B64" t="s">
        <v>2364</v>
      </c>
      <c r="C64" s="43">
        <v>0.05</v>
      </c>
      <c r="D64" s="43">
        <v>4.9799999999999997E-2</v>
      </c>
    </row>
    <row r="65" spans="2:6">
      <c r="B65" t="s">
        <v>2363</v>
      </c>
      <c r="C65" s="43">
        <v>4.2299999999999997E-2</v>
      </c>
      <c r="D65" s="43">
        <v>4.2299999999999997E-2</v>
      </c>
    </row>
    <row r="66" spans="2:6">
      <c r="B66" t="s">
        <v>2361</v>
      </c>
      <c r="C66">
        <v>77</v>
      </c>
      <c r="D66">
        <v>75</v>
      </c>
    </row>
    <row r="67" spans="2:6">
      <c r="B67" t="s">
        <v>2370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2365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2323</v>
      </c>
    </row>
    <row r="72" spans="2:6">
      <c r="B72" t="s">
        <v>2361</v>
      </c>
      <c r="C72" s="267">
        <f>(D72-$C$66)*$C$71</f>
        <v>-53410</v>
      </c>
      <c r="D72">
        <v>70</v>
      </c>
      <c r="E72" t="s">
        <v>2368</v>
      </c>
      <c r="F72" s="276">
        <f>C72/'Master P&amp;L'!$AD$7*10000</f>
        <v>-0.22289792200067285</v>
      </c>
    </row>
    <row r="73" spans="2:6">
      <c r="B73" t="s">
        <v>2361</v>
      </c>
      <c r="C73" s="267">
        <f>(D73-$C$66)*$C$71</f>
        <v>61040</v>
      </c>
      <c r="D73">
        <v>85</v>
      </c>
      <c r="E73" t="s">
        <v>2369</v>
      </c>
      <c r="F73" s="276">
        <f>C73/'Master P&amp;L'!$AD$7*10000</f>
        <v>0.25474048228648327</v>
      </c>
    </row>
    <row r="76" spans="2:6">
      <c r="B76" t="s">
        <v>2366</v>
      </c>
    </row>
    <row r="77" spans="2:6">
      <c r="B77" t="s">
        <v>2367</v>
      </c>
    </row>
  </sheetData>
  <conditionalFormatting sqref="F52:F53">
    <cfRule type="cellIs" dxfId="45" priority="1" operator="equal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O26" sqref="O26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IF(B5="","",IF(LEN(B5)&gt;9,SUMIFS(Options!$H$3:$H$20,Options!$B$3:$B$20,Check!B5),SUMIFS('Master P&amp;L'!$H$11:$H$84,'Master P&amp;L'!$B$11:$B$84,Check!B5)))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79</v>
      </c>
      <c r="P5" s="217">
        <f>IF(O5="","",IF(OR(LEFT(O5,4)="Cash",LEFT(O5,4)="Prov"),0,SUMIFS(Input_APM!N:N,Input_APM!L:L,Check!O5)))</f>
        <v>6094</v>
      </c>
      <c r="Q5" s="22">
        <f>IF(O5="","",IF(LEN(O5)&gt;9,SUMIFS(Options!$H$3:$H$20,Options!$B$3:$B$20,Check!O5),SUMIFS('Master P&amp;L'!$H$11:$H$84,'Master P&amp;L'!$B$11:$B$84,Check!O5)))</f>
        <v>0</v>
      </c>
      <c r="R5" s="217">
        <f>IF(O5="","",P5-Q5)</f>
        <v>6094</v>
      </c>
      <c r="S5" s="361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IF(B6="","",IF(LEN(B6)&gt;9,SUMIFS(Options!$H$3:$H$20,Options!$B$3:$B$20,Check!B6),SUMIFS('Master P&amp;L'!$H$11:$H$84,'Master P&amp;L'!$B$11:$B$84,Check!B6)))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2356</v>
      </c>
      <c r="P6" s="217">
        <f>IF(O6="","",IF(OR(LEFT(O6,4)="Cash",LEFT(O6,4)="Prov"),0,SUMIFS(Input_APM!N:N,Input_APM!L:L,Check!O6)))</f>
        <v>5908</v>
      </c>
      <c r="Q6" s="22">
        <f>IF(O6="","",IF(LEN(O6)&gt;9,SUMIFS(Options!$H$3:$H$20,Options!$B$3:$B$20,Check!O6),SUMIFS('Master P&amp;L'!$H$11:$H$84,'Master P&amp;L'!$B$11:$B$84,Check!O6)))</f>
        <v>7600</v>
      </c>
      <c r="R6" s="217">
        <f t="shared" ref="R6:R69" si="1">IF(O6="","",P6-Q6)</f>
        <v>-1692</v>
      </c>
      <c r="S6" s="361">
        <f t="shared" ref="S6:S69" si="2">IF(O6="","",IF((P6+Q6)=0,"Ok",IF(OR(P6=0,Q6=0),"Erro",P6/Q6)))</f>
        <v>0.7773684210526316</v>
      </c>
      <c r="V6" s="13"/>
    </row>
    <row r="7" spans="2:22">
      <c r="B7" t="s">
        <v>2138</v>
      </c>
      <c r="C7" s="233">
        <f>IF(B7="","",IF(LEN(B7)&gt;9,SUMIFS(Options!$H$3:$H$20,Options!$B$3:$B$20,Check!B7),SUMIFS('Master P&amp;L'!$H$11:$H$84,'Master P&amp;L'!$B$11:$B$84,Check!B7)))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399</v>
      </c>
      <c r="P7" s="217">
        <f>IF(O7="","",IF(OR(LEFT(O7,4)="Cash",LEFT(O7,4)="Prov"),0,SUMIFS(Input_APM!N:N,Input_APM!L:L,Check!O7)))</f>
        <v>15307</v>
      </c>
      <c r="Q7" s="22">
        <f>IF(O7="","",IF(LEN(O7)&gt;9,SUMIFS(Options!$H$3:$H$20,Options!$B$3:$B$20,Check!O7),SUMIFS('Master P&amp;L'!$H$11:$H$84,'Master P&amp;L'!$B$11:$B$84,Check!O7)))</f>
        <v>16335</v>
      </c>
      <c r="R7" s="217">
        <f t="shared" si="1"/>
        <v>-1028</v>
      </c>
      <c r="S7" s="361">
        <f t="shared" si="2"/>
        <v>0.9370676461585552</v>
      </c>
      <c r="V7" s="13"/>
    </row>
    <row r="8" spans="2:22">
      <c r="B8" t="s">
        <v>38</v>
      </c>
      <c r="C8" s="233">
        <f>IF(B8="","",IF(LEN(B8)&gt;9,SUMIFS(Options!$H$3:$H$20,Options!$B$3:$B$20,Check!B8),SUMIFS('Master P&amp;L'!$H$11:$H$84,'Master P&amp;L'!$B$11:$B$84,Check!B8)))</f>
        <v>21000</v>
      </c>
      <c r="D8" s="233">
        <f>IF(B8="","",SUMIFS(Input_APM!N:N,Input_APM!L:L,Check!B8,Input_APM!M:M,Check!$F$1))</f>
        <v>19706</v>
      </c>
      <c r="E8" s="219">
        <f>IF(B8="","",C8-M8)</f>
        <v>0</v>
      </c>
      <c r="F8" s="233">
        <f>IF(B8="","",SUMIFS(Input_APM!N:N,Input_APM!M:M,Check!$F$1,Input_APM!L:L,Check!B8))</f>
        <v>19706</v>
      </c>
      <c r="G8" s="233">
        <f>IF(B8="","",SUMIFS(Input_APM!N:N,Input_APM!M:M,Check!$G$1,Input_APM!L:L,Check!B8))</f>
        <v>0</v>
      </c>
      <c r="H8" s="217">
        <f t="shared" si="0"/>
        <v>19706</v>
      </c>
      <c r="I8" s="217">
        <f>SUMIFS(Input_APM!N:N,Input_APM!L:L,Check!B8)</f>
        <v>19706</v>
      </c>
      <c r="J8" s="219">
        <f t="shared" si="3"/>
        <v>0</v>
      </c>
      <c r="K8" s="22">
        <f>IF(B8="","",SUMIFS('Input_APM (Zenith)'!N:N,'Input_APM (Zenith)'!L:L,Check!B8,'Input_APM (Zenith)'!M:M,Check!$F$1))</f>
        <v>1294</v>
      </c>
      <c r="L8" s="22">
        <f>IF(B8="","",SUMIFS('Input_APM (Zenith)'!N:N,'Input_APM (Zenith)'!L:L,Check!B8,'Input_APM (Zenith)'!M:M,Check!$G$1))</f>
        <v>0</v>
      </c>
      <c r="M8" s="240">
        <f t="shared" si="4"/>
        <v>21000</v>
      </c>
      <c r="O8" t="s">
        <v>38</v>
      </c>
      <c r="P8" s="217">
        <f>IF(O8="","",IF(OR(LEFT(O8,4)="Cash",LEFT(O8,4)="Prov"),0,SUMIFS(Input_APM!N:N,Input_APM!L:L,Check!O8)))</f>
        <v>19706</v>
      </c>
      <c r="Q8" s="22">
        <f>IF(O8="","",IF(LEN(O8)&gt;9,SUMIFS(Options!$H$3:$H$20,Options!$B$3:$B$20,Check!O8),SUMIFS('Master P&amp;L'!$H$11:$H$84,'Master P&amp;L'!$B$11:$B$84,Check!O8)))</f>
        <v>21000</v>
      </c>
      <c r="R8" s="217">
        <f t="shared" si="1"/>
        <v>-1294</v>
      </c>
      <c r="S8" s="361">
        <f t="shared" si="2"/>
        <v>0.93838095238095243</v>
      </c>
      <c r="V8" s="13"/>
    </row>
    <row r="9" spans="2:22">
      <c r="B9" t="s">
        <v>3</v>
      </c>
      <c r="C9" s="233">
        <f>IF(B9="","",IF(LEN(B9)&gt;9,SUMIFS(Options!$H$3:$H$20,Options!$B$3:$B$20,Check!B9),SUMIFS('Master P&amp;L'!$H$11:$H$84,'Master P&amp;L'!$B$11:$B$84,Check!B9)))</f>
        <v>-47900</v>
      </c>
      <c r="D9" s="233">
        <f>IF(B9="","",SUMIFS(Input_APM!N:N,Input_APM!L:L,Check!B9,Input_APM!M:M,Check!$F$1))</f>
        <v>-21497</v>
      </c>
      <c r="E9" s="219">
        <f>IF(B9="","",C9-M9)</f>
        <v>-25000</v>
      </c>
      <c r="F9" s="233">
        <f>IF(B9="","",SUMIFS(Input_APM!N:N,Input_APM!M:M,Check!$F$1,Input_APM!L:L,Check!B9))</f>
        <v>-21497</v>
      </c>
      <c r="G9" s="233">
        <f>IF(B9="","",SUMIFS(Input_APM!N:N,Input_APM!M:M,Check!$G$1,Input_APM!L:L,Check!B9))</f>
        <v>0</v>
      </c>
      <c r="H9" s="217">
        <f t="shared" si="0"/>
        <v>-21497</v>
      </c>
      <c r="I9" s="217">
        <f>SUMIFS(Input_APM!N:N,Input_APM!L:L,Check!B9)</f>
        <v>-21497</v>
      </c>
      <c r="J9" s="219">
        <f t="shared" si="3"/>
        <v>0</v>
      </c>
      <c r="K9" s="22">
        <f>IF(B9="","",SUMIFS('Input_APM (Zenith)'!N:N,'Input_APM (Zenith)'!L:L,Check!B9,'Input_APM (Zenith)'!M:M,Check!$F$1))</f>
        <v>-1403</v>
      </c>
      <c r="L9" s="22">
        <f>IF(B9="","",SUMIFS('Input_APM (Zenith)'!N:N,'Input_APM (Zenith)'!L:L,Check!B9,'Input_APM (Zenith)'!M:M,Check!$G$1))</f>
        <v>0</v>
      </c>
      <c r="M9" s="240">
        <f t="shared" si="4"/>
        <v>-22900</v>
      </c>
      <c r="O9" t="s">
        <v>2224</v>
      </c>
      <c r="P9" s="217">
        <f>IF(O9="","",IF(OR(LEFT(O9,4)="Cash",LEFT(O9,4)="Prov"),0,SUMIFS(Input_APM!N:N,Input_APM!L:L,Check!O9)))</f>
        <v>935</v>
      </c>
      <c r="Q9" s="22">
        <f>IF(O9="","",IF(LEN(O9)&gt;9,SUMIFS(Options!$H$3:$H$20,Options!$B$3:$B$20,Check!O9),SUMIFS('Master P&amp;L'!$H$11:$H$84,'Master P&amp;L'!$B$11:$B$84,Check!O9)))</f>
        <v>1000</v>
      </c>
      <c r="R9" s="217">
        <f t="shared" si="1"/>
        <v>-65</v>
      </c>
      <c r="S9" s="361">
        <f t="shared" si="2"/>
        <v>0.93500000000000005</v>
      </c>
      <c r="V9" s="13"/>
    </row>
    <row r="10" spans="2:22">
      <c r="B10" t="s">
        <v>135</v>
      </c>
      <c r="C10" s="233">
        <f>IF(B10="","",IF(LEN(B10)&gt;9,SUMIFS(Options!$H$3:$H$20,Options!$B$3:$B$20,Check!B10),SUMIFS('Master P&amp;L'!$H$11:$H$84,'Master P&amp;L'!$B$11:$B$84,Check!B10)))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137</v>
      </c>
      <c r="P10" s="217">
        <f>IF(O10="","",IF(OR(LEFT(O10,4)="Cash",LEFT(O10,4)="Prov"),0,SUMIFS(Input_APM!N:N,Input_APM!L:L,Check!O10)))</f>
        <v>1409</v>
      </c>
      <c r="Q10" s="22">
        <f>IF(O10="","",IF(LEN(O10)&gt;9,SUMIFS(Options!$H$3:$H$20,Options!$B$3:$B$20,Check!O10),SUMIFS('Master P&amp;L'!$H$11:$H$84,'Master P&amp;L'!$B$11:$B$84,Check!O10)))</f>
        <v>1500</v>
      </c>
      <c r="R10" s="217">
        <f t="shared" si="1"/>
        <v>-91</v>
      </c>
      <c r="S10" s="361">
        <f t="shared" si="2"/>
        <v>0.93933333333333335</v>
      </c>
      <c r="V10" s="13"/>
    </row>
    <row r="11" spans="2:22">
      <c r="B11" t="s">
        <v>131</v>
      </c>
      <c r="C11" s="233">
        <f>IF(B11="","",IF(LEN(B11)&gt;9,SUMIFS(Options!$H$3:$H$20,Options!$B$3:$B$20,Check!B11),SUMIFS('Master P&amp;L'!$H$11:$H$84,'Master P&amp;L'!$B$11:$B$84,Check!B11)))</f>
        <v>20000</v>
      </c>
      <c r="D11" s="233">
        <f>IF(B11="","",SUMIFS(Input_APM!N:N,Input_APM!L:L,Check!B11,Input_APM!M:M,Check!$F$1))</f>
        <v>0</v>
      </c>
      <c r="E11" s="217">
        <f t="shared" si="5"/>
        <v>20000</v>
      </c>
      <c r="F11" s="233">
        <f>IF(B11="","",SUMIFS(Input_APM!N:N,Input_APM!M:M,Check!$F$1,Input_APM!L:L,Check!B11))</f>
        <v>0</v>
      </c>
      <c r="G11" s="233">
        <f>IF(B11="","",SUMIFS(Input_APM!N:N,Input_APM!M:M,Check!$G$1,Input_APM!L:L,Check!B11))</f>
        <v>0</v>
      </c>
      <c r="H11" s="217">
        <f t="shared" si="0"/>
        <v>0</v>
      </c>
      <c r="I11" s="217">
        <f>SUMIFS(Input_APM!N:N,Input_APM!L:L,Check!B11)</f>
        <v>0</v>
      </c>
      <c r="J11" s="219">
        <f t="shared" si="3"/>
        <v>0</v>
      </c>
      <c r="K11" s="22">
        <f>IF(B11="","",SUMIFS('Input_APM (Zenith)'!N:N,'Input_APM (Zenith)'!L:L,Check!B11,'Input_APM (Zenith)'!M:M,Check!$F$1))</f>
        <v>0</v>
      </c>
      <c r="L11" s="22">
        <f>IF(B11="","",SUMIFS('Input_APM (Zenith)'!N:N,'Input_APM (Zenith)'!L:L,Check!B11,'Input_APM (Zenith)'!M:M,Check!$G$1))</f>
        <v>0</v>
      </c>
      <c r="M11" s="240">
        <f t="shared" si="4"/>
        <v>0</v>
      </c>
      <c r="O11" t="s">
        <v>2102</v>
      </c>
      <c r="P11" s="217">
        <f>IF(O11="","",IF(OR(LEFT(O11,4)="Cash",LEFT(O11,4)="Prov"),0,SUMIFS(Input_APM!N:N,Input_APM!L:L,Check!O11)))</f>
        <v>114</v>
      </c>
      <c r="Q11" s="22">
        <f>IF(O11="","",IF(LEN(O11)&gt;9,SUMIFS(Options!$H$3:$H$20,Options!$B$3:$B$20,Check!O11),SUMIFS('Master P&amp;L'!$H$11:$H$84,'Master P&amp;L'!$B$11:$B$84,Check!O11)))</f>
        <v>120</v>
      </c>
      <c r="R11" s="217">
        <f t="shared" si="1"/>
        <v>-6</v>
      </c>
      <c r="S11" s="361">
        <f t="shared" si="2"/>
        <v>0.95</v>
      </c>
      <c r="V11" s="13"/>
    </row>
    <row r="12" spans="2:22">
      <c r="B12" t="s">
        <v>2145</v>
      </c>
      <c r="C12" s="233">
        <f>IF(B12="","",IF(LEN(B12)&gt;9,SUMIFS(Options!$H$3:$H$20,Options!$B$3:$B$20,Check!B12),SUMIFS('Master P&amp;L'!$H$11:$H$84,'Master P&amp;L'!$B$11:$B$84,Check!B12)))</f>
        <v>14500</v>
      </c>
      <c r="D12" s="233">
        <f>IF(B12="","",SUMIFS(Input_APM!N:N,Input_APM!L:L,Check!B12,Input_APM!M:M,Check!$F$1))</f>
        <v>13594</v>
      </c>
      <c r="E12" s="217">
        <f t="shared" si="5"/>
        <v>0</v>
      </c>
      <c r="F12" s="233">
        <f>IF(B12="","",SUMIFS(Input_APM!N:N,Input_APM!M:M,Check!$F$1,Input_APM!L:L,Check!B12))</f>
        <v>13594</v>
      </c>
      <c r="G12" s="233">
        <f>IF(B12="","",SUMIFS(Input_APM!N:N,Input_APM!M:M,Check!$G$1,Input_APM!L:L,Check!B12))</f>
        <v>0</v>
      </c>
      <c r="H12" s="217">
        <f t="shared" si="0"/>
        <v>13594</v>
      </c>
      <c r="I12" s="217">
        <f>SUMIFS(Input_APM!N:N,Input_APM!L:L,Check!B12)</f>
        <v>13594</v>
      </c>
      <c r="J12" s="219">
        <f t="shared" si="3"/>
        <v>0</v>
      </c>
      <c r="K12" s="22">
        <f>IF(B12="","",SUMIFS('Input_APM (Zenith)'!N:N,'Input_APM (Zenith)'!L:L,Check!B12,'Input_APM (Zenith)'!M:M,Check!$F$1))</f>
        <v>906</v>
      </c>
      <c r="L12" s="22">
        <f>IF(B12="","",SUMIFS('Input_APM (Zenith)'!N:N,'Input_APM (Zenith)'!L:L,Check!B12,'Input_APM (Zenith)'!M:M,Check!$G$1))</f>
        <v>0</v>
      </c>
      <c r="M12" s="240">
        <f t="shared" si="4"/>
        <v>14500</v>
      </c>
      <c r="O12" t="s">
        <v>461</v>
      </c>
      <c r="P12" s="217">
        <f>IF(O12="","",IF(OR(LEFT(O12,4)="Cash",LEFT(O12,4)="Prov"),0,SUMIFS(Input_APM!N:N,Input_APM!L:L,Check!O12)))</f>
        <v>3163</v>
      </c>
      <c r="Q12" s="22">
        <f>IF(O12="","",IF(LEN(O12)&gt;9,SUMIFS(Options!$H$3:$H$20,Options!$B$3:$B$20,Check!O12),SUMIFS('Master P&amp;L'!$H$11:$H$84,'Master P&amp;L'!$B$11:$B$84,Check!O12)))</f>
        <v>3378</v>
      </c>
      <c r="R12" s="217">
        <f t="shared" si="1"/>
        <v>-215</v>
      </c>
      <c r="S12" s="361">
        <f t="shared" si="2"/>
        <v>0.9363528715216104</v>
      </c>
      <c r="V12" s="13"/>
    </row>
    <row r="13" spans="2:22">
      <c r="B13" t="s">
        <v>79</v>
      </c>
      <c r="C13" s="233">
        <f>IF(B13="","",IF(LEN(B13)&gt;9,SUMIFS(Options!$H$3:$H$20,Options!$B$3:$B$20,Check!B13),SUMIFS('Master P&amp;L'!$H$11:$H$84,'Master P&amp;L'!$B$11:$B$84,Check!B13)))</f>
        <v>0</v>
      </c>
      <c r="D13" s="233">
        <f>IF(B13="","",SUMIFS(Input_APM!N:N,Input_APM!L:L,Check!B13,Input_APM!M:M,Check!$F$1))</f>
        <v>6094</v>
      </c>
      <c r="E13" s="219">
        <f t="shared" si="5"/>
        <v>-6500</v>
      </c>
      <c r="F13" s="233">
        <f>IF(B13="","",SUMIFS(Input_APM!N:N,Input_APM!M:M,Check!$F$1,Input_APM!L:L,Check!B13))</f>
        <v>6094</v>
      </c>
      <c r="G13" s="233">
        <f>IF(B13="","",SUMIFS(Input_APM!N:N,Input_APM!M:M,Check!$G$1,Input_APM!L:L,Check!B13))</f>
        <v>0</v>
      </c>
      <c r="H13" s="217">
        <f t="shared" si="0"/>
        <v>6094</v>
      </c>
      <c r="I13" s="217">
        <f>SUMIFS(Input_APM!N:N,Input_APM!L:L,Check!B13)</f>
        <v>6094</v>
      </c>
      <c r="J13" s="219">
        <f t="shared" si="3"/>
        <v>0</v>
      </c>
      <c r="K13" s="22">
        <f>IF(B13="","",SUMIFS('Input_APM (Zenith)'!N:N,'Input_APM (Zenith)'!L:L,Check!B13,'Input_APM (Zenith)'!M:M,Check!$F$1))</f>
        <v>406</v>
      </c>
      <c r="L13" s="22">
        <f>IF(B13="","",SUMIFS('Input_APM (Zenith)'!N:N,'Input_APM (Zenith)'!L:L,Check!B13,'Input_APM (Zenith)'!M:M,Check!$G$1))</f>
        <v>0</v>
      </c>
      <c r="M13" s="240">
        <f t="shared" si="4"/>
        <v>6500</v>
      </c>
      <c r="O13" t="s">
        <v>2138</v>
      </c>
      <c r="P13" s="217">
        <f>IF(O13="","",IF(OR(LEFT(O13,4)="Cash",LEFT(O13,4)="Prov"),0,SUMIFS(Input_APM!N:N,Input_APM!L:L,Check!O13)))</f>
        <v>3285</v>
      </c>
      <c r="Q13" s="22">
        <f>IF(O13="","",IF(LEN(O13)&gt;9,SUMIFS(Options!$H$3:$H$20,Options!$B$3:$B$20,Check!O13),SUMIFS('Master P&amp;L'!$H$11:$H$84,'Master P&amp;L'!$B$11:$B$84,Check!O13)))</f>
        <v>3510</v>
      </c>
      <c r="R13" s="217">
        <f t="shared" si="1"/>
        <v>-225</v>
      </c>
      <c r="S13" s="361">
        <f t="shared" si="2"/>
        <v>0.9358974358974359</v>
      </c>
      <c r="V13" s="13"/>
    </row>
    <row r="14" spans="2:22">
      <c r="B14" t="s">
        <v>399</v>
      </c>
      <c r="C14" s="233">
        <f>IF(B14="","",IF(LEN(B14)&gt;9,SUMIFS(Options!$H$3:$H$20,Options!$B$3:$B$20,Check!B14),SUMIFS('Master P&amp;L'!$H$11:$H$84,'Master P&amp;L'!$B$11:$B$84,Check!B14)))</f>
        <v>16335</v>
      </c>
      <c r="D14" s="233">
        <f>IF(B14="","",SUMIFS(Input_APM!N:N,Input_APM!L:L,Check!B14,Input_APM!M:M,Check!$F$1))</f>
        <v>15307</v>
      </c>
      <c r="E14" s="217">
        <f t="shared" si="5"/>
        <v>0</v>
      </c>
      <c r="F14" s="233">
        <f>IF(B14="","",SUMIFS(Input_APM!N:N,Input_APM!M:M,Check!$F$1,Input_APM!L:L,Check!B14))</f>
        <v>15307</v>
      </c>
      <c r="G14" s="233">
        <f>IF(B14="","",SUMIFS(Input_APM!N:N,Input_APM!M:M,Check!$G$1,Input_APM!L:L,Check!B14))</f>
        <v>0</v>
      </c>
      <c r="H14" s="217">
        <f t="shared" si="0"/>
        <v>15307</v>
      </c>
      <c r="I14" s="217">
        <f>SUMIFS(Input_APM!N:N,Input_APM!L:L,Check!B14)</f>
        <v>15307</v>
      </c>
      <c r="J14" s="219">
        <f t="shared" si="3"/>
        <v>0</v>
      </c>
      <c r="K14" s="22">
        <f>IF(B14="","",SUMIFS('Input_APM (Zenith)'!N:N,'Input_APM (Zenith)'!L:L,Check!B14,'Input_APM (Zenith)'!M:M,Check!$F$1))</f>
        <v>1028</v>
      </c>
      <c r="L14" s="22">
        <f>IF(B14="","",SUMIFS('Input_APM (Zenith)'!N:N,'Input_APM (Zenith)'!L:L,Check!B14,'Input_APM (Zenith)'!M:M,Check!$G$1))</f>
        <v>0</v>
      </c>
      <c r="M14" s="240">
        <f t="shared" si="4"/>
        <v>16335</v>
      </c>
      <c r="O14" t="s">
        <v>295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IF(O14="","",IF(LEN(O14)&gt;9,SUMIFS(Options!$H$3:$H$20,Options!$B$3:$B$20,Check!O14),SUMIFS('Master P&amp;L'!$H$11:$H$84,'Master P&amp;L'!$B$11:$B$84,Check!O14)))</f>
        <v>0</v>
      </c>
      <c r="R14" s="217">
        <f t="shared" si="1"/>
        <v>0</v>
      </c>
      <c r="S14" s="361" t="str">
        <f t="shared" si="2"/>
        <v>Ok</v>
      </c>
      <c r="V14" s="13"/>
    </row>
    <row r="15" spans="2:22">
      <c r="B15" t="s">
        <v>81</v>
      </c>
      <c r="C15" s="233">
        <f>IF(B15="","",IF(LEN(B15)&gt;9,SUMIFS(Options!$H$3:$H$20,Options!$B$3:$B$20,Check!B15),SUMIFS('Master P&amp;L'!$H$11:$H$84,'Master P&amp;L'!$B$11:$B$84,Check!B15)))</f>
        <v>5750</v>
      </c>
      <c r="D15" s="233">
        <f>IF(B15="","",SUMIFS(Input_APM!N:N,Input_APM!L:L,Check!B15,Input_APM!M:M,Check!$F$1))</f>
        <v>3759</v>
      </c>
      <c r="E15" s="219">
        <f t="shared" si="5"/>
        <v>1750</v>
      </c>
      <c r="F15" s="233">
        <f>IF(B15="","",SUMIFS(Input_APM!N:N,Input_APM!M:M,Check!$F$1,Input_APM!L:L,Check!B15))</f>
        <v>3759</v>
      </c>
      <c r="G15" s="233">
        <f>IF(B15="","",SUMIFS(Input_APM!N:N,Input_APM!M:M,Check!$G$1,Input_APM!L:L,Check!B15))</f>
        <v>0</v>
      </c>
      <c r="H15" s="217">
        <f t="shared" si="0"/>
        <v>3759</v>
      </c>
      <c r="I15" s="217">
        <f>SUMIFS(Input_APM!N:N,Input_APM!L:L,Check!B15)</f>
        <v>3759</v>
      </c>
      <c r="J15" s="219">
        <f t="shared" si="3"/>
        <v>0</v>
      </c>
      <c r="K15" s="22">
        <f>IF(B15="","",SUMIFS('Input_APM (Zenith)'!N:N,'Input_APM (Zenith)'!L:L,Check!B15,'Input_APM (Zenith)'!M:M,Check!$F$1))</f>
        <v>241</v>
      </c>
      <c r="L15" s="22">
        <f>IF(B15="","",SUMIFS('Input_APM (Zenith)'!N:N,'Input_APM (Zenith)'!L:L,Check!B15,'Input_APM (Zenith)'!M:M,Check!$G$1))</f>
        <v>0</v>
      </c>
      <c r="M15" s="240">
        <f t="shared" si="4"/>
        <v>4000</v>
      </c>
      <c r="O15" t="s">
        <v>296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IF(O15="","",IF(LEN(O15)&gt;9,SUMIFS(Options!$H$3:$H$20,Options!$B$3:$B$20,Check!O15),SUMIFS('Master P&amp;L'!$H$11:$H$84,'Master P&amp;L'!$B$11:$B$84,Check!O15)))</f>
        <v>0</v>
      </c>
      <c r="R15" s="217">
        <f t="shared" si="1"/>
        <v>0</v>
      </c>
      <c r="S15" s="361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IF(B16="","",IF(LEN(B16)&gt;9,SUMIFS(Options!$H$3:$H$20,Options!$B$3:$B$20,Check!B16),SUMIFS('Master P&amp;L'!$H$11:$H$84,'Master P&amp;L'!$B$11:$B$84,Check!B16)))</f>
        <v>4180</v>
      </c>
      <c r="D16" s="233">
        <f>IF(B16="","",SUMIFS(Input_APM!N:N,Input_APM!L:L,Check!B16,Input_APM!M:M,Check!$F$1))</f>
        <v>3910</v>
      </c>
      <c r="E16" s="217">
        <f t="shared" si="5"/>
        <v>0</v>
      </c>
      <c r="F16" s="233">
        <f>IF(B16="","",SUMIFS(Input_APM!N:N,Input_APM!M:M,Check!$F$1,Input_APM!L:L,Check!B16))</f>
        <v>3910</v>
      </c>
      <c r="G16" s="233">
        <f>IF(B16="","",SUMIFS(Input_APM!N:N,Input_APM!M:M,Check!$G$1,Input_APM!L:L,Check!B16))</f>
        <v>0</v>
      </c>
      <c r="H16" s="217">
        <f t="shared" si="0"/>
        <v>3910</v>
      </c>
      <c r="I16" s="217">
        <f>SUMIFS(Input_APM!N:N,Input_APM!L:L,Check!B16)</f>
        <v>3910</v>
      </c>
      <c r="J16" s="219">
        <f t="shared" si="3"/>
        <v>0</v>
      </c>
      <c r="K16" s="22">
        <f>IF(B16="","",SUMIFS('Input_APM (Zenith)'!N:N,'Input_APM (Zenith)'!L:L,Check!B16,'Input_APM (Zenith)'!M:M,Check!$F$1))</f>
        <v>270</v>
      </c>
      <c r="L16" s="22">
        <f>IF(B16="","",SUMIFS('Input_APM (Zenith)'!N:N,'Input_APM (Zenith)'!L:L,Check!B16,'Input_APM (Zenith)'!M:M,Check!$G$1))</f>
        <v>0</v>
      </c>
      <c r="M16" s="240">
        <f t="shared" si="4"/>
        <v>4180</v>
      </c>
      <c r="O16" t="s">
        <v>297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IF(O16="","",IF(LEN(O16)&gt;9,SUMIFS(Options!$H$3:$H$20,Options!$B$3:$B$20,Check!O16),SUMIFS('Master P&amp;L'!$H$11:$H$84,'Master P&amp;L'!$B$11:$B$84,Check!O16)))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89</v>
      </c>
      <c r="C17" s="233">
        <f>IF(B17="","",IF(LEN(B17)&gt;9,SUMIFS(Options!$H$3:$H$20,Options!$B$3:$B$20,Check!B17),SUMIFS('Master P&amp;L'!$H$11:$H$84,'Master P&amp;L'!$B$11:$B$84,Check!B17)))</f>
        <v>-26000</v>
      </c>
      <c r="D17" s="233">
        <f>IF(B17="","",SUMIFS(Input_APM!N:N,Input_APM!L:L,Check!B17,Input_APM!M:M,Check!$F$1))</f>
        <v>-12208</v>
      </c>
      <c r="E17" s="219">
        <f t="shared" si="5"/>
        <v>-13000</v>
      </c>
      <c r="F17" s="233">
        <f>IF(B17="","",SUMIFS(Input_APM!N:N,Input_APM!M:M,Check!$F$1,Input_APM!L:L,Check!B17))</f>
        <v>-12208</v>
      </c>
      <c r="G17" s="233">
        <f>IF(B17="","",SUMIFS(Input_APM!N:N,Input_APM!M:M,Check!$G$1,Input_APM!L:L,Check!B17))</f>
        <v>0</v>
      </c>
      <c r="H17" s="217">
        <f t="shared" si="0"/>
        <v>-12208</v>
      </c>
      <c r="I17" s="217">
        <f>SUMIFS(Input_APM!N:N,Input_APM!L:L,Check!B17)</f>
        <v>-12208</v>
      </c>
      <c r="J17" s="219">
        <f t="shared" si="3"/>
        <v>0</v>
      </c>
      <c r="K17" s="22">
        <f>IF(B17="","",SUMIFS('Input_APM (Zenith)'!N:N,'Input_APM (Zenith)'!L:L,Check!B17,'Input_APM (Zenith)'!M:M,Check!$F$1))</f>
        <v>-792</v>
      </c>
      <c r="L17" s="22">
        <f>IF(B17="","",SUMIFS('Input_APM (Zenith)'!N:N,'Input_APM (Zenith)'!L:L,Check!B17,'Input_APM (Zenith)'!M:M,Check!$G$1))</f>
        <v>0</v>
      </c>
      <c r="M17" s="240">
        <f t="shared" si="4"/>
        <v>-13000</v>
      </c>
      <c r="O17" t="s">
        <v>2123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IF(O17="","",IF(LEN(O17)&gt;9,SUMIFS(Options!$H$3:$H$20,Options!$B$3:$B$20,Check!O17),SUMIFS('Master P&amp;L'!$H$11:$H$84,'Master P&amp;L'!$B$11:$B$84,Check!O17)))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2269</v>
      </c>
      <c r="C18" s="233">
        <f>IF(B18="","",IF(LEN(B18)&gt;9,SUMIFS(Options!$H$3:$H$20,Options!$B$3:$B$20,Check!B18),SUMIFS('Master P&amp;L'!$H$11:$H$84,'Master P&amp;L'!$B$11:$B$84,Check!B18)))</f>
        <v>1393</v>
      </c>
      <c r="D18" s="233">
        <f>IF(B18="","",SUMIFS(Input_APM!N:N,Input_APM!L:L,Check!B18,Input_APM!M:M,Check!$F$1))</f>
        <v>0</v>
      </c>
      <c r="E18" s="219">
        <f t="shared" si="5"/>
        <v>1393</v>
      </c>
      <c r="F18" s="233">
        <f>IF(B18="","",SUMIFS(Input_APM!N:N,Input_APM!M:M,Check!$F$1,Input_APM!L:L,Check!B18))</f>
        <v>0</v>
      </c>
      <c r="G18" s="233">
        <f>IF(B18="","",SUMIFS(Input_APM!N:N,Input_APM!M:M,Check!$G$1,Input_APM!L:L,Check!B18))</f>
        <v>0</v>
      </c>
      <c r="H18" s="217">
        <f t="shared" si="0"/>
        <v>0</v>
      </c>
      <c r="I18" s="217">
        <f>SUMIFS(Input_APM!N:N,Input_APM!L:L,Check!B18)</f>
        <v>0</v>
      </c>
      <c r="J18" s="219">
        <f t="shared" si="3"/>
        <v>0</v>
      </c>
      <c r="K18" s="22">
        <f>IF(B18="","",SUMIFS('Input_APM (Zenith)'!N:N,'Input_APM (Zenith)'!L:L,Check!B18,'Input_APM (Zenith)'!M:M,Check!$F$1))</f>
        <v>0</v>
      </c>
      <c r="L18" s="22">
        <f>IF(B18="","",SUMIFS('Input_APM (Zenith)'!N:N,'Input_APM (Zenith)'!L:L,Check!B18,'Input_APM (Zenith)'!M:M,Check!$G$1))</f>
        <v>0</v>
      </c>
      <c r="M18" s="240">
        <f t="shared" si="4"/>
        <v>0</v>
      </c>
      <c r="O18" t="s">
        <v>298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IF(O18="","",IF(LEN(O18)&gt;9,SUMIFS(Options!$H$3:$H$20,Options!$B$3:$B$20,Check!O18),SUMIFS('Master P&amp;L'!$H$11:$H$84,'Master P&amp;L'!$B$11:$B$84,Check!O18)))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2455</v>
      </c>
      <c r="C19" s="233">
        <f>IF(B19="","",IF(LEN(B19)&gt;9,SUMIFS(Options!$H$3:$H$20,Options!$B$3:$B$20,Check!B19),SUMIFS('Master P&amp;L'!$H$11:$H$84,'Master P&amp;L'!$B$11:$B$84,Check!B19)))</f>
        <v>3090</v>
      </c>
      <c r="D19" s="233">
        <f>IF(B19="","",SUMIFS(Input_APM!N:N,Input_APM!L:L,Check!B19,Input_APM!M:M,Check!$F$1))</f>
        <v>0</v>
      </c>
      <c r="E19" s="219">
        <f t="shared" si="5"/>
        <v>3090</v>
      </c>
      <c r="F19" s="233">
        <f>IF(B19="","",SUMIFS(Input_APM!N:N,Input_APM!M:M,Check!$F$1,Input_APM!L:L,Check!B19))</f>
        <v>0</v>
      </c>
      <c r="G19" s="233">
        <f>IF(B19="","",SUMIFS(Input_APM!N:N,Input_APM!M:M,Check!$G$1,Input_APM!L:L,Check!B19))</f>
        <v>0</v>
      </c>
      <c r="H19" s="217">
        <f t="shared" si="0"/>
        <v>0</v>
      </c>
      <c r="I19" s="217">
        <f>SUMIFS(Input_APM!N:N,Input_APM!L:L,Check!B19)</f>
        <v>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0</v>
      </c>
      <c r="O19" t="s">
        <v>299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IF(O19="","",IF(LEN(O19)&gt;9,SUMIFS(Options!$H$3:$H$20,Options!$B$3:$B$20,Check!O19),SUMIFS('Master P&amp;L'!$H$11:$H$84,'Master P&amp;L'!$B$11:$B$84,Check!O19)))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1754</v>
      </c>
      <c r="C20" s="233">
        <f>IF(B20="","",IF(LEN(B20)&gt;9,SUMIFS(Options!$H$3:$H$20,Options!$B$3:$B$20,Check!B20),SUMIFS('Master P&amp;L'!$H$11:$H$84,'Master P&amp;L'!$B$11:$B$84,Check!B20)))</f>
        <v>47216</v>
      </c>
      <c r="D20" s="233">
        <f>IF(B20="","",SUMIFS(Input_APM!N:N,Input_APM!L:L,Check!B20,Input_APM!M:M,Check!$F$1))</f>
        <v>44211</v>
      </c>
      <c r="E20" s="219">
        <f>IF(B20="","",C20-M20)</f>
        <v>0</v>
      </c>
      <c r="F20" s="233">
        <f>IF(B20="","",SUMIFS(Input_APM!N:N,Input_APM!M:M,Check!$F$1,Input_APM!L:L,Check!B20))</f>
        <v>44211</v>
      </c>
      <c r="G20" s="233">
        <f>IF(B20="","",SUMIFS(Input_APM!N:N,Input_APM!M:M,Check!$G$1,Input_APM!L:L,Check!B20))</f>
        <v>0</v>
      </c>
      <c r="H20" s="217">
        <f t="shared" si="0"/>
        <v>44211</v>
      </c>
      <c r="I20" s="217">
        <f>SUMIFS(Input_APM!N:N,Input_APM!L:L,Check!B20)</f>
        <v>44211</v>
      </c>
      <c r="J20" s="219">
        <f t="shared" si="3"/>
        <v>0</v>
      </c>
      <c r="K20" s="22">
        <f>IF(B20="","",SUMIFS('Input_APM (Zenith)'!N:N,'Input_APM (Zenith)'!L:L,Check!B20,'Input_APM (Zenith)'!M:M,Check!$F$1))</f>
        <v>3005</v>
      </c>
      <c r="L20" s="22">
        <f>IF(B20="","",SUMIFS('Input_APM (Zenith)'!N:N,'Input_APM (Zenith)'!L:L,Check!B20,'Input_APM (Zenith)'!M:M,Check!$G$1))</f>
        <v>0</v>
      </c>
      <c r="M20" s="240">
        <f t="shared" si="4"/>
        <v>47216</v>
      </c>
      <c r="O20" t="s">
        <v>300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IF(O20="","",IF(LEN(O20)&gt;9,SUMIFS(Options!$H$3:$H$20,Options!$B$3:$B$20,Check!O20),SUMIFS('Master P&amp;L'!$H$11:$H$84,'Master P&amp;L'!$B$11:$B$84,Check!O20)))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2063</v>
      </c>
      <c r="C21" s="233">
        <f>IF(B21="","",IF(LEN(B21)&gt;9,SUMIFS(Options!$H$3:$H$20,Options!$B$3:$B$20,Check!B21),SUMIFS('Master P&amp;L'!$H$11:$H$84,'Master P&amp;L'!$B$11:$B$84,Check!B21)))</f>
        <v>900</v>
      </c>
      <c r="D21" s="233">
        <f>IF(B21="","",SUMIFS(Input_APM!N:N,Input_APM!L:L,Check!B21,Input_APM!M:M,Check!$F$1))</f>
        <v>841</v>
      </c>
      <c r="E21" s="217">
        <f t="shared" si="5"/>
        <v>0</v>
      </c>
      <c r="F21" s="233">
        <f>IF(B21="","",SUMIFS(Input_APM!N:N,Input_APM!M:M,Check!$F$1,Input_APM!L:L,Check!B21))</f>
        <v>841</v>
      </c>
      <c r="G21" s="233">
        <f>IF(B21="","",SUMIFS(Input_APM!N:N,Input_APM!M:M,Check!$G$1,Input_APM!L:L,Check!B21))</f>
        <v>0</v>
      </c>
      <c r="H21" s="217">
        <f t="shared" si="0"/>
        <v>841</v>
      </c>
      <c r="I21" s="217">
        <f>SUMIFS(Input_APM!N:N,Input_APM!L:L,Check!B21)</f>
        <v>841</v>
      </c>
      <c r="J21" s="219">
        <f t="shared" si="3"/>
        <v>0</v>
      </c>
      <c r="K21" s="22">
        <f>IF(B21="","",SUMIFS('Input_APM (Zenith)'!N:N,'Input_APM (Zenith)'!L:L,Check!B21,'Input_APM (Zenith)'!M:M,Check!$F$1))</f>
        <v>59</v>
      </c>
      <c r="L21" s="22">
        <f>IF(B21="","",SUMIFS('Input_APM (Zenith)'!N:N,'Input_APM (Zenith)'!L:L,Check!B21,'Input_APM (Zenith)'!M:M,Check!$G$1))</f>
        <v>0</v>
      </c>
      <c r="M21" s="240">
        <f t="shared" si="4"/>
        <v>900</v>
      </c>
      <c r="O21" t="s">
        <v>301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IF(O21="","",IF(LEN(O21)&gt;9,SUMIFS(Options!$H$3:$H$20,Options!$B$3:$B$20,Check!O21),SUMIFS('Master P&amp;L'!$H$11:$H$84,'Master P&amp;L'!$B$11:$B$84,Check!O21)))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2347</v>
      </c>
      <c r="C22" s="233">
        <f>IF(B22="","",IF(LEN(B22)&gt;9,SUMIFS(Options!$H$3:$H$20,Options!$B$3:$B$20,Check!B22),SUMIFS('Master P&amp;L'!$H$11:$H$84,'Master P&amp;L'!$B$11:$B$84,Check!B22)))</f>
        <v>30410</v>
      </c>
      <c r="D22" s="233">
        <f>IF(B22="","",SUMIFS(Input_APM!N:N,Input_APM!L:L,Check!B22,Input_APM!M:M,Check!$F$1))</f>
        <v>28536</v>
      </c>
      <c r="E22" s="217">
        <f t="shared" si="5"/>
        <v>0</v>
      </c>
      <c r="F22" s="233">
        <f>IF(B22="","",SUMIFS(Input_APM!N:N,Input_APM!M:M,Check!$F$1,Input_APM!L:L,Check!B22))</f>
        <v>28536</v>
      </c>
      <c r="G22" s="233">
        <f>IF(B22="","",SUMIFS(Input_APM!N:N,Input_APM!M:M,Check!$G$1,Input_APM!L:L,Check!B22))</f>
        <v>0</v>
      </c>
      <c r="H22" s="217">
        <f t="shared" si="0"/>
        <v>28536</v>
      </c>
      <c r="I22" s="217">
        <f>SUMIFS(Input_APM!N:N,Input_APM!L:L,Check!B22)</f>
        <v>28536</v>
      </c>
      <c r="J22" s="219">
        <f t="shared" si="3"/>
        <v>0</v>
      </c>
      <c r="K22" s="22">
        <f>IF(B22="","",SUMIFS('Input_APM (Zenith)'!N:N,'Input_APM (Zenith)'!L:L,Check!B22,'Input_APM (Zenith)'!M:M,Check!$F$1))</f>
        <v>1874</v>
      </c>
      <c r="L22" s="22">
        <f>IF(B22="","",SUMIFS('Input_APM (Zenith)'!N:N,'Input_APM (Zenith)'!L:L,Check!B22,'Input_APM (Zenith)'!M:M,Check!$G$1))</f>
        <v>0</v>
      </c>
      <c r="M22" s="240">
        <f t="shared" si="4"/>
        <v>30410</v>
      </c>
      <c r="O22" t="s">
        <v>302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IF(O22="","",IF(LEN(O22)&gt;9,SUMIFS(Options!$H$3:$H$20,Options!$B$3:$B$20,Check!O22),SUMIFS('Master P&amp;L'!$H$11:$H$84,'Master P&amp;L'!$B$11:$B$84,Check!O22)))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2356</v>
      </c>
      <c r="C23" s="233">
        <f>IF(B23="","",IF(LEN(B23)&gt;9,SUMIFS(Options!$H$3:$H$20,Options!$B$3:$B$20,Check!B23),SUMIFS('Master P&amp;L'!$H$11:$H$84,'Master P&amp;L'!$B$11:$B$84,Check!B23)))</f>
        <v>7600</v>
      </c>
      <c r="D23" s="233">
        <f>IF(B23="","",SUMIFS(Input_APM!N:N,Input_APM!L:L,Check!B23,Input_APM!M:M,Check!$F$1))</f>
        <v>5908</v>
      </c>
      <c r="E23" s="217">
        <f t="shared" si="5"/>
        <v>1300</v>
      </c>
      <c r="F23" s="233">
        <f>IF(B23="","",SUMIFS(Input_APM!N:N,Input_APM!M:M,Check!$F$1,Input_APM!L:L,Check!B23))</f>
        <v>5908</v>
      </c>
      <c r="G23" s="233">
        <f>IF(B23="","",SUMIFS(Input_APM!N:N,Input_APM!M:M,Check!$G$1,Input_APM!L:L,Check!B23))</f>
        <v>0</v>
      </c>
      <c r="H23" s="217">
        <f t="shared" si="0"/>
        <v>5908</v>
      </c>
      <c r="I23" s="217">
        <f>SUMIFS(Input_APM!N:N,Input_APM!L:L,Check!B23)</f>
        <v>5908</v>
      </c>
      <c r="J23" s="219">
        <f t="shared" si="3"/>
        <v>0</v>
      </c>
      <c r="K23" s="22">
        <f>IF(B23="","",SUMIFS('Input_APM (Zenith)'!N:N,'Input_APM (Zenith)'!L:L,Check!B23,'Input_APM (Zenith)'!M:M,Check!$F$1))</f>
        <v>392</v>
      </c>
      <c r="L23" s="22">
        <f>IF(B23="","",SUMIFS('Input_APM (Zenith)'!N:N,'Input_APM (Zenith)'!L:L,Check!B23,'Input_APM (Zenith)'!M:M,Check!$G$1))</f>
        <v>0</v>
      </c>
      <c r="M23" s="240">
        <f t="shared" si="4"/>
        <v>6300</v>
      </c>
      <c r="O23" t="s">
        <v>1906</v>
      </c>
      <c r="P23" s="217">
        <f>IF(O23="","",IF(OR(LEFT(O23,4)="Cash",LEFT(O23,4)="Prov"),0,SUMIFS(Input_APM!N:N,Input_APM!L:L,Check!O23)))</f>
        <v>4625000</v>
      </c>
      <c r="Q23" s="22">
        <f>IF(O23="","",IF(LEN(O23)&gt;9,SUMIFS(Options!$H$3:$H$20,Options!$B$3:$B$20,Check!O23),SUMIFS('Master P&amp;L'!$H$11:$H$84,'Master P&amp;L'!$B$11:$B$84,Check!O23)))</f>
        <v>0</v>
      </c>
      <c r="R23" s="217">
        <f t="shared" si="1"/>
        <v>4625000</v>
      </c>
      <c r="S23" s="361" t="str">
        <f t="shared" si="2"/>
        <v>Erro</v>
      </c>
      <c r="V23" s="13"/>
    </row>
    <row r="24" spans="2:22">
      <c r="B24" t="s">
        <v>2371</v>
      </c>
      <c r="C24" s="233">
        <f>IF(B24="","",IF(LEN(B24)&gt;9,SUMIFS(Options!$H$3:$H$20,Options!$B$3:$B$20,Check!B24),SUMIFS('Master P&amp;L'!$H$11:$H$84,'Master P&amp;L'!$B$11:$B$84,Check!B24)))</f>
        <v>2600</v>
      </c>
      <c r="D24" s="233">
        <f>IF(B24="","",SUMIFS(Input_APM!N:N,Input_APM!L:L,Check!B24,Input_APM!M:M,Check!$F$1))</f>
        <v>0</v>
      </c>
      <c r="E24" s="217">
        <f t="shared" si="5"/>
        <v>2600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2347</v>
      </c>
      <c r="P24" s="217">
        <f>IF(O24="","",IF(OR(LEFT(O24,4)="Cash",LEFT(O24,4)="Prov"),0,SUMIFS(Input_APM!N:N,Input_APM!L:L,Check!O24)))</f>
        <v>28536</v>
      </c>
      <c r="Q24" s="22">
        <f>IF(O24="","",IF(LEN(O24)&gt;9,SUMIFS(Options!$H$3:$H$20,Options!$B$3:$B$20,Check!O24),SUMIFS('Master P&amp;L'!$H$11:$H$84,'Master P&amp;L'!$B$11:$B$84,Check!O24)))</f>
        <v>30410</v>
      </c>
      <c r="R24" s="217">
        <f t="shared" si="1"/>
        <v>-1874</v>
      </c>
      <c r="S24" s="361">
        <f t="shared" si="2"/>
        <v>0.93837553436369614</v>
      </c>
      <c r="V24" s="13"/>
    </row>
    <row r="25" spans="2:22">
      <c r="B25" t="s">
        <v>137</v>
      </c>
      <c r="C25" s="233">
        <f>IF(B25="","",IF(LEN(B25)&gt;9,SUMIFS(Options!$H$3:$H$20,Options!$B$3:$B$20,Check!B25),SUMIFS('Master P&amp;L'!$H$11:$H$84,'Master P&amp;L'!$B$11:$B$84,Check!B25)))</f>
        <v>1500</v>
      </c>
      <c r="D25" s="233">
        <f>IF(B25="","",SUMIFS(Input_APM!N:N,Input_APM!L:L,Check!B25,Input_APM!M:M,Check!$F$1))</f>
        <v>1409</v>
      </c>
      <c r="E25" s="217">
        <f t="shared" si="5"/>
        <v>0</v>
      </c>
      <c r="F25" s="233">
        <f>IF(B25="","",SUMIFS(Input_APM!N:N,Input_APM!M:M,Check!$F$1,Input_APM!L:L,Check!B25))</f>
        <v>1409</v>
      </c>
      <c r="G25" s="233">
        <f>IF(B25="","",SUMIFS(Input_APM!N:N,Input_APM!M:M,Check!$G$1,Input_APM!L:L,Check!B25))</f>
        <v>0</v>
      </c>
      <c r="H25" s="217">
        <f t="shared" si="0"/>
        <v>1409</v>
      </c>
      <c r="I25" s="217">
        <f>SUMIFS(Input_APM!N:N,Input_APM!L:L,Check!B25)</f>
        <v>1409</v>
      </c>
      <c r="J25" s="219">
        <f t="shared" si="3"/>
        <v>0</v>
      </c>
      <c r="K25" s="22">
        <f>IF(B25="","",SUMIFS('Input_APM (Zenith)'!N:N,'Input_APM (Zenith)'!L:L,Check!B25,'Input_APM (Zenith)'!M:M,Check!$F$1))</f>
        <v>91</v>
      </c>
      <c r="L25" s="22">
        <f>IF(B25="","",SUMIFS('Input_APM (Zenith)'!N:N,'Input_APM (Zenith)'!L:L,Check!B25,'Input_APM (Zenith)'!M:M,Check!$G$1))</f>
        <v>0</v>
      </c>
      <c r="M25" s="240">
        <f t="shared" si="4"/>
        <v>1500</v>
      </c>
      <c r="O25" t="s">
        <v>1754</v>
      </c>
      <c r="P25" s="217">
        <f>IF(O25="","",IF(OR(LEFT(O25,4)="Cash",LEFT(O25,4)="Prov"),0,SUMIFS(Input_APM!N:N,Input_APM!L:L,Check!O25)))</f>
        <v>44211</v>
      </c>
      <c r="Q25" s="22">
        <f>IF(O25="","",IF(LEN(O25)&gt;9,SUMIFS(Options!$H$3:$H$20,Options!$B$3:$B$20,Check!O25),SUMIFS('Master P&amp;L'!$H$11:$H$84,'Master P&amp;L'!$B$11:$B$84,Check!O25)))</f>
        <v>47216</v>
      </c>
      <c r="R25" s="217">
        <f t="shared" si="1"/>
        <v>-3005</v>
      </c>
      <c r="S25" s="361">
        <f t="shared" si="2"/>
        <v>0.93635631989156221</v>
      </c>
      <c r="V25" s="13"/>
    </row>
    <row r="26" spans="2:22">
      <c r="B26" t="s">
        <v>96</v>
      </c>
      <c r="C26" s="233">
        <f>IF(B26="","",IF(LEN(B26)&gt;9,SUMIFS(Options!$H$3:$H$20,Options!$B$3:$B$20,Check!B26),SUMIFS('Master P&amp;L'!$H$11:$H$84,'Master P&amp;L'!$B$11:$B$84,Check!B26)))</f>
        <v>5198</v>
      </c>
      <c r="D26" s="233">
        <f>IF(B26="","",SUMIFS(Input_APM!N:N,Input_APM!L:L,Check!B26,Input_APM!M:M,Check!$F$1))</f>
        <v>4838</v>
      </c>
      <c r="E26" s="219">
        <f>IF(B26="","",C26-M26)</f>
        <v>0</v>
      </c>
      <c r="F26" s="233">
        <f>IF(B26="","",SUMIFS(Input_APM!N:N,Input_APM!M:M,Check!$F$1,Input_APM!L:L,Check!B26))</f>
        <v>4838</v>
      </c>
      <c r="G26" s="233">
        <f>IF(B26="","",SUMIFS(Input_APM!N:N,Input_APM!M:M,Check!$G$1,Input_APM!L:L,Check!B26))</f>
        <v>0</v>
      </c>
      <c r="H26" s="217">
        <f t="shared" si="0"/>
        <v>4838</v>
      </c>
      <c r="I26" s="217">
        <f>SUMIFS(Input_APM!N:N,Input_APM!L:L,Check!B26)</f>
        <v>4838</v>
      </c>
      <c r="J26" s="219">
        <f t="shared" si="3"/>
        <v>0</v>
      </c>
      <c r="K26" s="22">
        <f>IF(B26="","",SUMIFS('Input_APM (Zenith)'!N:N,'Input_APM (Zenith)'!L:L,Check!B26,'Input_APM (Zenith)'!M:M,Check!$F$1))</f>
        <v>360</v>
      </c>
      <c r="L26" s="22">
        <f>IF(B26="","",SUMIFS('Input_APM (Zenith)'!N:N,'Input_APM (Zenith)'!L:L,Check!B26,'Input_APM (Zenith)'!M:M,Check!$G$1))</f>
        <v>0</v>
      </c>
      <c r="M26" s="240">
        <f t="shared" si="4"/>
        <v>5198</v>
      </c>
      <c r="O26" t="s">
        <v>2136</v>
      </c>
      <c r="P26" s="217">
        <f>IF(O26="","",IF(OR(LEFT(O26,4)="Cash",LEFT(O26,4)="Prov"),0,SUMIFS(Input_APM!N:N,Input_APM!L:L,Check!O26)))</f>
        <v>24842</v>
      </c>
      <c r="Q26" s="22">
        <f>IF(O26="","",IF(LEN(O26)&gt;9,SUMIFS(Options!$H$3:$H$20,Options!$B$3:$B$20,Check!O26),SUMIFS('Master P&amp;L'!$H$11:$H$84,'Master P&amp;L'!$B$11:$B$84,Check!O26)))</f>
        <v>0</v>
      </c>
      <c r="R26" s="217">
        <f t="shared" si="1"/>
        <v>24842</v>
      </c>
      <c r="S26" s="361" t="str">
        <f t="shared" si="2"/>
        <v>Erro</v>
      </c>
      <c r="V26" s="13"/>
    </row>
    <row r="27" spans="2:22">
      <c r="B27" t="s">
        <v>708</v>
      </c>
      <c r="C27" s="233">
        <f>IF(B27="","",IF(LEN(B27)&gt;9,SUMIFS(Options!$H$3:$H$20,Options!$B$3:$B$20,Check!B27),SUMIFS('Master P&amp;L'!$H$11:$H$84,'Master P&amp;L'!$B$11:$B$84,Check!B27)))</f>
        <v>0</v>
      </c>
      <c r="D27" s="233">
        <f>IF(B27="","",SUMIFS(Input_APM!N:N,Input_APM!L:L,Check!B27,Input_APM!M:M,Check!$F$1))</f>
        <v>0</v>
      </c>
      <c r="E27" s="219">
        <f t="shared" si="5"/>
        <v>0</v>
      </c>
      <c r="F27" s="233">
        <f>IF(B27="","",SUMIFS(Input_APM!N:N,Input_APM!M:M,Check!$F$1,Input_APM!L:L,Check!B27))</f>
        <v>0</v>
      </c>
      <c r="G27" s="233">
        <f>IF(B27="","",SUMIFS(Input_APM!N:N,Input_APM!M:M,Check!$G$1,Input_APM!L:L,Check!B27))</f>
        <v>0</v>
      </c>
      <c r="H27" s="217">
        <f t="shared" si="0"/>
        <v>0</v>
      </c>
      <c r="I27" s="217">
        <f>SUMIFS(Input_APM!N:N,Input_APM!L:L,Check!B27)</f>
        <v>0</v>
      </c>
      <c r="J27" s="219">
        <f t="shared" si="3"/>
        <v>0</v>
      </c>
      <c r="K27" s="22">
        <f>IF(B27="","",SUMIFS('Input_APM (Zenith)'!N:N,'Input_APM (Zenith)'!L:L,Check!B27,'Input_APM (Zenith)'!M:M,Check!$F$1))</f>
        <v>0</v>
      </c>
      <c r="L27" s="22">
        <f>IF(B27="","",SUMIFS('Input_APM (Zenith)'!N:N,'Input_APM (Zenith)'!L:L,Check!B27,'Input_APM (Zenith)'!M:M,Check!$G$1))</f>
        <v>0</v>
      </c>
      <c r="M27" s="240">
        <f t="shared" si="4"/>
        <v>0</v>
      </c>
      <c r="O27" t="s">
        <v>2259</v>
      </c>
      <c r="P27" s="217">
        <f>IF(O27="","",IF(OR(LEFT(O27,4)="Cash",LEFT(O27,4)="Prov"),0,SUMIFS(Input_APM!N:N,Input_APM!L:L,Check!O27)))</f>
        <v>1031</v>
      </c>
      <c r="Q27" s="22">
        <f>IF(O27="","",IF(LEN(O27)&gt;9,SUMIFS(Options!$H$3:$H$20,Options!$B$3:$B$20,Check!O27),SUMIFS('Master P&amp;L'!$H$11:$H$84,'Master P&amp;L'!$B$11:$B$84,Check!O27)))</f>
        <v>0</v>
      </c>
      <c r="R27" s="217">
        <f t="shared" si="1"/>
        <v>1031</v>
      </c>
      <c r="S27" s="361" t="str">
        <f t="shared" si="2"/>
        <v>Erro</v>
      </c>
      <c r="V27" s="13"/>
    </row>
    <row r="28" spans="2:22">
      <c r="B28" t="s">
        <v>94</v>
      </c>
      <c r="C28" s="233">
        <f>IF(B28="","",IF(LEN(B28)&gt;9,SUMIFS(Options!$H$3:$H$20,Options!$B$3:$B$20,Check!B28),SUMIFS('Master P&amp;L'!$H$11:$H$84,'Master P&amp;L'!$B$11:$B$84,Check!B28)))</f>
        <v>20008</v>
      </c>
      <c r="D28" s="233">
        <f>IF(B28="","",SUMIFS(Input_APM!N:N,Input_APM!L:L,Check!B28,Input_APM!M:M,Check!$F$1))</f>
        <v>18703</v>
      </c>
      <c r="E28" s="219">
        <f>IF(B28="","",C28-M28)</f>
        <v>0</v>
      </c>
      <c r="F28" s="233">
        <f>IF(B28="","",SUMIFS(Input_APM!N:N,Input_APM!M:M,Check!$F$1,Input_APM!L:L,Check!B28))</f>
        <v>18703</v>
      </c>
      <c r="G28" s="233">
        <f>IF(B28="","",SUMIFS(Input_APM!N:N,Input_APM!M:M,Check!$G$1,Input_APM!L:L,Check!B28))</f>
        <v>0</v>
      </c>
      <c r="H28" s="217">
        <f t="shared" si="0"/>
        <v>18703</v>
      </c>
      <c r="I28" s="217">
        <f>SUMIFS(Input_APM!N:N,Input_APM!L:L,Check!B28)</f>
        <v>18703</v>
      </c>
      <c r="J28" s="219">
        <f t="shared" si="3"/>
        <v>0</v>
      </c>
      <c r="K28" s="22">
        <f>IF(B28="","",SUMIFS('Input_APM (Zenith)'!N:N,'Input_APM (Zenith)'!L:L,Check!B28,'Input_APM (Zenith)'!M:M,Check!$F$1))</f>
        <v>1305</v>
      </c>
      <c r="L28" s="22">
        <f>IF(B28="","",SUMIFS('Input_APM (Zenith)'!N:N,'Input_APM (Zenith)'!L:L,Check!B28,'Input_APM (Zenith)'!M:M,Check!$G$1))</f>
        <v>0</v>
      </c>
      <c r="M28" s="240">
        <f t="shared" si="4"/>
        <v>20008</v>
      </c>
      <c r="O28" t="s">
        <v>2260</v>
      </c>
      <c r="P28" s="217">
        <f>IF(O28="","",IF(OR(LEFT(O28,4)="Cash",LEFT(O28,4)="Prov"),0,SUMIFS(Input_APM!N:N,Input_APM!L:L,Check!O28)))</f>
        <v>-1031</v>
      </c>
      <c r="Q28" s="22">
        <f>IF(O28="","",IF(LEN(O28)&gt;9,SUMIFS(Options!$H$3:$H$20,Options!$B$3:$B$20,Check!O28),SUMIFS('Master P&amp;L'!$H$11:$H$84,'Master P&amp;L'!$B$11:$B$84,Check!O28)))</f>
        <v>0</v>
      </c>
      <c r="R28" s="217">
        <f t="shared" si="1"/>
        <v>-1031</v>
      </c>
      <c r="S28" s="361" t="str">
        <f t="shared" si="2"/>
        <v>Erro</v>
      </c>
      <c r="V28" s="13"/>
    </row>
    <row r="29" spans="2:22">
      <c r="B29" t="s">
        <v>138</v>
      </c>
      <c r="C29" s="233">
        <f>IF(B29="","",IF(LEN(B29)&gt;9,SUMIFS(Options!$H$3:$H$20,Options!$B$3:$B$20,Check!B29),SUMIFS('Master P&amp;L'!$H$11:$H$84,'Master P&amp;L'!$B$11:$B$84,Check!B29)))</f>
        <v>2951</v>
      </c>
      <c r="D29" s="233">
        <f>IF(B29="","",SUMIFS(Input_APM!N:N,Input_APM!L:L,Check!B29,Input_APM!M:M,Check!$F$1))</f>
        <v>2771</v>
      </c>
      <c r="E29" s="219">
        <f t="shared" si="5"/>
        <v>0</v>
      </c>
      <c r="F29" s="233">
        <f>IF(B29="","",SUMIFS(Input_APM!N:N,Input_APM!M:M,Check!$F$1,Input_APM!L:L,Check!B29))</f>
        <v>2771</v>
      </c>
      <c r="G29" s="233">
        <f>IF(B29="","",SUMIFS(Input_APM!N:N,Input_APM!M:M,Check!$G$1,Input_APM!L:L,Check!B29))</f>
        <v>0</v>
      </c>
      <c r="H29" s="217">
        <f t="shared" si="0"/>
        <v>2771</v>
      </c>
      <c r="I29" s="217">
        <f>SUMIFS(Input_APM!N:N,Input_APM!L:L,Check!B29)</f>
        <v>2771</v>
      </c>
      <c r="J29" s="219">
        <f t="shared" si="3"/>
        <v>0</v>
      </c>
      <c r="K29" s="22">
        <f>IF(B29="","",SUMIFS('Input_APM (Zenith)'!N:N,'Input_APM (Zenith)'!L:L,Check!B29,'Input_APM (Zenith)'!M:M,Check!$F$1))</f>
        <v>180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2951</v>
      </c>
      <c r="O29" t="s">
        <v>2145</v>
      </c>
      <c r="P29" s="217">
        <f>IF(O29="","",IF(OR(LEFT(O29,4)="Cash",LEFT(O29,4)="Prov"),0,SUMIFS(Input_APM!N:N,Input_APM!L:L,Check!O29)))</f>
        <v>13594</v>
      </c>
      <c r="Q29" s="22">
        <f>IF(O29="","",IF(LEN(O29)&gt;9,SUMIFS(Options!$H$3:$H$20,Options!$B$3:$B$20,Check!O29),SUMIFS('Master P&amp;L'!$H$11:$H$84,'Master P&amp;L'!$B$11:$B$84,Check!O29)))</f>
        <v>14500</v>
      </c>
      <c r="R29" s="217">
        <f t="shared" si="1"/>
        <v>-906</v>
      </c>
      <c r="S29" s="361">
        <f t="shared" si="2"/>
        <v>0.93751724137931036</v>
      </c>
      <c r="V29" s="13"/>
    </row>
    <row r="30" spans="2:22">
      <c r="B30" t="s">
        <v>2128</v>
      </c>
      <c r="C30" s="233">
        <f>IF(B30="","",IF(LEN(B30)&gt;9,SUMIFS(Options!$H$3:$H$20,Options!$B$3:$B$20,Check!B30),SUMIFS('Master P&amp;L'!$H$11:$H$84,'Master P&amp;L'!$B$11:$B$84,Check!B30)))</f>
        <v>34500</v>
      </c>
      <c r="D30" s="233">
        <f>IF(B30="","",SUMIFS(Input_APM!N:N,Input_APM!L:L,Check!B30,Input_APM!M:M,Check!$F$1))</f>
        <v>29600</v>
      </c>
      <c r="E30" s="219">
        <f t="shared" si="5"/>
        <v>2870</v>
      </c>
      <c r="F30" s="233">
        <f>IF(B30="","",SUMIFS(Input_APM!N:N,Input_APM!M:M,Check!$F$1,Input_APM!L:L,Check!B30))</f>
        <v>29600</v>
      </c>
      <c r="G30" s="233">
        <f>IF(B30="","",SUMIFS(Input_APM!N:N,Input_APM!M:M,Check!$G$1,Input_APM!L:L,Check!B30))</f>
        <v>0</v>
      </c>
      <c r="H30" s="217">
        <f t="shared" si="0"/>
        <v>29600</v>
      </c>
      <c r="I30" s="217">
        <f>SUMIFS(Input_APM!N:N,Input_APM!L:L,Check!B30)</f>
        <v>29600</v>
      </c>
      <c r="J30" s="219">
        <f t="shared" si="3"/>
        <v>0</v>
      </c>
      <c r="K30" s="22">
        <f>IF(B30="","",SUMIFS('Input_APM (Zenith)'!N:N,'Input_APM (Zenith)'!L:L,Check!B30,'Input_APM (Zenith)'!M:M,Check!$F$1))</f>
        <v>2030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31630</v>
      </c>
      <c r="O30" t="s">
        <v>1896</v>
      </c>
      <c r="P30" s="217">
        <f>IF(O30="","",IF(OR(LEFT(O30,4)="Cash",LEFT(O30,4)="Prov"),0,SUMIFS(Input_APM!N:N,Input_APM!L:L,Check!O30)))</f>
        <v>276451</v>
      </c>
      <c r="Q30" s="22">
        <f>IF(O30="","",IF(LEN(O30)&gt;9,SUMIFS(Options!$H$3:$H$20,Options!$B$3:$B$20,Check!O30),SUMIFS('Master P&amp;L'!$H$11:$H$84,'Master P&amp;L'!$B$11:$B$84,Check!O30)))</f>
        <v>0</v>
      </c>
      <c r="R30" s="217">
        <f t="shared" si="1"/>
        <v>276451</v>
      </c>
      <c r="S30" s="361" t="str">
        <f t="shared" si="2"/>
        <v>Erro</v>
      </c>
      <c r="V30" s="13"/>
    </row>
    <row r="31" spans="2:22">
      <c r="B31" t="s">
        <v>88</v>
      </c>
      <c r="C31" s="233">
        <f>IF(B31="","",IF(LEN(B31)&gt;9,SUMIFS(Options!$H$3:$H$20,Options!$B$3:$B$20,Check!B31),SUMIFS('Master P&amp;L'!$H$11:$H$84,'Master P&amp;L'!$B$11:$B$84,Check!B31)))</f>
        <v>45750</v>
      </c>
      <c r="D31" s="233">
        <f>IF(B31="","",SUMIFS(Input_APM!N:N,Input_APM!L:L,Check!B31,Input_APM!M:M,Check!$F$1))</f>
        <v>42865</v>
      </c>
      <c r="E31" s="219">
        <f>IF(B31="","",C31-M31)</f>
        <v>0</v>
      </c>
      <c r="F31" s="233">
        <f>IF(B31="","",SUMIFS(Input_APM!N:N,Input_APM!M:M,Check!$F$1,Input_APM!L:L,Check!B31))</f>
        <v>42865</v>
      </c>
      <c r="G31" s="233">
        <f>IF(B31="","",SUMIFS(Input_APM!N:N,Input_APM!M:M,Check!$G$1,Input_APM!L:L,Check!B31))</f>
        <v>0</v>
      </c>
      <c r="H31" s="217">
        <f t="shared" si="0"/>
        <v>42865</v>
      </c>
      <c r="I31" s="217">
        <f>SUMIFS(Input_APM!N:N,Input_APM!L:L,Check!B31)</f>
        <v>42865</v>
      </c>
      <c r="J31" s="219">
        <f t="shared" si="3"/>
        <v>0</v>
      </c>
      <c r="K31" s="22">
        <f>IF(B31="","",SUMIFS('Input_APM (Zenith)'!N:N,'Input_APM (Zenith)'!L:L,Check!B31,'Input_APM (Zenith)'!M:M,Check!$F$1))</f>
        <v>2885</v>
      </c>
      <c r="L31" s="22">
        <f>IF(B31="","",SUMIFS('Input_APM (Zenith)'!N:N,'Input_APM (Zenith)'!L:L,Check!B31,'Input_APM (Zenith)'!M:M,Check!$G$1))</f>
        <v>0</v>
      </c>
      <c r="M31" s="240">
        <f t="shared" si="4"/>
        <v>45750</v>
      </c>
      <c r="O31" t="s">
        <v>1897</v>
      </c>
      <c r="P31" s="217">
        <f>IF(O31="","",IF(OR(LEFT(O31,4)="Cash",LEFT(O31,4)="Prov"),0,SUMIFS(Input_APM!N:N,Input_APM!L:L,Check!O31)))</f>
        <v>-276451</v>
      </c>
      <c r="Q31" s="22">
        <f>IF(O31="","",IF(LEN(O31)&gt;9,SUMIFS(Options!$H$3:$H$20,Options!$B$3:$B$20,Check!O31),SUMIFS('Master P&amp;L'!$H$11:$H$84,'Master P&amp;L'!$B$11:$B$84,Check!O31)))</f>
        <v>0</v>
      </c>
      <c r="R31" s="217">
        <f t="shared" si="1"/>
        <v>-276451</v>
      </c>
      <c r="S31" s="361" t="str">
        <f t="shared" si="2"/>
        <v>Erro</v>
      </c>
      <c r="V31" s="13"/>
    </row>
    <row r="32" spans="2:22">
      <c r="B32" t="s">
        <v>2261</v>
      </c>
      <c r="C32" s="233">
        <f>IF(B32="","",IF(LEN(B32)&gt;9,SUMIFS(Options!$H$3:$H$20,Options!$B$3:$B$20,Check!B32),SUMIFS('Master P&amp;L'!$H$11:$H$84,'Master P&amp;L'!$B$11:$B$84,Check!B32)))</f>
        <v>-11500</v>
      </c>
      <c r="D32" s="233">
        <f>IF(B32="","",SUMIFS(Input_APM!N:N,Input_APM!L:L,Check!B32,Input_APM!M:M,Check!$F$1))</f>
        <v>-10782</v>
      </c>
      <c r="E32" s="219">
        <f t="shared" si="5"/>
        <v>0</v>
      </c>
      <c r="F32" s="233">
        <f>IF(B32="","",SUMIFS(Input_APM!N:N,Input_APM!M:M,Check!$F$1,Input_APM!L:L,Check!B32))</f>
        <v>-10782</v>
      </c>
      <c r="G32" s="233">
        <f>IF(B32="","",SUMIFS(Input_APM!N:N,Input_APM!M:M,Check!$G$1,Input_APM!L:L,Check!B32))</f>
        <v>0</v>
      </c>
      <c r="H32" s="217">
        <f t="shared" si="0"/>
        <v>-10782</v>
      </c>
      <c r="I32" s="217">
        <f>SUMIFS(Input_APM!N:N,Input_APM!L:L,Check!B32)</f>
        <v>-10782</v>
      </c>
      <c r="J32" s="219">
        <f t="shared" si="3"/>
        <v>0</v>
      </c>
      <c r="K32" s="22">
        <f>IF(B32="","",SUMIFS('Input_APM (Zenith)'!N:N,'Input_APM (Zenith)'!L:L,Check!B32,'Input_APM (Zenith)'!M:M,Check!$F$1))</f>
        <v>-718</v>
      </c>
      <c r="L32" s="22">
        <f>IF(B32="","",SUMIFS('Input_APM (Zenith)'!N:N,'Input_APM (Zenith)'!L:L,Check!B32,'Input_APM (Zenith)'!M:M,Check!$G$1))</f>
        <v>0</v>
      </c>
      <c r="M32" s="240">
        <f t="shared" si="4"/>
        <v>-11500</v>
      </c>
      <c r="O32" t="s">
        <v>89</v>
      </c>
      <c r="P32" s="217">
        <f>IF(O32="","",IF(OR(LEFT(O32,4)="Cash",LEFT(O32,4)="Prov"),0,SUMIFS(Input_APM!N:N,Input_APM!L:L,Check!O32)))</f>
        <v>-12208</v>
      </c>
      <c r="Q32" s="22">
        <f>IF(O32="","",IF(LEN(O32)&gt;9,SUMIFS(Options!$H$3:$H$20,Options!$B$3:$B$20,Check!O32),SUMIFS('Master P&amp;L'!$H$11:$H$84,'Master P&amp;L'!$B$11:$B$84,Check!O32)))</f>
        <v>-26000</v>
      </c>
      <c r="R32" s="217">
        <f t="shared" si="1"/>
        <v>13792</v>
      </c>
      <c r="S32" s="361">
        <f t="shared" si="2"/>
        <v>0.46953846153846152</v>
      </c>
      <c r="V32" s="13"/>
    </row>
    <row r="33" spans="1:22">
      <c r="B33" t="s">
        <v>4</v>
      </c>
      <c r="C33" s="233">
        <f>IF(B33="","",IF(LEN(B33)&gt;9,SUMIFS(Options!$H$3:$H$20,Options!$B$3:$B$20,Check!B33),SUMIFS('Master P&amp;L'!$H$11:$H$84,'Master P&amp;L'!$B$11:$B$84,Check!B33)))</f>
        <v>-27500</v>
      </c>
      <c r="D33" s="233">
        <f>IF(B33="","",SUMIFS(Input_APM!N:N,Input_APM!L:L,Check!B33,Input_APM!M:M,Check!$F$1))</f>
        <v>-25765</v>
      </c>
      <c r="E33" s="217">
        <f t="shared" si="5"/>
        <v>0</v>
      </c>
      <c r="F33" s="233">
        <f>IF(B33="","",SUMIFS(Input_APM!N:N,Input_APM!M:M,Check!$F$1,Input_APM!L:L,Check!B33))</f>
        <v>-25765</v>
      </c>
      <c r="G33" s="233">
        <f>IF(B33="","",SUMIFS(Input_APM!N:N,Input_APM!M:M,Check!$G$1,Input_APM!L:L,Check!B33))</f>
        <v>0</v>
      </c>
      <c r="H33" s="217">
        <f t="shared" si="0"/>
        <v>-25765</v>
      </c>
      <c r="I33" s="217">
        <f>SUMIFS(Input_APM!N:N,Input_APM!L:L,Check!B33)</f>
        <v>-25765</v>
      </c>
      <c r="J33" s="219">
        <f t="shared" si="3"/>
        <v>0</v>
      </c>
      <c r="K33" s="22">
        <f>IF(B33="","",SUMIFS('Input_APM (Zenith)'!N:N,'Input_APM (Zenith)'!L:L,Check!B33,'Input_APM (Zenith)'!M:M,Check!$F$1))</f>
        <v>-1735</v>
      </c>
      <c r="L33" s="22">
        <f>IF(B33="","",SUMIFS('Input_APM (Zenith)'!N:N,'Input_APM (Zenith)'!L:L,Check!B33,'Input_APM (Zenith)'!M:M,Check!$G$1))</f>
        <v>0</v>
      </c>
      <c r="M33" s="240">
        <f t="shared" si="4"/>
        <v>-27500</v>
      </c>
      <c r="O33" t="s">
        <v>708</v>
      </c>
      <c r="P33" s="217">
        <f>IF(O33="","",IF(OR(LEFT(O33,4)="Cash",LEFT(O33,4)="Prov"),0,SUMIFS(Input_APM!N:N,Input_APM!L:L,Check!O33)))</f>
        <v>0</v>
      </c>
      <c r="Q33" s="22">
        <f>IF(O33="","",IF(LEN(O33)&gt;9,SUMIFS(Options!$H$3:$H$20,Options!$B$3:$B$20,Check!O33),SUMIFS('Master P&amp;L'!$H$11:$H$84,'Master P&amp;L'!$B$11:$B$84,Check!O33)))</f>
        <v>0</v>
      </c>
      <c r="R33" s="217">
        <f t="shared" si="1"/>
        <v>0</v>
      </c>
      <c r="S33" s="361" t="str">
        <f t="shared" si="2"/>
        <v>Ok</v>
      </c>
      <c r="V33" s="13"/>
    </row>
    <row r="34" spans="1:22">
      <c r="B34" t="s">
        <v>2224</v>
      </c>
      <c r="C34" s="233">
        <f>IF(B34="","",IF(LEN(B34)&gt;9,SUMIFS(Options!$H$3:$H$20,Options!$B$3:$B$20,Check!B34),SUMIFS('Master P&amp;L'!$H$11:$H$84,'Master P&amp;L'!$B$11:$B$84,Check!B34)))</f>
        <v>1000</v>
      </c>
      <c r="D34" s="233">
        <f>IF(B34="","",SUMIFS(Input_APM!N:N,Input_APM!L:L,Check!B34,Input_APM!M:M,Check!$F$1))</f>
        <v>935</v>
      </c>
      <c r="E34" s="217">
        <f t="shared" si="5"/>
        <v>0</v>
      </c>
      <c r="F34" s="233">
        <f>IF(B34="","",SUMIFS(Input_APM!N:N,Input_APM!M:M,Check!$F$1,Input_APM!L:L,Check!B34))</f>
        <v>935</v>
      </c>
      <c r="G34" s="233">
        <f>IF(B34="","",SUMIFS(Input_APM!N:N,Input_APM!M:M,Check!$G$1,Input_APM!L:L,Check!B34))</f>
        <v>0</v>
      </c>
      <c r="H34" s="217">
        <f t="shared" si="0"/>
        <v>935</v>
      </c>
      <c r="I34" s="217">
        <f>SUMIFS(Input_APM!N:N,Input_APM!L:L,Check!B34)</f>
        <v>935</v>
      </c>
      <c r="J34" s="219">
        <f t="shared" si="3"/>
        <v>0</v>
      </c>
      <c r="K34" s="22">
        <f>IF(B34="","",SUMIFS('Input_APM (Zenith)'!N:N,'Input_APM (Zenith)'!L:L,Check!B34,'Input_APM (Zenith)'!M:M,Check!$F$1))</f>
        <v>65</v>
      </c>
      <c r="L34" s="22">
        <f>IF(B34="","",SUMIFS('Input_APM (Zenith)'!N:N,'Input_APM (Zenith)'!L:L,Check!B34,'Input_APM (Zenith)'!M:M,Check!$G$1))</f>
        <v>0</v>
      </c>
      <c r="M34" s="240">
        <f t="shared" si="4"/>
        <v>1000</v>
      </c>
      <c r="O34" t="s">
        <v>2327</v>
      </c>
      <c r="P34" s="217">
        <f>IF(O34="","",IF(OR(LEFT(O34,4)="Cash",LEFT(O34,4)="Prov"),0,SUMIFS(Input_APM!N:N,Input_APM!L:L,Check!O34)))</f>
        <v>237</v>
      </c>
      <c r="Q34" s="22">
        <f>IF(O34="","",IF(LEN(O34)&gt;9,SUMIFS(Options!$H$3:$H$20,Options!$B$3:$B$20,Check!O34),SUMIFS('Master P&amp;L'!$H$11:$H$84,'Master P&amp;L'!$B$11:$B$84,Check!O34)))</f>
        <v>250</v>
      </c>
      <c r="R34" s="217">
        <f t="shared" si="1"/>
        <v>-13</v>
      </c>
      <c r="S34" s="361">
        <f t="shared" si="2"/>
        <v>0.94799999999999995</v>
      </c>
      <c r="V34" s="13"/>
    </row>
    <row r="35" spans="1:22">
      <c r="B35" t="s">
        <v>2102</v>
      </c>
      <c r="C35" s="233">
        <f>IF(B35="","",IF(LEN(B35)&gt;9,SUMIFS(Options!$H$3:$H$20,Options!$B$3:$B$20,Check!B35),SUMIFS('Master P&amp;L'!$H$11:$H$84,'Master P&amp;L'!$B$11:$B$84,Check!B35)))</f>
        <v>120</v>
      </c>
      <c r="D35" s="233">
        <f>IF(B35="","",SUMIFS(Input_APM!N:N,Input_APM!L:L,Check!B35,Input_APM!M:M,Check!$F$1))</f>
        <v>114</v>
      </c>
      <c r="E35" s="219">
        <f t="shared" si="5"/>
        <v>0</v>
      </c>
      <c r="F35" s="233">
        <f>IF(B35="","",SUMIFS(Input_APM!N:N,Input_APM!M:M,Check!$F$1,Input_APM!L:L,Check!B35))</f>
        <v>114</v>
      </c>
      <c r="G35" s="233">
        <f>IF(B35="","",SUMIFS(Input_APM!N:N,Input_APM!M:M,Check!$G$1,Input_APM!L:L,Check!B35))</f>
        <v>0</v>
      </c>
      <c r="H35" s="217">
        <f t="shared" si="0"/>
        <v>114</v>
      </c>
      <c r="I35" s="217">
        <f>SUMIFS(Input_APM!N:N,Input_APM!L:L,Check!B35)</f>
        <v>114</v>
      </c>
      <c r="J35" s="219">
        <f t="shared" si="3"/>
        <v>0</v>
      </c>
      <c r="K35" s="22">
        <f>IF(B35="","",SUMIFS('Input_APM (Zenith)'!N:N,'Input_APM (Zenith)'!L:L,Check!B35,'Input_APM (Zenith)'!M:M,Check!$F$1))</f>
        <v>6</v>
      </c>
      <c r="L35" s="22">
        <f>IF(B35="","",SUMIFS('Input_APM (Zenith)'!N:N,'Input_APM (Zenith)'!L:L,Check!B35,'Input_APM (Zenith)'!M:M,Check!$G$1))</f>
        <v>0</v>
      </c>
      <c r="M35" s="240">
        <f t="shared" si="4"/>
        <v>120</v>
      </c>
      <c r="O35" t="s">
        <v>2328</v>
      </c>
      <c r="P35" s="217">
        <f>IF(O35="","",IF(OR(LEFT(O35,4)="Cash",LEFT(O35,4)="Prov"),0,SUMIFS(Input_APM!N:N,Input_APM!L:L,Check!O35)))</f>
        <v>-141</v>
      </c>
      <c r="Q35" s="22">
        <f>IF(O35="","",IF(LEN(O35)&gt;9,SUMIFS(Options!$H$3:$H$20,Options!$B$3:$B$20,Check!O35),SUMIFS('Master P&amp;L'!$H$11:$H$84,'Master P&amp;L'!$B$11:$B$84,Check!O35)))</f>
        <v>-150</v>
      </c>
      <c r="R35" s="217">
        <f t="shared" si="1"/>
        <v>9</v>
      </c>
      <c r="S35" s="361">
        <f t="shared" si="2"/>
        <v>0.94</v>
      </c>
      <c r="V35" s="13"/>
    </row>
    <row r="36" spans="1:22">
      <c r="B36" t="s">
        <v>2390</v>
      </c>
      <c r="C36" s="233">
        <f>IF(B36="","",IF(LEN(B36)&gt;9,SUMIFS(Options!$H$3:$H$20,Options!$B$3:$B$20,Check!B36),SUMIFS('Master P&amp;L'!$H$11:$H$84,'Master P&amp;L'!$B$11:$B$84,Check!B36)))</f>
        <v>150</v>
      </c>
      <c r="D36" s="233">
        <f>IF(B36="","",SUMIFS(Input_APM!N:N,Input_APM!L:L,Check!B36,Input_APM!M:M,Check!$F$1))</f>
        <v>142</v>
      </c>
      <c r="E36" s="219">
        <f>IF(B36="","",C36-M36)</f>
        <v>0</v>
      </c>
      <c r="F36" s="233">
        <f>IF(B36="","",SUMIFS(Input_APM!N:N,Input_APM!M:M,Check!$F$1,Input_APM!L:L,Check!B36))</f>
        <v>142</v>
      </c>
      <c r="G36" s="233">
        <f>IF(B36="","",SUMIFS(Input_APM!N:N,Input_APM!M:M,Check!$G$1,Input_APM!L:L,Check!B36))</f>
        <v>0</v>
      </c>
      <c r="H36" s="217">
        <f t="shared" si="0"/>
        <v>142</v>
      </c>
      <c r="I36" s="217">
        <f>SUMIFS(Input_APM!N:N,Input_APM!L:L,Check!B36)</f>
        <v>142</v>
      </c>
      <c r="J36" s="219">
        <f t="shared" si="3"/>
        <v>0</v>
      </c>
      <c r="K36" s="22">
        <f>IF(B36="","",SUMIFS('Input_APM (Zenith)'!N:N,'Input_APM (Zenith)'!L:L,Check!B36,'Input_APM (Zenith)'!M:M,Check!$F$1))</f>
        <v>8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150</v>
      </c>
      <c r="O36" t="s">
        <v>2326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IF(O36="","",IF(LEN(O36)&gt;9,SUMIFS(Options!$H$3:$H$20,Options!$B$3:$B$20,Check!O36),SUMIFS('Master P&amp;L'!$H$11:$H$84,'Master P&amp;L'!$B$11:$B$84,Check!O36)))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2259</v>
      </c>
      <c r="C37" s="233">
        <f>IF(B37="","",IF(LEN(B37)&gt;9,SUMIFS(Options!$H$3:$H$20,Options!$B$3:$B$20,Check!B37),SUMIFS('Master P&amp;L'!$H$11:$H$84,'Master P&amp;L'!$B$11:$B$84,Check!B37)))</f>
        <v>0</v>
      </c>
      <c r="D37" s="233">
        <f>IF(B37="","",SUMIFS(Input_APM!N:N,Input_APM!L:L,Check!B37,Input_APM!M:M,Check!$F$1))</f>
        <v>1031</v>
      </c>
      <c r="E37" s="219">
        <f>IF(B37="","",C37-M37)</f>
        <v>-1100</v>
      </c>
      <c r="F37" s="233">
        <f>IF(B37="","",SUMIFS(Input_APM!N:N,Input_APM!M:M,Check!$F$1,Input_APM!L:L,Check!B37))</f>
        <v>1031</v>
      </c>
      <c r="G37" s="233">
        <f>IF(B37="","",SUMIFS(Input_APM!N:N,Input_APM!M:M,Check!$G$1,Input_APM!L:L,Check!B37))</f>
        <v>0</v>
      </c>
      <c r="H37" s="217">
        <f t="shared" si="0"/>
        <v>1031</v>
      </c>
      <c r="I37" s="217">
        <f>SUMIFS(Input_APM!N:N,Input_APM!L:L,Check!B37)</f>
        <v>1031</v>
      </c>
      <c r="J37" s="219">
        <f t="shared" si="3"/>
        <v>0</v>
      </c>
      <c r="K37" s="22">
        <f>IF(B37="","",SUMIFS('Input_APM (Zenith)'!N:N,'Input_APM (Zenith)'!L:L,Check!B37,'Input_APM (Zenith)'!M:M,Check!$F$1))</f>
        <v>69</v>
      </c>
      <c r="L37" s="22">
        <f>IF(B37="","",SUMIFS('Input_APM (Zenith)'!N:N,'Input_APM (Zenith)'!L:L,Check!B37,'Input_APM (Zenith)'!M:M,Check!$G$1))</f>
        <v>0</v>
      </c>
      <c r="M37" s="240">
        <f t="shared" si="4"/>
        <v>1100</v>
      </c>
      <c r="O37" t="s">
        <v>2261</v>
      </c>
      <c r="P37" s="217">
        <f>IF(O37="","",IF(OR(LEFT(O37,4)="Cash",LEFT(O37,4)="Prov"),0,SUMIFS(Input_APM!N:N,Input_APM!L:L,Check!O37)))</f>
        <v>-10782</v>
      </c>
      <c r="Q37" s="22">
        <f>IF(O37="","",IF(LEN(O37)&gt;9,SUMIFS(Options!$H$3:$H$20,Options!$B$3:$B$20,Check!O37),SUMIFS('Master P&amp;L'!$H$11:$H$84,'Master P&amp;L'!$B$11:$B$84,Check!O37)))</f>
        <v>-11500</v>
      </c>
      <c r="R37" s="217">
        <f t="shared" si="1"/>
        <v>718</v>
      </c>
      <c r="S37" s="361">
        <f t="shared" si="2"/>
        <v>0.93756521739130438</v>
      </c>
      <c r="V37" s="13"/>
    </row>
    <row r="38" spans="1:22">
      <c r="B38" t="s">
        <v>2260</v>
      </c>
      <c r="C38" s="233">
        <f>IF(B38="","",IF(LEN(B38)&gt;9,SUMIFS(Options!$H$3:$H$20,Options!$B$3:$B$20,Check!B38),SUMIFS('Master P&amp;L'!$H$11:$H$84,'Master P&amp;L'!$B$11:$B$84,Check!B38)))</f>
        <v>0</v>
      </c>
      <c r="D38" s="233">
        <f>IF(B38="","",SUMIFS(Input_APM!N:N,Input_APM!L:L,Check!B38,Input_APM!M:M,Check!$F$1))</f>
        <v>-1031</v>
      </c>
      <c r="E38" s="217">
        <f t="shared" si="5"/>
        <v>1100</v>
      </c>
      <c r="F38" s="233">
        <f>IF(B38="","",SUMIFS(Input_APM!N:N,Input_APM!M:M,Check!$F$1,Input_APM!L:L,Check!B38))</f>
        <v>-1031</v>
      </c>
      <c r="G38" s="233">
        <f>IF(B38="","",SUMIFS(Input_APM!N:N,Input_APM!M:M,Check!$G$1,Input_APM!L:L,Check!B38))</f>
        <v>0</v>
      </c>
      <c r="H38" s="217">
        <f t="shared" si="0"/>
        <v>-1031</v>
      </c>
      <c r="I38" s="217">
        <f>SUMIFS(Input_APM!N:N,Input_APM!L:L,Check!B38)</f>
        <v>-1031</v>
      </c>
      <c r="J38" s="219">
        <f t="shared" si="3"/>
        <v>0</v>
      </c>
      <c r="K38" s="22">
        <f>IF(B38="","",SUMIFS('Input_APM (Zenith)'!N:N,'Input_APM (Zenith)'!L:L,Check!B38,'Input_APM (Zenith)'!M:M,Check!$F$1))</f>
        <v>-69</v>
      </c>
      <c r="L38" s="22">
        <f>IF(B38="","",SUMIFS('Input_APM (Zenith)'!N:N,'Input_APM (Zenith)'!L:L,Check!B38,'Input_APM (Zenith)'!M:M,Check!$G$1))</f>
        <v>0</v>
      </c>
      <c r="M38" s="240">
        <f t="shared" si="4"/>
        <v>-1100</v>
      </c>
      <c r="O38" t="s">
        <v>2301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IF(O38="","",IF(LEN(O38)&gt;9,SUMIFS(Options!$H$3:$H$20,Options!$B$3:$B$20,Check!O38),SUMIFS('Master P&amp;L'!$H$11:$H$84,'Master P&amp;L'!$B$11:$B$84,Check!O38)))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2285</v>
      </c>
      <c r="C39" s="233">
        <f>IF(B39="","",IF(LEN(B39)&gt;9,SUMIFS(Options!$H$3:$H$20,Options!$B$3:$B$20,Check!B39),SUMIFS('Master P&amp;L'!$H$11:$H$84,'Master P&amp;L'!$B$11:$B$84,Check!B39)))</f>
        <v>60</v>
      </c>
      <c r="D39" s="233">
        <f>IF(B39="","",SUMIFS(Input_APM!N:N,Input_APM!L:L,Check!B39,Input_APM!M:M,Check!$F$1))</f>
        <v>56</v>
      </c>
      <c r="E39" s="217">
        <f t="shared" si="5"/>
        <v>0</v>
      </c>
      <c r="F39" s="233">
        <f>IF(B39="","",SUMIFS(Input_APM!N:N,Input_APM!M:M,Check!$F$1,Input_APM!L:L,Check!B39))</f>
        <v>56</v>
      </c>
      <c r="G39" s="233">
        <f>IF(B39="","",SUMIFS(Input_APM!N:N,Input_APM!M:M,Check!$G$1,Input_APM!L:L,Check!B39))</f>
        <v>0</v>
      </c>
      <c r="H39" s="217">
        <f t="shared" si="0"/>
        <v>56</v>
      </c>
      <c r="I39" s="217">
        <f>SUMIFS(Input_APM!N:N,Input_APM!L:L,Check!B39)</f>
        <v>56</v>
      </c>
      <c r="J39" s="219">
        <f t="shared" si="3"/>
        <v>0</v>
      </c>
      <c r="K39" s="22">
        <f>IF(B39="","",SUMIFS('Input_APM (Zenith)'!N:N,'Input_APM (Zenith)'!L:L,Check!B39,'Input_APM (Zenith)'!M:M,Check!$F$1))</f>
        <v>4</v>
      </c>
      <c r="L39" s="22">
        <f>IF(B39="","",SUMIFS('Input_APM (Zenith)'!N:N,'Input_APM (Zenith)'!L:L,Check!B39,'Input_APM (Zenith)'!M:M,Check!$G$1))</f>
        <v>0</v>
      </c>
      <c r="M39" s="240">
        <f t="shared" si="4"/>
        <v>60</v>
      </c>
      <c r="O39" t="s">
        <v>2063</v>
      </c>
      <c r="P39" s="217">
        <f>IF(O39="","",IF(OR(LEFT(O39,4)="Cash",LEFT(O39,4)="Prov"),0,SUMIFS(Input_APM!N:N,Input_APM!L:L,Check!O39)))</f>
        <v>841</v>
      </c>
      <c r="Q39" s="22">
        <f>IF(O39="","",IF(LEN(O39)&gt;9,SUMIFS(Options!$H$3:$H$20,Options!$B$3:$B$20,Check!O39),SUMIFS('Master P&amp;L'!$H$11:$H$84,'Master P&amp;L'!$B$11:$B$84,Check!O39)))</f>
        <v>900</v>
      </c>
      <c r="R39" s="217">
        <f t="shared" si="1"/>
        <v>-59</v>
      </c>
      <c r="S39" s="361">
        <f t="shared" si="2"/>
        <v>0.93444444444444441</v>
      </c>
      <c r="V39" s="13"/>
    </row>
    <row r="40" spans="1:22">
      <c r="B40" t="s">
        <v>2068</v>
      </c>
      <c r="C40" s="233">
        <f>IF(B40="","",IF(LEN(B40)&gt;9,SUMIFS(Options!$H$3:$H$20,Options!$B$3:$B$20,Check!B40),SUMIFS('Master P&amp;L'!$H$11:$H$84,'Master P&amp;L'!$B$11:$B$84,Check!B40)))</f>
        <v>0</v>
      </c>
      <c r="D40" s="233">
        <f>IF(B40="","",SUMIFS(Input_APM!N:N,Input_APM!L:L,Check!B40,Input_APM!M:M,Check!$F$1))</f>
        <v>57</v>
      </c>
      <c r="E40" s="219">
        <f t="shared" si="5"/>
        <v>-60</v>
      </c>
      <c r="F40" s="233">
        <f>IF(B40="","",SUMIFS(Input_APM!N:N,Input_APM!M:M,Check!$F$1,Input_APM!L:L,Check!B40))</f>
        <v>57</v>
      </c>
      <c r="G40" s="233">
        <f>IF(B40="","",SUMIFS(Input_APM!N:N,Input_APM!M:M,Check!$G$1,Input_APM!L:L,Check!B40))</f>
        <v>0</v>
      </c>
      <c r="H40" s="217">
        <f t="shared" si="0"/>
        <v>57</v>
      </c>
      <c r="I40" s="217">
        <f>SUMIFS(Input_APM!N:N,Input_APM!L:L,Check!B40)</f>
        <v>57</v>
      </c>
      <c r="J40" s="219">
        <f t="shared" si="3"/>
        <v>0</v>
      </c>
      <c r="K40" s="22">
        <f>IF(B40="","",SUMIFS('Input_APM (Zenith)'!N:N,'Input_APM (Zenith)'!L:L,Check!B40,'Input_APM (Zenith)'!M:M,Check!$F$1))</f>
        <v>3</v>
      </c>
      <c r="L40" s="22">
        <f>IF(B40="","",SUMIFS('Input_APM (Zenith)'!N:N,'Input_APM (Zenith)'!L:L,Check!B40,'Input_APM (Zenith)'!M:M,Check!$G$1))</f>
        <v>0</v>
      </c>
      <c r="M40" s="240">
        <f t="shared" si="4"/>
        <v>60</v>
      </c>
      <c r="O40" t="s">
        <v>2285</v>
      </c>
      <c r="P40" s="217">
        <f>IF(O40="","",IF(OR(LEFT(O40,4)="Cash",LEFT(O40,4)="Prov"),0,SUMIFS(Input_APM!N:N,Input_APM!L:L,Check!O40)))</f>
        <v>56</v>
      </c>
      <c r="Q40" s="22">
        <f>IF(O40="","",IF(LEN(O40)&gt;9,SUMIFS(Options!$H$3:$H$20,Options!$B$3:$B$20,Check!O40),SUMIFS('Master P&amp;L'!$H$11:$H$84,'Master P&amp;L'!$B$11:$B$84,Check!O40)))</f>
        <v>60</v>
      </c>
      <c r="R40" s="217">
        <f t="shared" si="1"/>
        <v>-4</v>
      </c>
      <c r="S40" s="361">
        <f t="shared" si="2"/>
        <v>0.93333333333333335</v>
      </c>
      <c r="V40" s="13"/>
    </row>
    <row r="41" spans="1:22">
      <c r="B41" t="s">
        <v>2404</v>
      </c>
      <c r="C41" s="233">
        <f>IF(B41="","",IF(LEN(B41)&gt;9,SUMIFS(Options!$H$3:$H$20,Options!$B$3:$B$20,Check!B41),SUMIFS('Master P&amp;L'!$H$11:$H$84,'Master P&amp;L'!$B$11:$B$84,Check!B41)))</f>
        <v>75</v>
      </c>
      <c r="D41" s="233">
        <f>IF(B41="","",SUMIFS(Input_APM!N:N,Input_APM!L:L,Check!B41,Input_APM!M:M,Check!$F$1))</f>
        <v>70</v>
      </c>
      <c r="E41" s="217">
        <f t="shared" si="5"/>
        <v>0</v>
      </c>
      <c r="F41" s="233">
        <f>IF(B41="","",SUMIFS(Input_APM!N:N,Input_APM!M:M,Check!$F$1,Input_APM!L:L,Check!B41))</f>
        <v>70</v>
      </c>
      <c r="G41" s="233">
        <f>IF(B41="","",SUMIFS(Input_APM!N:N,Input_APM!M:M,Check!$G$1,Input_APM!L:L,Check!B41))</f>
        <v>0</v>
      </c>
      <c r="H41" s="217">
        <f t="shared" si="0"/>
        <v>70</v>
      </c>
      <c r="I41" s="217">
        <f>SUMIFS(Input_APM!N:N,Input_APM!L:L,Check!B41)</f>
        <v>70</v>
      </c>
      <c r="J41" s="219">
        <f t="shared" si="3"/>
        <v>0</v>
      </c>
      <c r="K41" s="22">
        <f>IF(B41="","",SUMIFS('Input_APM (Zenith)'!N:N,'Input_APM (Zenith)'!L:L,Check!B41,'Input_APM (Zenith)'!M:M,Check!$F$1))</f>
        <v>5</v>
      </c>
      <c r="L41" s="22">
        <f>IF(B41="","",SUMIFS('Input_APM (Zenith)'!N:N,'Input_APM (Zenith)'!L:L,Check!B41,'Input_APM (Zenith)'!M:M,Check!$G$1))</f>
        <v>0</v>
      </c>
      <c r="M41" s="240">
        <f t="shared" si="4"/>
        <v>75</v>
      </c>
      <c r="O41" t="s">
        <v>2406</v>
      </c>
      <c r="P41" s="217">
        <f>IF(O41="","",IF(OR(LEFT(O41,4)="Cash",LEFT(O41,4)="Prov"),0,SUMIFS(Input_APM!N:N,Input_APM!L:L,Check!O41)))</f>
        <v>-9372000</v>
      </c>
      <c r="Q41" s="22">
        <f>IF(O41="","",IF(LEN(O41)&gt;9,SUMIFS(Options!$H$3:$H$20,Options!$B$3:$B$20,Check!O41),SUMIFS('Master P&amp;L'!$H$11:$H$84,'Master P&amp;L'!$B$11:$B$84,Check!O41)))</f>
        <v>0</v>
      </c>
      <c r="R41" s="217">
        <f t="shared" si="1"/>
        <v>-9372000</v>
      </c>
      <c r="S41" s="361" t="str">
        <f t="shared" si="2"/>
        <v>Erro</v>
      </c>
      <c r="V41" s="13"/>
    </row>
    <row r="42" spans="1:22">
      <c r="B42" t="s">
        <v>2094</v>
      </c>
      <c r="C42" s="233">
        <f>IF(B42="","",IF(LEN(B42)&gt;9,SUMIFS(Options!$H$3:$H$20,Options!$B$3:$B$20,Check!B42),SUMIFS('Master P&amp;L'!$H$11:$H$84,'Master P&amp;L'!$B$11:$B$84,Check!B42)))</f>
        <v>200</v>
      </c>
      <c r="D42" s="233">
        <f>IF(B42="","",SUMIFS(Input_APM!N:N,Input_APM!L:L,Check!B42,Input_APM!M:M,Check!$F$1))</f>
        <v>186</v>
      </c>
      <c r="E42" s="219">
        <f t="shared" si="5"/>
        <v>0</v>
      </c>
      <c r="F42" s="233">
        <f>IF(B42="","",SUMIFS(Input_APM!N:N,Input_APM!M:M,Check!$F$1,Input_APM!L:L,Check!B42))</f>
        <v>186</v>
      </c>
      <c r="G42" s="233">
        <f>IF(B42="","",SUMIFS(Input_APM!N:N,Input_APM!M:M,Check!$G$1,Input_APM!L:L,Check!B42))</f>
        <v>0</v>
      </c>
      <c r="H42" s="217">
        <f t="shared" si="0"/>
        <v>186</v>
      </c>
      <c r="I42" s="217">
        <f>SUMIFS(Input_APM!N:N,Input_APM!L:L,Check!B42)</f>
        <v>186</v>
      </c>
      <c r="J42" s="219">
        <f t="shared" si="3"/>
        <v>0</v>
      </c>
      <c r="K42" s="22">
        <f>IF(B42="","",SUMIFS('Input_APM (Zenith)'!N:N,'Input_APM (Zenith)'!L:L,Check!B42,'Input_APM (Zenith)'!M:M,Check!$F$1))</f>
        <v>14</v>
      </c>
      <c r="L42" s="22">
        <f>IF(B42="","",SUMIFS('Input_APM (Zenith)'!N:N,'Input_APM (Zenith)'!L:L,Check!B42,'Input_APM (Zenith)'!M:M,Check!$G$1))</f>
        <v>0</v>
      </c>
      <c r="M42" s="240">
        <f t="shared" si="4"/>
        <v>200</v>
      </c>
      <c r="O42" t="s">
        <v>81</v>
      </c>
      <c r="P42" s="217">
        <f>IF(O42="","",IF(OR(LEFT(O42,4)="Cash",LEFT(O42,4)="Prov"),0,SUMIFS(Input_APM!N:N,Input_APM!L:L,Check!O42)))</f>
        <v>3759</v>
      </c>
      <c r="Q42" s="22">
        <f>IF(O42="","",IF(LEN(O42)&gt;9,SUMIFS(Options!$H$3:$H$20,Options!$B$3:$B$20,Check!O42),SUMIFS('Master P&amp;L'!$H$11:$H$84,'Master P&amp;L'!$B$11:$B$84,Check!O42)))</f>
        <v>5750</v>
      </c>
      <c r="R42" s="217">
        <f t="shared" si="1"/>
        <v>-1991</v>
      </c>
      <c r="S42" s="361">
        <f t="shared" si="2"/>
        <v>0.6537391304347826</v>
      </c>
      <c r="V42" s="13"/>
    </row>
    <row r="43" spans="1:22">
      <c r="A43" t="s">
        <v>1770</v>
      </c>
      <c r="B43" t="s">
        <v>2095</v>
      </c>
      <c r="C43" s="233">
        <f>IF(B43="","",IF(LEN(B43)&gt;9,SUMIFS(Options!$H$3:$H$20,Options!$B$3:$B$20,Check!B43),SUMIFS('Master P&amp;L'!$H$11:$H$84,'Master P&amp;L'!$B$11:$B$84,Check!B43)))</f>
        <v>-200</v>
      </c>
      <c r="D43" s="233">
        <f>IF(B43="","",SUMIFS(Input_APM!N:N,Input_APM!L:L,Check!B43,Input_APM!M:M,Check!$F$1))</f>
        <v>-188</v>
      </c>
      <c r="E43" s="217">
        <f t="shared" si="5"/>
        <v>0</v>
      </c>
      <c r="F43" s="233">
        <f>IF(B43="","",SUMIFS(Input_APM!N:N,Input_APM!M:M,Check!$F$1,Input_APM!L:L,Check!B43))</f>
        <v>-188</v>
      </c>
      <c r="G43" s="233">
        <f>IF(B43="","",SUMIFS(Input_APM!N:N,Input_APM!M:M,Check!$G$1,Input_APM!L:L,Check!B43))</f>
        <v>0</v>
      </c>
      <c r="H43" s="217">
        <f t="shared" si="0"/>
        <v>-188</v>
      </c>
      <c r="I43" s="217">
        <f>SUMIFS(Input_APM!N:N,Input_APM!L:L,Check!B43)</f>
        <v>-188</v>
      </c>
      <c r="J43" s="219">
        <f t="shared" si="3"/>
        <v>0</v>
      </c>
      <c r="K43" s="22">
        <f>IF(B43="","",SUMIFS('Input_APM (Zenith)'!N:N,'Input_APM (Zenith)'!L:L,Check!B43,'Input_APM (Zenith)'!M:M,Check!$F$1))</f>
        <v>-12</v>
      </c>
      <c r="L43" s="22">
        <f>IF(B43="","",SUMIFS('Input_APM (Zenith)'!N:N,'Input_APM (Zenith)'!L:L,Check!B43,'Input_APM (Zenith)'!M:M,Check!$G$1))</f>
        <v>0</v>
      </c>
      <c r="M43" s="217">
        <f t="shared" si="4"/>
        <v>-200</v>
      </c>
      <c r="O43" t="s">
        <v>2068</v>
      </c>
      <c r="P43" s="217">
        <f>IF(O43="","",IF(OR(LEFT(O43,4)="Cash",LEFT(O43,4)="Prov"),0,SUMIFS(Input_APM!N:N,Input_APM!L:L,Check!O43)))</f>
        <v>57</v>
      </c>
      <c r="Q43" s="22">
        <f>IF(O43="","",IF(LEN(O43)&gt;9,SUMIFS(Options!$H$3:$H$20,Options!$B$3:$B$20,Check!O43),SUMIFS('Master P&amp;L'!$H$11:$H$84,'Master P&amp;L'!$B$11:$B$84,Check!O43)))</f>
        <v>0</v>
      </c>
      <c r="R43" s="217">
        <f t="shared" si="1"/>
        <v>57</v>
      </c>
      <c r="S43" s="361" t="str">
        <f t="shared" si="2"/>
        <v>Erro</v>
      </c>
      <c r="V43" s="13"/>
    </row>
    <row r="44" spans="1:22">
      <c r="B44" t="s">
        <v>2058</v>
      </c>
      <c r="C44" s="233">
        <f>IF(B44="","",IF(LEN(B44)&gt;9,SUMIFS(Options!$H$3:$H$20,Options!$B$3:$B$20,Check!B44),SUMIFS('Master P&amp;L'!$H$11:$H$84,'Master P&amp;L'!$B$11:$B$84,Check!B44)))</f>
        <v>150</v>
      </c>
      <c r="D44" s="233">
        <f>IF(B44="","",SUMIFS(Input_APM!N:N,Input_APM!L:L,Check!B44,Input_APM!M:M,Check!$F$1))</f>
        <v>141</v>
      </c>
      <c r="E44" s="217">
        <f>IF(B44="","",C44-M44)</f>
        <v>0</v>
      </c>
      <c r="F44" s="233">
        <f>IF(B44="","",SUMIFS(Input_APM!N:N,Input_APM!M:M,Check!$F$1,Input_APM!L:L,Check!B44))</f>
        <v>141</v>
      </c>
      <c r="G44" s="233">
        <f>IF(B44="","",SUMIFS(Input_APM!N:N,Input_APM!M:M,Check!$G$1,Input_APM!L:L,Check!B44))</f>
        <v>0</v>
      </c>
      <c r="H44" s="217">
        <f t="shared" si="0"/>
        <v>141</v>
      </c>
      <c r="I44" s="217">
        <f>SUMIFS(Input_APM!N:N,Input_APM!L:L,Check!B44)</f>
        <v>141</v>
      </c>
      <c r="J44" s="219">
        <f t="shared" si="3"/>
        <v>0</v>
      </c>
      <c r="K44" s="22">
        <f>IF(B44="","",SUMIFS('Input_APM (Zenith)'!N:N,'Input_APM (Zenith)'!L:L,Check!B44,'Input_APM (Zenith)'!M:M,Check!$F$1))</f>
        <v>9</v>
      </c>
      <c r="L44" s="22">
        <f>IF(B44="","",SUMIFS('Input_APM (Zenith)'!N:N,'Input_APM (Zenith)'!L:L,Check!B44,'Input_APM (Zenith)'!M:M,Check!$G$1))</f>
        <v>0</v>
      </c>
      <c r="M44" s="217">
        <f t="shared" si="4"/>
        <v>150</v>
      </c>
      <c r="O44" t="s">
        <v>2404</v>
      </c>
      <c r="P44" s="217">
        <f>IF(O44="","",IF(OR(LEFT(O44,4)="Cash",LEFT(O44,4)="Prov"),0,SUMIFS(Input_APM!N:N,Input_APM!L:L,Check!O44)))</f>
        <v>70</v>
      </c>
      <c r="Q44" s="22">
        <f>IF(O44="","",IF(LEN(O44)&gt;9,SUMIFS(Options!$H$3:$H$20,Options!$B$3:$B$20,Check!O44),SUMIFS('Master P&amp;L'!$H$11:$H$84,'Master P&amp;L'!$B$11:$B$84,Check!O44)))</f>
        <v>75</v>
      </c>
      <c r="R44" s="217">
        <f t="shared" si="1"/>
        <v>-5</v>
      </c>
      <c r="S44" s="361">
        <f t="shared" si="2"/>
        <v>0.93333333333333335</v>
      </c>
      <c r="V44" s="13"/>
    </row>
    <row r="45" spans="1:22">
      <c r="B45" t="s">
        <v>2271</v>
      </c>
      <c r="C45" s="233">
        <f>IF(B45="","",IF(LEN(B45)&gt;9,SUMIFS(Options!$H$3:$H$20,Options!$B$3:$B$20,Check!B45),SUMIFS('Master P&amp;L'!$H$11:$H$84,'Master P&amp;L'!$B$11:$B$84,Check!B45)))</f>
        <v>-150</v>
      </c>
      <c r="D45" s="233">
        <f>IF(B45="","",SUMIFS(Input_APM!N:N,Input_APM!L:L,Check!B45,Input_APM!M:M,Check!$F$1))</f>
        <v>-141</v>
      </c>
      <c r="E45" s="217">
        <f t="shared" si="5"/>
        <v>0</v>
      </c>
      <c r="F45" s="233">
        <f>IF(B45="","",SUMIFS(Input_APM!N:N,Input_APM!M:M,Check!$F$1,Input_APM!L:L,Check!B45))</f>
        <v>-141</v>
      </c>
      <c r="G45" s="233">
        <f>IF(B45="","",SUMIFS(Input_APM!N:N,Input_APM!M:M,Check!$G$1,Input_APM!L:L,Check!B45))</f>
        <v>0</v>
      </c>
      <c r="H45" s="217">
        <f t="shared" si="0"/>
        <v>-141</v>
      </c>
      <c r="I45" s="217">
        <f>SUMIFS(Input_APM!N:N,Input_APM!L:L,Check!B45)</f>
        <v>-141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-150</v>
      </c>
      <c r="O45" t="s">
        <v>138</v>
      </c>
      <c r="P45" s="217">
        <f>IF(O45="","",IF(OR(LEFT(O45,4)="Cash",LEFT(O45,4)="Prov"),0,SUMIFS(Input_APM!N:N,Input_APM!L:L,Check!O45)))</f>
        <v>2771</v>
      </c>
      <c r="Q45" s="22">
        <f>IF(O45="","",IF(LEN(O45)&gt;9,SUMIFS(Options!$H$3:$H$20,Options!$B$3:$B$20,Check!O45),SUMIFS('Master P&amp;L'!$H$11:$H$84,'Master P&amp;L'!$B$11:$B$84,Check!O45)))</f>
        <v>2951</v>
      </c>
      <c r="R45" s="217">
        <f t="shared" si="1"/>
        <v>-180</v>
      </c>
      <c r="S45" s="361">
        <f t="shared" si="2"/>
        <v>0.93900372754998307</v>
      </c>
      <c r="V45" s="13"/>
    </row>
    <row r="46" spans="1:22">
      <c r="B46" t="s">
        <v>2328</v>
      </c>
      <c r="C46" s="233">
        <f>IF(B46="","",IF(LEN(B46)&gt;9,SUMIFS(Options!$H$3:$H$20,Options!$B$3:$B$20,Check!B46),SUMIFS('Master P&amp;L'!$H$11:$H$84,'Master P&amp;L'!$B$11:$B$84,Check!B46)))</f>
        <v>-150</v>
      </c>
      <c r="D46" s="233">
        <f>IF(B46="","",SUMIFS(Input_APM!N:N,Input_APM!L:L,Check!B46,Input_APM!M:M,Check!$F$1))</f>
        <v>-141</v>
      </c>
      <c r="E46" s="219">
        <f t="shared" si="5"/>
        <v>0</v>
      </c>
      <c r="F46" s="233">
        <f>IF(B46="","",SUMIFS(Input_APM!N:N,Input_APM!M:M,Check!$F$1,Input_APM!L:L,Check!B46))</f>
        <v>-141</v>
      </c>
      <c r="G46" s="233">
        <f>IF(B46="","",SUMIFS(Input_APM!N:N,Input_APM!M:M,Check!$G$1,Input_APM!L:L,Check!B46))</f>
        <v>0</v>
      </c>
      <c r="H46" s="217">
        <f t="shared" si="0"/>
        <v>-141</v>
      </c>
      <c r="I46" s="217">
        <f>SUMIFS(Input_APM!N:N,Input_APM!L:L,Check!B46)</f>
        <v>-141</v>
      </c>
      <c r="J46" s="219">
        <f t="shared" si="3"/>
        <v>0</v>
      </c>
      <c r="K46" s="22">
        <f>IF(B46="","",SUMIFS('Input_APM (Zenith)'!N:N,'Input_APM (Zenith)'!L:L,Check!B46,'Input_APM (Zenith)'!M:M,Check!$F$1))</f>
        <v>-9</v>
      </c>
      <c r="L46" s="22">
        <f>IF(B46="","",SUMIFS('Input_APM (Zenith)'!N:N,'Input_APM (Zenith)'!L:L,Check!B46,'Input_APM (Zenith)'!M:M,Check!$G$1))</f>
        <v>0</v>
      </c>
      <c r="M46" s="217">
        <f t="shared" si="4"/>
        <v>-150</v>
      </c>
      <c r="O46" t="s">
        <v>2271</v>
      </c>
      <c r="P46" s="217">
        <f>IF(O46="","",IF(OR(LEFT(O46,4)="Cash",LEFT(O46,4)="Prov"),0,SUMIFS(Input_APM!N:N,Input_APM!L:L,Check!O46)))</f>
        <v>-141</v>
      </c>
      <c r="Q46" s="22">
        <f>IF(O46="","",IF(LEN(O46)&gt;9,SUMIFS(Options!$H$3:$H$20,Options!$B$3:$B$20,Check!O46),SUMIFS('Master P&amp;L'!$H$11:$H$84,'Master P&amp;L'!$B$11:$B$84,Check!O46)))</f>
        <v>-150</v>
      </c>
      <c r="R46" s="217">
        <f t="shared" si="1"/>
        <v>9</v>
      </c>
      <c r="S46" s="361">
        <f t="shared" si="2"/>
        <v>0.94</v>
      </c>
      <c r="V46" s="13"/>
    </row>
    <row r="47" spans="1:22">
      <c r="B47" t="s">
        <v>2327</v>
      </c>
      <c r="C47" s="233">
        <f>IF(B47="","",IF(LEN(B47)&gt;9,SUMIFS(Options!$H$3:$H$20,Options!$B$3:$B$20,Check!B47),SUMIFS('Master P&amp;L'!$H$11:$H$84,'Master P&amp;L'!$B$11:$B$84,Check!B47)))</f>
        <v>250</v>
      </c>
      <c r="D47" s="233">
        <f>IF(B47="","",SUMIFS(Input_APM!N:N,Input_APM!L:L,Check!B47,Input_APM!M:M,Check!$F$1))</f>
        <v>237</v>
      </c>
      <c r="E47" s="219">
        <f t="shared" si="5"/>
        <v>0</v>
      </c>
      <c r="F47" s="233">
        <f>IF(B47="","",SUMIFS(Input_APM!N:N,Input_APM!M:M,Check!$F$1,Input_APM!L:L,Check!B47))</f>
        <v>237</v>
      </c>
      <c r="G47" s="233">
        <f>IF(B47="","",SUMIFS(Input_APM!N:N,Input_APM!M:M,Check!$G$1,Input_APM!L:L,Check!B47))</f>
        <v>0</v>
      </c>
      <c r="H47" s="217">
        <f t="shared" si="0"/>
        <v>237</v>
      </c>
      <c r="I47" s="217">
        <f>SUMIFS(Input_APM!N:N,Input_APM!L:L,Check!B47)</f>
        <v>237</v>
      </c>
      <c r="J47" s="219">
        <f t="shared" si="3"/>
        <v>0</v>
      </c>
      <c r="K47" s="22">
        <f>IF(B47="","",SUMIFS('Input_APM (Zenith)'!N:N,'Input_APM (Zenith)'!L:L,Check!B47,'Input_APM (Zenith)'!M:M,Check!$F$1))</f>
        <v>13</v>
      </c>
      <c r="L47" s="22">
        <f>IF(B47="","",SUMIFS('Input_APM (Zenith)'!N:N,'Input_APM (Zenith)'!L:L,Check!B47,'Input_APM (Zenith)'!M:M,Check!$G$1))</f>
        <v>0</v>
      </c>
      <c r="M47" s="217">
        <f t="shared" si="4"/>
        <v>250</v>
      </c>
      <c r="O47" t="s">
        <v>2095</v>
      </c>
      <c r="P47" s="217">
        <f>IF(O47="","",IF(OR(LEFT(O47,4)="Cash",LEFT(O47,4)="Prov"),0,SUMIFS(Input_APM!N:N,Input_APM!L:L,Check!O47)))</f>
        <v>-188</v>
      </c>
      <c r="Q47" s="22">
        <f>IF(O47="","",IF(LEN(O47)&gt;9,SUMIFS(Options!$H$3:$H$20,Options!$B$3:$B$20,Check!O47),SUMIFS('Master P&amp;L'!$H$11:$H$84,'Master P&amp;L'!$B$11:$B$84,Check!O47)))</f>
        <v>-200</v>
      </c>
      <c r="R47" s="217">
        <f t="shared" si="1"/>
        <v>12</v>
      </c>
      <c r="S47" s="361">
        <f t="shared" si="2"/>
        <v>0.94</v>
      </c>
    </row>
    <row r="48" spans="1:22">
      <c r="B48" t="s">
        <v>2326</v>
      </c>
      <c r="C48" s="233">
        <f>IF(B48="","",IF(LEN(B48)&gt;9,SUMIFS(Options!$H$3:$H$20,Options!$B$3:$B$20,Check!B48),SUMIFS('Master P&amp;L'!$H$11:$H$84,'Master P&amp;L'!$B$11:$B$84,Check!B48)))</f>
        <v>-150</v>
      </c>
      <c r="D48" s="233">
        <f>IF(B48="","",SUMIFS(Input_APM!N:N,Input_APM!L:L,Check!B48,Input_APM!M:M,Check!$F$1))</f>
        <v>-141</v>
      </c>
      <c r="E48" s="219">
        <f t="shared" si="5"/>
        <v>0</v>
      </c>
      <c r="F48" s="233">
        <f>IF(B48="","",SUMIFS(Input_APM!N:N,Input_APM!M:M,Check!$F$1,Input_APM!L:L,Check!B48))</f>
        <v>-141</v>
      </c>
      <c r="G48" s="233">
        <f>IF(B48="","",SUMIFS(Input_APM!N:N,Input_APM!M:M,Check!$G$1,Input_APM!L:L,Check!B48))</f>
        <v>0</v>
      </c>
      <c r="H48" s="217">
        <f t="shared" si="0"/>
        <v>-141</v>
      </c>
      <c r="I48" s="217">
        <f>SUMIFS(Input_APM!N:N,Input_APM!L:L,Check!B48)</f>
        <v>-141</v>
      </c>
      <c r="J48" s="219">
        <f t="shared" si="3"/>
        <v>0</v>
      </c>
      <c r="K48" s="22">
        <f>IF(B48="","",SUMIFS('Input_APM (Zenith)'!N:N,'Input_APM (Zenith)'!L:L,Check!B48,'Input_APM (Zenith)'!M:M,Check!$F$1))</f>
        <v>-9</v>
      </c>
      <c r="L48" s="22">
        <f>IF(B48="","",SUMIFS('Input_APM (Zenith)'!N:N,'Input_APM (Zenith)'!L:L,Check!B48,'Input_APM (Zenith)'!M:M,Check!$G$1))</f>
        <v>0</v>
      </c>
      <c r="M48" s="217">
        <f t="shared" si="4"/>
        <v>-150</v>
      </c>
      <c r="O48" t="s">
        <v>2058</v>
      </c>
      <c r="P48" s="217">
        <f>IF(O48="","",IF(OR(LEFT(O48,4)="Cash",LEFT(O48,4)="Prov"),0,SUMIFS(Input_APM!N:N,Input_APM!L:L,Check!O48)))</f>
        <v>141</v>
      </c>
      <c r="Q48" s="22">
        <f>IF(O48="","",IF(LEN(O48)&gt;9,SUMIFS(Options!$H$3:$H$20,Options!$B$3:$B$20,Check!O48),SUMIFS('Master P&amp;L'!$H$11:$H$84,'Master P&amp;L'!$B$11:$B$84,Check!O48)))</f>
        <v>150</v>
      </c>
      <c r="R48" s="217">
        <f t="shared" si="1"/>
        <v>-9</v>
      </c>
      <c r="S48" s="361">
        <f t="shared" si="2"/>
        <v>0.94</v>
      </c>
    </row>
    <row r="49" spans="1:19">
      <c r="B49" t="s">
        <v>2446</v>
      </c>
      <c r="C49" s="233">
        <f>IF(B49="","",IF(LEN(B49)&gt;9,SUMIFS(Options!$H$3:$H$20,Options!$B$3:$B$20,Check!B49),SUMIFS('Master P&amp;L'!$H$11:$H$84,'Master P&amp;L'!$B$11:$B$84,Check!B49)))</f>
        <v>0</v>
      </c>
      <c r="D49" s="233">
        <f>IF(B49="","",SUMIFS(Input_APM!N:N,Input_APM!L:L,Check!B49,Input_APM!M:M,Check!$F$1))</f>
        <v>470</v>
      </c>
      <c r="E49" s="219">
        <f t="shared" si="5"/>
        <v>-500</v>
      </c>
      <c r="F49" s="233">
        <f>IF(B49="","",SUMIFS(Input_APM!N:N,Input_APM!M:M,Check!$F$1,Input_APM!L:L,Check!B49))</f>
        <v>470</v>
      </c>
      <c r="G49" s="233">
        <f>IF(B49="","",SUMIFS(Input_APM!N:N,Input_APM!M:M,Check!$G$1,Input_APM!L:L,Check!B49))</f>
        <v>0</v>
      </c>
      <c r="H49" s="217">
        <f t="shared" si="0"/>
        <v>470</v>
      </c>
      <c r="I49" s="217">
        <f>SUMIFS(Input_APM!N:N,Input_APM!L:L,Check!B49)</f>
        <v>470</v>
      </c>
      <c r="J49" s="219">
        <f t="shared" si="3"/>
        <v>0</v>
      </c>
      <c r="K49" s="22">
        <f>IF(B49="","",SUMIFS('Input_APM (Zenith)'!N:N,'Input_APM (Zenith)'!L:L,Check!B49,'Input_APM (Zenith)'!M:M,Check!$F$1))</f>
        <v>30</v>
      </c>
      <c r="L49" s="22">
        <f>IF(B49="","",SUMIFS('Input_APM (Zenith)'!N:N,'Input_APM (Zenith)'!L:L,Check!B49,'Input_APM (Zenith)'!M:M,Check!$G$1))</f>
        <v>0</v>
      </c>
      <c r="M49" s="217">
        <f t="shared" si="4"/>
        <v>500</v>
      </c>
      <c r="O49" t="s">
        <v>2094</v>
      </c>
      <c r="P49" s="217">
        <f>IF(O49="","",IF(OR(LEFT(O49,4)="Cash",LEFT(O49,4)="Prov"),0,SUMIFS(Input_APM!N:N,Input_APM!L:L,Check!O49)))</f>
        <v>186</v>
      </c>
      <c r="Q49" s="22">
        <f>IF(O49="","",IF(LEN(O49)&gt;9,SUMIFS(Options!$H$3:$H$20,Options!$B$3:$B$20,Check!O49),SUMIFS('Master P&amp;L'!$H$11:$H$84,'Master P&amp;L'!$B$11:$B$84,Check!O49)))</f>
        <v>200</v>
      </c>
      <c r="R49" s="217">
        <f t="shared" si="1"/>
        <v>-14</v>
      </c>
      <c r="S49" s="361">
        <f t="shared" si="2"/>
        <v>0.93</v>
      </c>
    </row>
    <row r="50" spans="1:19">
      <c r="A50" t="s">
        <v>1770</v>
      </c>
      <c r="B50" t="s">
        <v>2225</v>
      </c>
      <c r="C50" s="233">
        <f>IF(B50="","",IF(LEN(B50)&gt;9,SUMIFS(Options!$H$3:$H$20,Options!$B$3:$B$20,Check!B50),SUMIFS('Master P&amp;L'!$H$11:$H$84,'Master P&amp;L'!$B$11:$B$84,Check!B50)))</f>
        <v>1550</v>
      </c>
      <c r="D50" s="233">
        <f>IF(B50="","",SUMIFS(Input_APM!N:N,Input_APM!L:L,Check!B50,Input_APM!M:M,Check!$F$1))</f>
        <v>1453</v>
      </c>
      <c r="E50" s="219">
        <f t="shared" si="5"/>
        <v>0</v>
      </c>
      <c r="F50" s="233">
        <f>IF(B50="","",SUMIFS(Input_APM!N:N,Input_APM!M:M,Check!$F$1,Input_APM!L:L,Check!B50))</f>
        <v>1453</v>
      </c>
      <c r="G50" s="233">
        <f>IF(B50="","",SUMIFS(Input_APM!N:N,Input_APM!M:M,Check!$G$1,Input_APM!L:L,Check!B50))</f>
        <v>0</v>
      </c>
      <c r="H50" s="217">
        <f t="shared" si="0"/>
        <v>1453</v>
      </c>
      <c r="I50" s="217">
        <f>SUMIFS(Input_APM!N:N,Input_APM!L:L,Check!B50)</f>
        <v>1453</v>
      </c>
      <c r="J50" s="219">
        <f t="shared" si="3"/>
        <v>0</v>
      </c>
      <c r="K50" s="22">
        <f>IF(B50="","",SUMIFS('Input_APM (Zenith)'!N:N,'Input_APM (Zenith)'!L:L,Check!B50,'Input_APM (Zenith)'!M:M,Check!$F$1))</f>
        <v>97</v>
      </c>
      <c r="L50" s="22">
        <f>IF(B50="","",SUMIFS('Input_APM (Zenith)'!N:N,'Input_APM (Zenith)'!L:L,Check!B50,'Input_APM (Zenith)'!M:M,Check!$G$1))</f>
        <v>0</v>
      </c>
      <c r="M50" s="217">
        <f t="shared" si="4"/>
        <v>1550</v>
      </c>
      <c r="O50" t="s">
        <v>90</v>
      </c>
      <c r="P50" s="217">
        <f>IF(O50="","",IF(OR(LEFT(O50,4)="Cash",LEFT(O50,4)="Prov"),0,SUMIFS(Input_APM!N:N,Input_APM!L:L,Check!O50)))</f>
        <v>3910</v>
      </c>
      <c r="Q50" s="22">
        <f>IF(O50="","",IF(LEN(O50)&gt;9,SUMIFS(Options!$H$3:$H$20,Options!$B$3:$B$20,Check!O50),SUMIFS('Master P&amp;L'!$H$11:$H$84,'Master P&amp;L'!$B$11:$B$84,Check!O50)))</f>
        <v>4180</v>
      </c>
      <c r="R50" s="217">
        <f t="shared" si="1"/>
        <v>-270</v>
      </c>
      <c r="S50" s="361">
        <f t="shared" si="2"/>
        <v>0.93540669856459335</v>
      </c>
    </row>
    <row r="51" spans="1:19">
      <c r="B51" t="s">
        <v>2226</v>
      </c>
      <c r="C51" s="233">
        <f>IF(B51="","",IF(LEN(B51)&gt;9,SUMIFS(Options!$H$3:$H$20,Options!$B$3:$B$20,Check!B51),SUMIFS('Master P&amp;L'!$H$11:$H$84,'Master P&amp;L'!$B$11:$B$84,Check!B51)))</f>
        <v>-1275</v>
      </c>
      <c r="D51" s="233">
        <f>IF(B51="","",SUMIFS(Input_APM!N:N,Input_APM!L:L,Check!B51,Input_APM!M:M,Check!$F$1))</f>
        <v>-1295</v>
      </c>
      <c r="E51" s="219">
        <f t="shared" si="5"/>
        <v>107</v>
      </c>
      <c r="F51" s="233">
        <f>IF(B51="","",SUMIFS(Input_APM!N:N,Input_APM!M:M,Check!$F$1,Input_APM!L:L,Check!B51))</f>
        <v>-1295</v>
      </c>
      <c r="G51" s="233">
        <f>IF(B51="","",SUMIFS(Input_APM!N:N,Input_APM!M:M,Check!$G$1,Input_APM!L:L,Check!B51))</f>
        <v>0</v>
      </c>
      <c r="H51" s="217">
        <f t="shared" si="0"/>
        <v>-1295</v>
      </c>
      <c r="I51" s="217">
        <f>SUMIFS(Input_APM!N:N,Input_APM!L:L,Check!B51)</f>
        <v>-1295</v>
      </c>
      <c r="J51" s="219">
        <f t="shared" si="3"/>
        <v>0</v>
      </c>
      <c r="K51" s="22">
        <f>IF(B51="","",SUMIFS('Input_APM (Zenith)'!N:N,'Input_APM (Zenith)'!L:L,Check!B51,'Input_APM (Zenith)'!M:M,Check!$F$1))</f>
        <v>-87</v>
      </c>
      <c r="L51" s="22">
        <f>IF(B51="","",SUMIFS('Input_APM (Zenith)'!N:N,'Input_APM (Zenith)'!L:L,Check!B51,'Input_APM (Zenith)'!M:M,Check!$G$1))</f>
        <v>0</v>
      </c>
      <c r="M51" s="217">
        <f t="shared" si="4"/>
        <v>-1382</v>
      </c>
      <c r="O51" t="s">
        <v>2357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IF(O51="","",IF(LEN(O51)&gt;9,SUMIFS(Options!$H$3:$H$20,Options!$B$3:$B$20,Check!O51),SUMIFS('Master P&amp;L'!$H$11:$H$84,'Master P&amp;L'!$B$11:$B$84,Check!O51)))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IF(B52="","",IF(LEN(B52)&gt;9,SUMIFS(Options!$H$3:$H$20,Options!$B$3:$B$20,Check!B52),SUMIFS('Master P&amp;L'!$H$11:$H$84,'Master P&amp;L'!$B$11:$B$84,Check!B52)))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94</v>
      </c>
      <c r="P52" s="217">
        <f>IF(O52="","",IF(OR(LEFT(O52,4)="Cash",LEFT(O52,4)="Prov"),0,SUMIFS(Input_APM!N:N,Input_APM!L:L,Check!O52)))</f>
        <v>18703</v>
      </c>
      <c r="Q52" s="22">
        <f>IF(O52="","",IF(LEN(O52)&gt;9,SUMIFS(Options!$H$3:$H$20,Options!$B$3:$B$20,Check!O52),SUMIFS('Master P&amp;L'!$H$11:$H$84,'Master P&amp;L'!$B$11:$B$84,Check!O52)))</f>
        <v>20008</v>
      </c>
      <c r="R52" s="217">
        <f t="shared" si="1"/>
        <v>-1305</v>
      </c>
      <c r="S52" s="361">
        <f t="shared" si="2"/>
        <v>0.93477608956417435</v>
      </c>
    </row>
    <row r="53" spans="1:19">
      <c r="B53"/>
      <c r="C53" s="233" t="str">
        <f>IF(B53="","",IF(LEN(B53)&gt;9,SUMIFS(Options!$H$3:$H$20,Options!$B$3:$B$20,Check!B53),SUMIFS('Master P&amp;L'!$H$11:$H$84,'Master P&amp;L'!$B$11:$B$84,Check!B53)))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2392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IF(O53="","",IF(LEN(O53)&gt;9,SUMIFS(Options!$H$3:$H$20,Options!$B$3:$B$20,Check!O53),SUMIFS('Master P&amp;L'!$H$11:$H$84,'Master P&amp;L'!$B$11:$B$84,Check!O53)))</f>
        <v>0</v>
      </c>
      <c r="R53" s="217">
        <f t="shared" si="1"/>
        <v>0</v>
      </c>
      <c r="S53" s="361" t="str">
        <f t="shared" si="2"/>
        <v>Ok</v>
      </c>
    </row>
    <row r="54" spans="1:19">
      <c r="B54"/>
      <c r="C54" s="233" t="str">
        <f>IF(B54="","",IF(LEN(B54)&gt;9,SUMIFS(Options!$H$3:$H$20,Options!$B$3:$B$20,Check!B54),SUMIFS('Master P&amp;L'!$H$11:$H$84,'Master P&amp;L'!$B$11:$B$84,Check!B54)))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2393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IF(O54="","",IF(LEN(O54)&gt;9,SUMIFS(Options!$H$3:$H$20,Options!$B$3:$B$20,Check!O54),SUMIFS('Master P&amp;L'!$H$11:$H$84,'Master P&amp;L'!$B$11:$B$84,Check!O54)))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IF(B55="","",IF(LEN(B55)&gt;9,SUMIFS(Options!$H$3:$H$20,Options!$B$3:$B$20,Check!B55),SUMIFS('Master P&amp;L'!$H$11:$H$84,'Master P&amp;L'!$B$11:$B$84,Check!B55)))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2390</v>
      </c>
      <c r="P55" s="217">
        <f>IF(O55="","",IF(OR(LEFT(O55,4)="Cash",LEFT(O55,4)="Prov"),0,SUMIFS(Input_APM!N:N,Input_APM!L:L,Check!O55)))</f>
        <v>142</v>
      </c>
      <c r="Q55" s="22">
        <f>IF(O55="","",IF(LEN(O55)&gt;9,SUMIFS(Options!$H$3:$H$20,Options!$B$3:$B$20,Check!O55),SUMIFS('Master P&amp;L'!$H$11:$H$84,'Master P&amp;L'!$B$11:$B$84,Check!O55)))</f>
        <v>150</v>
      </c>
      <c r="R55" s="217">
        <f t="shared" si="1"/>
        <v>-8</v>
      </c>
      <c r="S55" s="361">
        <f t="shared" si="2"/>
        <v>0.94666666666666666</v>
      </c>
    </row>
    <row r="56" spans="1:19">
      <c r="B56"/>
      <c r="C56" s="233" t="str">
        <f>IF(B56="","",IF(LEN(B56)&gt;9,SUMIFS(Options!$H$3:$H$20,Options!$B$3:$B$20,Check!B56),SUMIFS('Master P&amp;L'!$H$11:$H$84,'Master P&amp;L'!$B$11:$B$84,Check!B56)))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2407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IF(O56="","",IF(LEN(O56)&gt;9,SUMIFS(Options!$H$3:$H$20,Options!$B$3:$B$20,Check!O56),SUMIFS('Master P&amp;L'!$H$11:$H$84,'Master P&amp;L'!$B$11:$B$84,Check!O56)))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IF(B57="","",IF(LEN(B57)&gt;9,SUMIFS(Options!$H$3:$H$20,Options!$B$3:$B$20,Check!B57),SUMIFS('Master P&amp;L'!$H$11:$H$84,'Master P&amp;L'!$B$11:$B$84,Check!B57)))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336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IF(O57="","",IF(LEN(O57)&gt;9,SUMIFS(Options!$H$3:$H$20,Options!$B$3:$B$20,Check!O57),SUMIFS('Master P&amp;L'!$H$11:$H$84,'Master P&amp;L'!$B$11:$B$84,Check!O57)))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IF(B58="","",IF(LEN(B58)&gt;9,SUMIFS(Options!$H$3:$H$20,Options!$B$3:$B$20,Check!B58),SUMIFS('Master P&amp;L'!$H$11:$H$84,'Master P&amp;L'!$B$11:$B$84,Check!B58)))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306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IF(O58="","",IF(LEN(O58)&gt;9,SUMIFS(Options!$H$3:$H$20,Options!$B$3:$B$20,Check!O58),SUMIFS('Master P&amp;L'!$H$11:$H$84,'Master P&amp;L'!$B$11:$B$84,Check!O58)))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IF(B59="","",IF(LEN(B59)&gt;9,SUMIFS(Options!$H$3:$H$20,Options!$B$3:$B$20,Check!B59),SUMIFS('Master P&amp;L'!$H$11:$H$84,'Master P&amp;L'!$B$11:$B$84,Check!B59)))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2408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IF(O59="","",IF(LEN(O59)&gt;9,SUMIFS(Options!$H$3:$H$20,Options!$B$3:$B$20,Check!O59),SUMIFS('Master P&amp;L'!$H$11:$H$84,'Master P&amp;L'!$B$11:$B$84,Check!O59)))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IF(B60="","",IF(LEN(B60)&gt;9,SUMIFS(Options!$H$3:$H$20,Options!$B$3:$B$20,Check!B60),SUMIFS('Master P&amp;L'!$H$11:$H$84,'Master P&amp;L'!$B$11:$B$84,Check!B60)))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1666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IF(O60="","",IF(LEN(O60)&gt;9,SUMIFS(Options!$H$3:$H$20,Options!$B$3:$B$20,Check!O60),SUMIFS('Master P&amp;L'!$H$11:$H$84,'Master P&amp;L'!$B$11:$B$84,Check!O60)))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IF(B61="","",IF(LEN(B61)&gt;9,SUMIFS(Options!$H$3:$H$20,Options!$B$3:$B$20,Check!B61),SUMIFS('Master P&amp;L'!$H$11:$H$84,'Master P&amp;L'!$B$11:$B$84,Check!B61)))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337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IF(O61="","",IF(LEN(O61)&gt;9,SUMIFS(Options!$H$3:$H$20,Options!$B$3:$B$20,Check!O61),SUMIFS('Master P&amp;L'!$H$11:$H$84,'Master P&amp;L'!$B$11:$B$84,Check!O61)))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IF(B62="","",IF(LEN(B62)&gt;9,SUMIFS(Options!$H$3:$H$20,Options!$B$3:$B$20,Check!B62),SUMIFS('Master P&amp;L'!$H$11:$H$84,'Master P&amp;L'!$B$11:$B$84,Check!B62)))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307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IF(O62="","",IF(LEN(O62)&gt;9,SUMIFS(Options!$H$3:$H$20,Options!$B$3:$B$20,Check!O62),SUMIFS('Master P&amp;L'!$H$11:$H$84,'Master P&amp;L'!$B$11:$B$84,Check!O62)))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IF(B63="","",IF(LEN(B63)&gt;9,SUMIFS(Options!$H$3:$H$20,Options!$B$3:$B$20,Check!B63),SUMIFS('Master P&amp;L'!$H$11:$H$84,'Master P&amp;L'!$B$11:$B$84,Check!B63)))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2359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IF(O63="","",IF(LEN(O63)&gt;9,SUMIFS(Options!$H$3:$H$20,Options!$B$3:$B$20,Check!O63),SUMIFS('Master P&amp;L'!$H$11:$H$84,'Master P&amp;L'!$B$11:$B$84,Check!O63)))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IF(B64="","",IF(LEN(B64)&gt;9,SUMIFS(Options!$H$3:$H$20,Options!$B$3:$B$20,Check!B64),SUMIFS('Master P&amp;L'!$H$11:$H$84,'Master P&amp;L'!$B$11:$B$84,Check!B64)))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2446</v>
      </c>
      <c r="P64" s="217">
        <f>IF(O64="","",IF(OR(LEFT(O64,4)="Cash",LEFT(O64,4)="Prov"),0,SUMIFS(Input_APM!N:N,Input_APM!L:L,Check!O64)))</f>
        <v>470</v>
      </c>
      <c r="Q64" s="22">
        <f>IF(O64="","",IF(LEN(O64)&gt;9,SUMIFS(Options!$H$3:$H$20,Options!$B$3:$B$20,Check!O64),SUMIFS('Master P&amp;L'!$H$11:$H$84,'Master P&amp;L'!$B$11:$B$84,Check!O64)))</f>
        <v>0</v>
      </c>
      <c r="R64" s="217">
        <f t="shared" si="1"/>
        <v>470</v>
      </c>
      <c r="S64" s="361" t="str">
        <f t="shared" si="2"/>
        <v>Erro</v>
      </c>
    </row>
    <row r="65" spans="2:19">
      <c r="B65"/>
      <c r="C65" s="233" t="str">
        <f>IF(B65="","",IF(LEN(B65)&gt;9,SUMIFS(Options!$H$3:$H$20,Options!$B$3:$B$20,Check!B65),SUMIFS('Master P&amp;L'!$H$11:$H$84,'Master P&amp;L'!$B$11:$B$84,Check!B65)))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2128</v>
      </c>
      <c r="P65" s="217">
        <f>IF(O65="","",IF(OR(LEFT(O65,4)="Cash",LEFT(O65,4)="Prov"),0,SUMIFS(Input_APM!N:N,Input_APM!L:L,Check!O65)))</f>
        <v>29600</v>
      </c>
      <c r="Q65" s="22">
        <f>IF(O65="","",IF(LEN(O65)&gt;9,SUMIFS(Options!$H$3:$H$20,Options!$B$3:$B$20,Check!O65),SUMIFS('Master P&amp;L'!$H$11:$H$84,'Master P&amp;L'!$B$11:$B$84,Check!O65)))</f>
        <v>34500</v>
      </c>
      <c r="R65" s="217">
        <f t="shared" si="1"/>
        <v>-4900</v>
      </c>
      <c r="S65" s="361">
        <f t="shared" si="2"/>
        <v>0.85797101449275359</v>
      </c>
    </row>
    <row r="66" spans="2:19">
      <c r="B66"/>
      <c r="C66" s="233" t="str">
        <f>IF(B66="","",IF(LEN(B66)&gt;9,SUMIFS(Options!$H$3:$H$20,Options!$B$3:$B$20,Check!B66),SUMIFS('Master P&amp;L'!$H$11:$H$84,'Master P&amp;L'!$B$11:$B$84,Check!B66)))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3</v>
      </c>
      <c r="P66" s="217">
        <f>IF(O66="","",IF(OR(LEFT(O66,4)="Cash",LEFT(O66,4)="Prov"),0,SUMIFS(Input_APM!N:N,Input_APM!L:L,Check!O66)))</f>
        <v>-21497</v>
      </c>
      <c r="Q66" s="22">
        <f>IF(O66="","",IF(LEN(O66)&gt;9,SUMIFS(Options!$H$3:$H$20,Options!$B$3:$B$20,Check!O66),SUMIFS('Master P&amp;L'!$H$11:$H$84,'Master P&amp;L'!$B$11:$B$84,Check!O66)))</f>
        <v>-47900</v>
      </c>
      <c r="R66" s="217">
        <f t="shared" si="1"/>
        <v>26403</v>
      </c>
      <c r="S66" s="361">
        <f t="shared" si="2"/>
        <v>0.44878914405010439</v>
      </c>
    </row>
    <row r="67" spans="2:19">
      <c r="B67"/>
      <c r="C67" s="233" t="str">
        <f>IF(B67="","",IF(LEN(B67)&gt;9,SUMIFS(Options!$H$3:$H$20,Options!$B$3:$B$20,Check!B67),SUMIFS('Master P&amp;L'!$H$11:$H$84,'Master P&amp;L'!$B$11:$B$84,Check!B67)))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2124</v>
      </c>
      <c r="P67" s="217">
        <f>IF(O67="","",IF(OR(LEFT(O67,4)="Cash",LEFT(O67,4)="Prov"),0,SUMIFS(Input_APM!N:N,Input_APM!L:L,Check!O67)))</f>
        <v>0</v>
      </c>
      <c r="Q67" s="22">
        <f>IF(O67="","",IF(LEN(O67)&gt;9,SUMIFS(Options!$H$3:$H$20,Options!$B$3:$B$20,Check!O67),SUMIFS('Master P&amp;L'!$H$11:$H$84,'Master P&amp;L'!$B$11:$B$84,Check!O67)))</f>
        <v>0</v>
      </c>
      <c r="R67" s="217">
        <f t="shared" si="1"/>
        <v>0</v>
      </c>
      <c r="S67" s="361" t="str">
        <f t="shared" si="2"/>
        <v>Ok</v>
      </c>
    </row>
    <row r="68" spans="2:19">
      <c r="B68"/>
      <c r="C68" s="233" t="str">
        <f>IF(B68="","",IF(LEN(B68)&gt;9,SUMIFS(Options!$H$3:$H$20,Options!$B$3:$B$20,Check!B68),SUMIFS('Master P&amp;L'!$H$11:$H$84,'Master P&amp;L'!$B$11:$B$84,Check!B68)))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1761</v>
      </c>
      <c r="P68" s="217">
        <f>IF(O68="","",IF(OR(LEFT(O68,4)="Cash",LEFT(O68,4)="Prov"),0,SUMIFS(Input_APM!N:N,Input_APM!L:L,Check!O68)))</f>
        <v>1400</v>
      </c>
      <c r="Q68" s="22">
        <f>IF(O68="","",IF(LEN(O68)&gt;9,SUMIFS(Options!$H$3:$H$20,Options!$B$3:$B$20,Check!O68),SUMIFS('Master P&amp;L'!$H$11:$H$84,'Master P&amp;L'!$B$11:$B$84,Check!O68)))</f>
        <v>0</v>
      </c>
      <c r="R68" s="217">
        <f t="shared" si="1"/>
        <v>1400</v>
      </c>
      <c r="S68" s="361" t="str">
        <f t="shared" si="2"/>
        <v>Erro</v>
      </c>
    </row>
    <row r="69" spans="2:19">
      <c r="B69"/>
      <c r="C69" s="233" t="str">
        <f>IF(B69="","",IF(LEN(B69)&gt;9,SUMIFS(Options!$H$3:$H$20,Options!$B$3:$B$20,Check!B69),SUMIFS('Master P&amp;L'!$H$11:$H$84,'Master P&amp;L'!$B$11:$B$84,Check!B69)))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2325</v>
      </c>
      <c r="P69" s="217">
        <f>IF(O69="","",IF(OR(LEFT(O69,4)="Cash",LEFT(O69,4)="Prov"),0,SUMIFS(Input_APM!N:N,Input_APM!L:L,Check!O69)))</f>
        <v>643</v>
      </c>
      <c r="Q69" s="22">
        <f>IF(O69="","",IF(LEN(O69)&gt;9,SUMIFS(Options!$H$3:$H$20,Options!$B$3:$B$20,Check!O69),SUMIFS('Master P&amp;L'!$H$11:$H$84,'Master P&amp;L'!$B$11:$B$84,Check!O69)))</f>
        <v>0</v>
      </c>
      <c r="R69" s="217">
        <f t="shared" si="1"/>
        <v>643</v>
      </c>
      <c r="S69" s="361" t="str">
        <f t="shared" si="2"/>
        <v>Erro</v>
      </c>
    </row>
    <row r="70" spans="2:19">
      <c r="B70"/>
      <c r="C70" s="233" t="str">
        <f>IF(B70="","",IF(LEN(B70)&gt;9,SUMIFS(Options!$H$3:$H$20,Options!$B$3:$B$20,Check!B70),SUMIFS('Master P&amp;L'!$H$11:$H$84,'Master P&amp;L'!$B$11:$B$84,Check!B70)))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2409</v>
      </c>
      <c r="P70" s="217">
        <f>IF(O70="","",IF(OR(LEFT(O70,4)="Cash",LEFT(O70,4)="Prov"),0,SUMIFS(Input_APM!N:N,Input_APM!L:L,Check!O70)))</f>
        <v>2470</v>
      </c>
      <c r="Q70" s="22">
        <f>IF(O70="","",IF(LEN(O70)&gt;9,SUMIFS(Options!$H$3:$H$20,Options!$B$3:$B$20,Check!O70),SUMIFS('Master P&amp;L'!$H$11:$H$84,'Master P&amp;L'!$B$11:$B$84,Check!O70)))</f>
        <v>0</v>
      </c>
      <c r="R70" s="217">
        <f t="shared" ref="R70:R99" si="10">IF(O70="","",P70-Q70)</f>
        <v>2470</v>
      </c>
      <c r="S70" s="361" t="str">
        <f t="shared" ref="S70:S133" si="11">IF(O70="","",IF((P70+Q70)=0,"Ok",IF(OR(P70=0,Q70=0),"Erro",P70/Q70)))</f>
        <v>Erro</v>
      </c>
    </row>
    <row r="71" spans="2:19">
      <c r="B71"/>
      <c r="C71" s="233" t="str">
        <f>IF(B71="","",IF(LEN(B71)&gt;9,SUMIFS(Options!$H$3:$H$20,Options!$B$3:$B$20,Check!B71),SUMIFS('Master P&amp;L'!$H$11:$H$84,'Master P&amp;L'!$B$11:$B$84,Check!B71)))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2411</v>
      </c>
      <c r="P71" s="217">
        <f>IF(O71="","",IF(OR(LEFT(O71,4)="Cash",LEFT(O71,4)="Prov"),0,SUMIFS(Input_APM!N:N,Input_APM!L:L,Check!O71)))</f>
        <v>9090840</v>
      </c>
      <c r="Q71" s="22">
        <f>IF(O71="","",IF(LEN(O71)&gt;9,SUMIFS(Options!$H$3:$H$20,Options!$B$3:$B$20,Check!O71),SUMIFS('Master P&amp;L'!$H$11:$H$84,'Master P&amp;L'!$B$11:$B$84,Check!O71)))</f>
        <v>0</v>
      </c>
      <c r="R71" s="217">
        <f t="shared" si="10"/>
        <v>9090840</v>
      </c>
      <c r="S71" s="361" t="str">
        <f t="shared" si="11"/>
        <v>Erro</v>
      </c>
    </row>
    <row r="72" spans="2:19">
      <c r="B72"/>
      <c r="C72" s="233" t="str">
        <f>IF(B72="","",IF(LEN(B72)&gt;9,SUMIFS(Options!$H$3:$H$20,Options!$B$3:$B$20,Check!B72),SUMIFS('Master P&amp;L'!$H$11:$H$84,'Master P&amp;L'!$B$11:$B$84,Check!B72)))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96</v>
      </c>
      <c r="P72" s="217">
        <f>IF(O72="","",IF(OR(LEFT(O72,4)="Cash",LEFT(O72,4)="Prov"),0,SUMIFS(Input_APM!N:N,Input_APM!L:L,Check!O72)))</f>
        <v>4838</v>
      </c>
      <c r="Q72" s="22">
        <f>IF(O72="","",IF(LEN(O72)&gt;9,SUMIFS(Options!$H$3:$H$20,Options!$B$3:$B$20,Check!O72),SUMIFS('Master P&amp;L'!$H$11:$H$84,'Master P&amp;L'!$B$11:$B$84,Check!O72)))</f>
        <v>5198</v>
      </c>
      <c r="R72" s="217">
        <f t="shared" si="10"/>
        <v>-360</v>
      </c>
      <c r="S72" s="361">
        <f t="shared" si="11"/>
        <v>0.93074259330511733</v>
      </c>
    </row>
    <row r="73" spans="2:19">
      <c r="B73"/>
      <c r="C73" s="233" t="str">
        <f>IF(B73="","",IF(LEN(B73)&gt;9,SUMIFS(Options!$H$3:$H$20,Options!$B$3:$B$20,Check!B73),SUMIFS('Master P&amp;L'!$H$11:$H$84,'Master P&amp;L'!$B$11:$B$84,Check!B73)))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2225</v>
      </c>
      <c r="P73" s="217">
        <f>IF(O73="","",IF(OR(LEFT(O73,4)="Cash",LEFT(O73,4)="Prov"),0,SUMIFS(Input_APM!N:N,Input_APM!L:L,Check!O73)))</f>
        <v>1453</v>
      </c>
      <c r="Q73" s="22">
        <f>IF(O73="","",IF(LEN(O73)&gt;9,SUMIFS(Options!$H$3:$H$20,Options!$B$3:$B$20,Check!O73),SUMIFS('Master P&amp;L'!$H$11:$H$84,'Master P&amp;L'!$B$11:$B$84,Check!O73)))</f>
        <v>1550</v>
      </c>
      <c r="R73" s="217">
        <f t="shared" si="10"/>
        <v>-97</v>
      </c>
      <c r="S73" s="361">
        <f t="shared" si="11"/>
        <v>0.93741935483870964</v>
      </c>
    </row>
    <row r="74" spans="2:19">
      <c r="B74"/>
      <c r="C74" s="233" t="str">
        <f>IF(B74="","",IF(LEN(B74)&gt;9,SUMIFS(Options!$H$3:$H$20,Options!$B$3:$B$20,Check!B74),SUMIFS('Master P&amp;L'!$H$11:$H$84,'Master P&amp;L'!$B$11:$B$84,Check!B74)))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2226</v>
      </c>
      <c r="P74" s="217">
        <f>IF(O74="","",IF(OR(LEFT(O74,4)="Cash",LEFT(O74,4)="Prov"),0,SUMIFS(Input_APM!N:N,Input_APM!L:L,Check!O74)))</f>
        <v>-1295</v>
      </c>
      <c r="Q74" s="22">
        <f>IF(O74="","",IF(LEN(O74)&gt;9,SUMIFS(Options!$H$3:$H$20,Options!$B$3:$B$20,Check!O74),SUMIFS('Master P&amp;L'!$H$11:$H$84,'Master P&amp;L'!$B$11:$B$84,Check!O74)))</f>
        <v>-1275</v>
      </c>
      <c r="R74" s="217">
        <f t="shared" si="10"/>
        <v>-20</v>
      </c>
      <c r="S74" s="361">
        <f t="shared" si="11"/>
        <v>1.0156862745098039</v>
      </c>
    </row>
    <row r="75" spans="2:19">
      <c r="B75"/>
      <c r="C75" s="233" t="str">
        <f>IF(B75="","",IF(LEN(B75)&gt;9,SUMIFS(Options!$H$3:$H$20,Options!$B$3:$B$20,Check!B75),SUMIFS('Master P&amp;L'!$H$11:$H$84,'Master P&amp;L'!$B$11:$B$84,Check!B75)))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 t="s">
        <v>83</v>
      </c>
      <c r="P75" s="217">
        <f>IF(O75="","",IF(OR(LEFT(O75,4)="Cash",LEFT(O75,4)="Prov"),0,SUMIFS(Input_APM!N:N,Input_APM!L:L,Check!O75)))</f>
        <v>0</v>
      </c>
      <c r="Q75" s="22">
        <f>IF(O75="","",IF(LEN(O75)&gt;9,SUMIFS(Options!$H$3:$H$20,Options!$B$3:$B$20,Check!O75),SUMIFS('Master P&amp;L'!$H$11:$H$84,'Master P&amp;L'!$B$11:$B$84,Check!O75)))</f>
        <v>0</v>
      </c>
      <c r="R75" s="217">
        <f t="shared" si="10"/>
        <v>0</v>
      </c>
      <c r="S75" s="361" t="str">
        <f t="shared" si="11"/>
        <v>Ok</v>
      </c>
    </row>
    <row r="76" spans="2:19">
      <c r="B76"/>
      <c r="C76" s="233" t="str">
        <f>IF(B76="","",IF(LEN(B76)&gt;9,SUMIFS(Options!$H$3:$H$20,Options!$B$3:$B$20,Check!B76),SUMIFS('Master P&amp;L'!$H$11:$H$84,'Master P&amp;L'!$B$11:$B$84,Check!B76)))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 t="s">
        <v>88</v>
      </c>
      <c r="P76" s="217">
        <f>IF(O76="","",IF(OR(LEFT(O76,4)="Cash",LEFT(O76,4)="Prov"),0,SUMIFS(Input_APM!N:N,Input_APM!L:L,Check!O76)))</f>
        <v>42865</v>
      </c>
      <c r="Q76" s="22">
        <f>IF(O76="","",IF(LEN(O76)&gt;9,SUMIFS(Options!$H$3:$H$20,Options!$B$3:$B$20,Check!O76),SUMIFS('Master P&amp;L'!$H$11:$H$84,'Master P&amp;L'!$B$11:$B$84,Check!O76)))</f>
        <v>45750</v>
      </c>
      <c r="R76" s="217">
        <f t="shared" si="10"/>
        <v>-2885</v>
      </c>
      <c r="S76" s="361">
        <f t="shared" si="11"/>
        <v>0.93693989071038253</v>
      </c>
    </row>
    <row r="77" spans="2:19">
      <c r="B77"/>
      <c r="C77" s="233" t="str">
        <f>IF(B77="","",IF(LEN(B77)&gt;9,SUMIFS(Options!$H$3:$H$20,Options!$B$3:$B$20,Check!B77),SUMIFS('Master P&amp;L'!$H$11:$H$84,'Master P&amp;L'!$B$11:$B$84,Check!B77)))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 t="s">
        <v>4</v>
      </c>
      <c r="P77" s="217">
        <f>IF(O77="","",IF(OR(LEFT(O77,4)="Cash",LEFT(O77,4)="Prov"),0,SUMIFS(Input_APM!N:N,Input_APM!L:L,Check!O77)))</f>
        <v>-25765</v>
      </c>
      <c r="Q77" s="22">
        <f>IF(O77="","",IF(LEN(O77)&gt;9,SUMIFS(Options!$H$3:$H$20,Options!$B$3:$B$20,Check!O77),SUMIFS('Master P&amp;L'!$H$11:$H$84,'Master P&amp;L'!$B$11:$B$84,Check!O77)))</f>
        <v>-27500</v>
      </c>
      <c r="R77" s="217">
        <f t="shared" si="10"/>
        <v>1735</v>
      </c>
      <c r="S77" s="361">
        <f t="shared" si="11"/>
        <v>0.93690909090909091</v>
      </c>
    </row>
    <row r="78" spans="2:19">
      <c r="B78"/>
      <c r="C78" s="233" t="str">
        <f>IF(B78="","",IF(LEN(B78)&gt;9,SUMIFS(Options!$H$3:$H$20,Options!$B$3:$B$20,Check!B78),SUMIFS('Master P&amp;L'!$H$11:$H$84,'Master P&amp;L'!$B$11:$B$84,Check!B78)))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 t="s">
        <v>2456</v>
      </c>
      <c r="P78" s="217">
        <f>IF(O78="","",IF(OR(LEFT(O78,4)="Cash",LEFT(O78,4)="Prov"),0,SUMIFS(Input_APM!N:N,Input_APM!L:L,Check!O78)))</f>
        <v>-470</v>
      </c>
      <c r="Q78" s="22">
        <f>IF(O78="","",IF(LEN(O78)&gt;9,SUMIFS(Options!$H$3:$H$20,Options!$B$3:$B$20,Check!O78),SUMIFS('Master P&amp;L'!$H$11:$H$84,'Master P&amp;L'!$B$11:$B$84,Check!O78)))</f>
        <v>0</v>
      </c>
      <c r="R78" s="217">
        <f t="shared" si="10"/>
        <v>-470</v>
      </c>
      <c r="S78" s="361" t="str">
        <f t="shared" si="11"/>
        <v>Erro</v>
      </c>
    </row>
    <row r="79" spans="2:19">
      <c r="B79"/>
      <c r="C79" s="233" t="str">
        <f>IF(B79="","",IF(LEN(B79)&gt;9,SUMIFS(Options!$H$3:$H$20,Options!$B$3:$B$20,Check!B79),SUMIFS('Master P&amp;L'!$H$11:$H$84,'Master P&amp;L'!$B$11:$B$84,Check!B79)))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 t="s">
        <v>311</v>
      </c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IF(O79="","",IF(LEN(O79)&gt;9,SUMIFS(Options!$H$3:$H$20,Options!$B$3:$B$20,Check!O79),SUMIFS('Master P&amp;L'!$H$11:$H$84,'Master P&amp;L'!$B$11:$B$84,Check!O79)))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IF(B80="","",IF(LEN(B80)&gt;9,SUMIFS(Options!$H$3:$H$20,Options!$B$3:$B$20,Check!B80),SUMIFS('Master P&amp;L'!$H$11:$H$84,'Master P&amp;L'!$B$11:$B$84,Check!B80)))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IF(O80="","",IF(LEN(O80)&gt;9,SUMIFS(Options!$H$3:$H$20,Options!$B$3:$B$20,Check!O80),SUMIFS('Master P&amp;L'!$H$11:$H$84,'Master P&amp;L'!$B$11:$B$84,Check!O80)))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IF(B81="","",IF(LEN(B81)&gt;9,SUMIFS(Options!$H$3:$H$20,Options!$B$3:$B$20,Check!B81),SUMIFS('Master P&amp;L'!$H$11:$H$84,'Master P&amp;L'!$B$11:$B$84,Check!B81)))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IF(O81="","",IF(LEN(O81)&gt;9,SUMIFS(Options!$H$3:$H$20,Options!$B$3:$B$20,Check!O81),SUMIFS('Master P&amp;L'!$H$11:$H$84,'Master P&amp;L'!$B$11:$B$84,Check!O81)))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IF(B82="","",IF(LEN(B82)&gt;9,SUMIFS(Options!$H$3:$H$20,Options!$B$3:$B$20,Check!B82),SUMIFS('Master P&amp;L'!$H$11:$H$84,'Master P&amp;L'!$B$11:$B$84,Check!B82)))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IF(O82="","",IF(LEN(O82)&gt;9,SUMIFS(Options!$H$3:$H$20,Options!$B$3:$B$20,Check!O82),SUMIFS('Master P&amp;L'!$H$11:$H$84,'Master P&amp;L'!$B$11:$B$84,Check!O82)))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IF(B83="","",IF(LEN(B83)&gt;9,SUMIFS(Options!$H$3:$H$20,Options!$B$3:$B$20,Check!B83),SUMIFS('Master P&amp;L'!$H$11:$H$84,'Master P&amp;L'!$B$11:$B$84,Check!B83)))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IF(O83="","",IF(LEN(O83)&gt;9,SUMIFS(Options!$H$3:$H$20,Options!$B$3:$B$20,Check!O83),SUMIFS('Master P&amp;L'!$H$11:$H$84,'Master P&amp;L'!$B$11:$B$84,Check!O83)))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IF(B84="","",IF(LEN(B84)&gt;9,SUMIFS(Options!$H$3:$H$20,Options!$B$3:$B$20,Check!B84),SUMIFS('Master P&amp;L'!$H$11:$H$84,'Master P&amp;L'!$B$11:$B$84,Check!B84)))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IF(O84="","",IF(LEN(O84)&gt;9,SUMIFS(Options!$H$3:$H$20,Options!$B$3:$B$20,Check!O84),SUMIFS('Master P&amp;L'!$H$11:$H$84,'Master P&amp;L'!$B$11:$B$84,Check!O84)))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IF(B85="","",IF(LEN(B85)&gt;9,SUMIFS(Options!$H$3:$H$20,Options!$B$3:$B$20,Check!B85),SUMIFS('Master P&amp;L'!$H$11:$H$84,'Master P&amp;L'!$B$11:$B$84,Check!B85)))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IF(O85="","",IF(LEN(O85)&gt;9,SUMIFS(Options!$H$3:$H$20,Options!$B$3:$B$20,Check!O85),SUMIFS('Master P&amp;L'!$H$11:$H$84,'Master P&amp;L'!$B$11:$B$84,Check!O85)))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IF(B86="","",IF(LEN(B86)&gt;9,SUMIFS(Options!$H$3:$H$20,Options!$B$3:$B$20,Check!B86),SUMIFS('Master P&amp;L'!$H$11:$H$84,'Master P&amp;L'!$B$11:$B$84,Check!B86)))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IF(O86="","",IF(LEN(O86)&gt;9,SUMIFS(Options!$H$3:$H$20,Options!$B$3:$B$20,Check!O86),SUMIFS('Master P&amp;L'!$H$11:$H$84,'Master P&amp;L'!$B$11:$B$84,Check!O86)))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IF(B87="","",IF(LEN(B87)&gt;9,SUMIFS(Options!$H$3:$H$20,Options!$B$3:$B$20,Check!B87),SUMIFS('Master P&amp;L'!$H$11:$H$84,'Master P&amp;L'!$B$11:$B$84,Check!B87)))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IF(O87="","",IF(LEN(O87)&gt;9,SUMIFS(Options!$H$3:$H$20,Options!$B$3:$B$20,Check!O87),SUMIFS('Master P&amp;L'!$H$11:$H$84,'Master P&amp;L'!$B$11:$B$84,Check!O87)))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IF(B88="","",IF(LEN(B88)&gt;9,SUMIFS(Options!$H$3:$H$20,Options!$B$3:$B$20,Check!B88),SUMIFS('Master P&amp;L'!$H$11:$H$84,'Master P&amp;L'!$B$11:$B$84,Check!B88)))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IF(O88="","",IF(LEN(O88)&gt;9,SUMIFS(Options!$H$3:$H$20,Options!$B$3:$B$20,Check!O88),SUMIFS('Master P&amp;L'!$H$11:$H$84,'Master P&amp;L'!$B$11:$B$84,Check!O88)))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IF(B89="","",IF(LEN(B89)&gt;9,SUMIFS(Options!$H$3:$H$20,Options!$B$3:$B$20,Check!B89),SUMIFS('Master P&amp;L'!$H$11:$H$84,'Master P&amp;L'!$B$11:$B$84,Check!B89)))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IF(O89="","",IF(LEN(O89)&gt;9,SUMIFS(Options!$H$3:$H$20,Options!$B$3:$B$20,Check!O89),SUMIFS('Master P&amp;L'!$H$11:$H$84,'Master P&amp;L'!$B$11:$B$84,Check!O89)))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IF(B90="","",IF(LEN(B90)&gt;9,SUMIFS(Options!$H$3:$H$20,Options!$B$3:$B$20,Check!B90),SUMIFS('Master P&amp;L'!$H$11:$H$84,'Master P&amp;L'!$B$11:$B$84,Check!B90)))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IF(O90="","",IF(LEN(O90)&gt;9,SUMIFS(Options!$H$3:$H$20,Options!$B$3:$B$20,Check!O90),SUMIFS('Master P&amp;L'!$H$11:$H$84,'Master P&amp;L'!$B$11:$B$84,Check!O90)))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IF(B91="","",IF(LEN(B91)&gt;9,SUMIFS(Options!$H$3:$H$20,Options!$B$3:$B$20,Check!B91),SUMIFS('Master P&amp;L'!$H$11:$H$84,'Master P&amp;L'!$B$11:$B$84,Check!B91)))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IF(O91="","",IF(LEN(O91)&gt;9,SUMIFS(Options!$H$3:$H$20,Options!$B$3:$B$20,Check!O91),SUMIFS('Master P&amp;L'!$H$11:$H$84,'Master P&amp;L'!$B$11:$B$84,Check!O91)))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IF(B92="","",IF(LEN(B92)&gt;9,SUMIFS(Options!$H$3:$H$20,Options!$B$3:$B$20,Check!B92),SUMIFS('Master P&amp;L'!$H$11:$H$84,'Master P&amp;L'!$B$11:$B$84,Check!B92)))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IF(O92="","",IF(LEN(O92)&gt;9,SUMIFS(Options!$H$3:$H$20,Options!$B$3:$B$20,Check!O92),SUMIFS('Master P&amp;L'!$H$11:$H$84,'Master P&amp;L'!$B$11:$B$84,Check!O92)))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IF(B93="","",IF(LEN(B93)&gt;9,SUMIFS(Options!$H$3:$H$20,Options!$B$3:$B$20,Check!B93),SUMIFS('Master P&amp;L'!$H$11:$H$84,'Master P&amp;L'!$B$11:$B$84,Check!B93)))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IF(O93="","",IF(LEN(O93)&gt;9,SUMIFS(Options!$H$3:$H$20,Options!$B$3:$B$20,Check!O93),SUMIFS('Master P&amp;L'!$H$11:$H$84,'Master P&amp;L'!$B$11:$B$84,Check!O93)))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IF(B94="","",IF(LEN(B94)&gt;9,SUMIFS(Options!$H$3:$H$20,Options!$B$3:$B$20,Check!B94),SUMIFS('Master P&amp;L'!$H$11:$H$84,'Master P&amp;L'!$B$11:$B$84,Check!B94)))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IF(O94="","",IF(LEN(O94)&gt;9,SUMIFS(Options!$H$3:$H$20,Options!$B$3:$B$20,Check!O94),SUMIFS('Master P&amp;L'!$H$11:$H$84,'Master P&amp;L'!$B$11:$B$84,Check!O94)))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IF(B95="","",IF(LEN(B95)&gt;9,SUMIFS(Options!$H$3:$H$20,Options!$B$3:$B$20,Check!B95),SUMIFS('Master P&amp;L'!$H$11:$H$84,'Master P&amp;L'!$B$11:$B$84,Check!B95)))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IF(O95="","",IF(LEN(O95)&gt;9,SUMIFS(Options!$H$3:$H$20,Options!$B$3:$B$20,Check!O95),SUMIFS('Master P&amp;L'!$H$11:$H$84,'Master P&amp;L'!$B$11:$B$84,Check!O95)))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IF(B96="","",IF(LEN(B96)&gt;9,SUMIFS(Options!$H$3:$H$20,Options!$B$3:$B$20,Check!B96),SUMIFS('Master P&amp;L'!$H$11:$H$84,'Master P&amp;L'!$B$11:$B$84,Check!B96)))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IF(O96="","",IF(LEN(O96)&gt;9,SUMIFS(Options!$H$3:$H$20,Options!$B$3:$B$20,Check!O96),SUMIFS('Master P&amp;L'!$H$11:$H$84,'Master P&amp;L'!$B$11:$B$84,Check!O96)))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IF(B97="","",IF(LEN(B97)&gt;9,SUMIFS(Options!$H$3:$H$20,Options!$B$3:$B$20,Check!B97),SUMIFS('Master P&amp;L'!$H$11:$H$84,'Master P&amp;L'!$B$11:$B$84,Check!B97)))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IF(O97="","",IF(LEN(O97)&gt;9,SUMIFS(Options!$H$3:$H$20,Options!$B$3:$B$20,Check!O97),SUMIFS('Master P&amp;L'!$H$11:$H$84,'Master P&amp;L'!$B$11:$B$84,Check!O97)))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IF(B98="","",IF(LEN(B98)&gt;9,SUMIFS(Options!$H$3:$H$20,Options!$B$3:$B$20,Check!B98),SUMIFS('Master P&amp;L'!$H$11:$H$84,'Master P&amp;L'!$B$11:$B$84,Check!B98)))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IF(O98="","",IF(LEN(O98)&gt;9,SUMIFS(Options!$H$3:$H$20,Options!$B$3:$B$20,Check!O98),SUMIFS('Master P&amp;L'!$H$11:$H$84,'Master P&amp;L'!$B$11:$B$84,Check!O98)))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IF(B99="","",IF(LEN(B99)&gt;9,SUMIFS(Options!$H$3:$H$20,Options!$B$3:$B$20,Check!B99),SUMIFS('Master P&amp;L'!$H$11:$H$84,'Master P&amp;L'!$B$11:$B$84,Check!B99)))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IF(O99="","",IF(LEN(O99)&gt;9,SUMIFS(Options!$H$3:$H$20,Options!$B$3:$B$20,Check!O99),SUMIFS('Master P&amp;L'!$H$11:$H$84,'Master P&amp;L'!$B$11:$B$84,Check!O99)))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IF(B100="","",IF(LEN(B100)&gt;9,SUMIFS(Options!$H$3:$H$20,Options!$B$3:$B$20,Check!B100),SUMIFS('Master P&amp;L'!$H$11:$H$84,'Master P&amp;L'!$B$11:$B$84,Check!B100)))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IF(O100="","",IF(LEN(O100)&gt;9,SUMIFS(Options!$H$3:$H$20,Options!$B$3:$B$20,Check!O100),SUMIFS('Master P&amp;L'!$H$11:$H$84,'Master P&amp;L'!$B$11:$B$84,Check!O100)))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IF(B101="","",IF(LEN(B101)&gt;9,SUMIFS(Options!$H$3:$H$20,Options!$B$3:$B$20,Check!B101),SUMIFS('Master P&amp;L'!$H$11:$H$84,'Master P&amp;L'!$B$11:$B$84,Check!B101)))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IF(O101="","",IF(LEN(O101)&gt;9,SUMIFS(Options!$H$3:$H$20,Options!$B$3:$B$20,Check!O101),SUMIFS('Master P&amp;L'!$H$11:$H$84,'Master P&amp;L'!$B$11:$B$84,Check!O101)))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IF(B102="","",IF(LEN(B102)&gt;9,SUMIFS(Options!$H$3:$H$20,Options!$B$3:$B$20,Check!B102),SUMIFS('Master P&amp;L'!$H$11:$H$84,'Master P&amp;L'!$B$11:$B$84,Check!B102)))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IF(O102="","",IF(LEN(O102)&gt;9,SUMIFS(Options!$H$3:$H$20,Options!$B$3:$B$20,Check!O102),SUMIFS('Master P&amp;L'!$H$11:$H$84,'Master P&amp;L'!$B$11:$B$84,Check!O102)))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IF(B103="","",IF(LEN(B103)&gt;9,SUMIFS(Options!$H$3:$H$20,Options!$B$3:$B$20,Check!B103),SUMIFS('Master P&amp;L'!$H$11:$H$84,'Master P&amp;L'!$B$11:$B$84,Check!B103)))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IF(O103="","",IF(LEN(O103)&gt;9,SUMIFS(Options!$H$3:$H$20,Options!$B$3:$B$20,Check!O103),SUMIFS('Master P&amp;L'!$H$11:$H$84,'Master P&amp;L'!$B$11:$B$84,Check!O103)))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IF(B104="","",IF(LEN(B104)&gt;9,SUMIFS(Options!$H$3:$H$20,Options!$B$3:$B$20,Check!B104),SUMIFS('Master P&amp;L'!$H$11:$H$84,'Master P&amp;L'!$B$11:$B$84,Check!B104)))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IF(O104="","",IF(LEN(O104)&gt;9,SUMIFS(Options!$H$3:$H$20,Options!$B$3:$B$20,Check!O104),SUMIFS('Master P&amp;L'!$H$11:$H$84,'Master P&amp;L'!$B$11:$B$84,Check!O104)))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IF(B105="","",IF(LEN(B105)&gt;9,SUMIFS(Options!$H$3:$H$20,Options!$B$3:$B$20,Check!B105),SUMIFS('Master P&amp;L'!$H$11:$H$84,'Master P&amp;L'!$B$11:$B$84,Check!B105)))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IF(O105="","",IF(LEN(O105)&gt;9,SUMIFS(Options!$H$3:$H$20,Options!$B$3:$B$20,Check!O105),SUMIFS('Master P&amp;L'!$H$11:$H$84,'Master P&amp;L'!$B$11:$B$84,Check!O105)))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IF(B106="","",IF(LEN(B106)&gt;9,SUMIFS(Options!$H$3:$H$20,Options!$B$3:$B$20,Check!B106),SUMIFS('Master P&amp;L'!$H$11:$H$84,'Master P&amp;L'!$B$11:$B$84,Check!B106)))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IF(O106="","",IF(LEN(O106)&gt;9,SUMIFS(Options!$H$3:$H$20,Options!$B$3:$B$20,Check!O106),SUMIFS('Master P&amp;L'!$H$11:$H$84,'Master P&amp;L'!$B$11:$B$84,Check!O106)))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IF(B107="","",IF(LEN(B107)&gt;9,SUMIFS(Options!$H$3:$H$20,Options!$B$3:$B$20,Check!B107),SUMIFS('Master P&amp;L'!$H$11:$H$84,'Master P&amp;L'!$B$11:$B$84,Check!B107)))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IF(O107="","",IF(LEN(O107)&gt;9,SUMIFS(Options!$H$3:$H$20,Options!$B$3:$B$20,Check!O107),SUMIFS('Master P&amp;L'!$H$11:$H$84,'Master P&amp;L'!$B$11:$B$84,Check!O107)))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IF(B108="","",IF(LEN(B108)&gt;9,SUMIFS(Options!$H$3:$H$20,Options!$B$3:$B$20,Check!B108),SUMIFS('Master P&amp;L'!$H$11:$H$84,'Master P&amp;L'!$B$11:$B$84,Check!B108)))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IF(O108="","",IF(LEN(O108)&gt;9,SUMIFS(Options!$H$3:$H$20,Options!$B$3:$B$20,Check!O108),SUMIFS('Master P&amp;L'!$H$11:$H$84,'Master P&amp;L'!$B$11:$B$84,Check!O108)))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IF(B109="","",IF(LEN(B109)&gt;9,SUMIFS(Options!$H$3:$H$20,Options!$B$3:$B$20,Check!B109),SUMIFS('Master P&amp;L'!$H$11:$H$84,'Master P&amp;L'!$B$11:$B$84,Check!B109)))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IF(O109="","",IF(LEN(O109)&gt;9,SUMIFS(Options!$H$3:$H$20,Options!$B$3:$B$20,Check!O109),SUMIFS('Master P&amp;L'!$H$11:$H$84,'Master P&amp;L'!$B$11:$B$84,Check!O109)))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IF(B110="","",IF(LEN(B110)&gt;9,SUMIFS(Options!$H$3:$H$20,Options!$B$3:$B$20,Check!B110),SUMIFS('Master P&amp;L'!$H$11:$H$84,'Master P&amp;L'!$B$11:$B$84,Check!B110)))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IF(O110="","",IF(LEN(O110)&gt;9,SUMIFS(Options!$H$3:$H$20,Options!$B$3:$B$20,Check!O110),SUMIFS('Master P&amp;L'!$H$11:$H$84,'Master P&amp;L'!$B$11:$B$84,Check!O110)))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IF(B111="","",IF(LEN(B111)&gt;9,SUMIFS(Options!$H$3:$H$20,Options!$B$3:$B$20,Check!B111),SUMIFS('Master P&amp;L'!$H$11:$H$84,'Master P&amp;L'!$B$11:$B$84,Check!B111)))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IF(O111="","",IF(LEN(O111)&gt;9,SUMIFS(Options!$H$3:$H$20,Options!$B$3:$B$20,Check!O111),SUMIFS('Master P&amp;L'!$H$11:$H$84,'Master P&amp;L'!$B$11:$B$84,Check!O111)))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IF(B112="","",IF(LEN(B112)&gt;9,SUMIFS(Options!$H$3:$H$20,Options!$B$3:$B$20,Check!B112),SUMIFS('Master P&amp;L'!$H$11:$H$84,'Master P&amp;L'!$B$11:$B$84,Check!B112)))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IF(O112="","",IF(LEN(O112)&gt;9,SUMIFS(Options!$H$3:$H$20,Options!$B$3:$B$20,Check!O112),SUMIFS('Master P&amp;L'!$H$11:$H$84,'Master P&amp;L'!$B$11:$B$84,Check!O112)))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IF(B113="","",IF(LEN(B113)&gt;9,SUMIFS(Options!$H$3:$H$20,Options!$B$3:$B$20,Check!B113),SUMIFS('Master P&amp;L'!$H$11:$H$84,'Master P&amp;L'!$B$11:$B$84,Check!B113)))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IF(O113="","",IF(LEN(O113)&gt;9,SUMIFS(Options!$H$3:$H$20,Options!$B$3:$B$20,Check!O113),SUMIFS('Master P&amp;L'!$H$11:$H$84,'Master P&amp;L'!$B$11:$B$84,Check!O113)))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IF(B114="","",IF(LEN(B114)&gt;9,SUMIFS(Options!$H$3:$H$20,Options!$B$3:$B$20,Check!B114),SUMIFS('Master P&amp;L'!$H$11:$H$84,'Master P&amp;L'!$B$11:$B$84,Check!B114)))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IF(O114="","",IF(LEN(O114)&gt;9,SUMIFS(Options!$H$3:$H$20,Options!$B$3:$B$20,Check!O114),SUMIFS('Master P&amp;L'!$H$11:$H$84,'Master P&amp;L'!$B$11:$B$84,Check!O114)))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IF(B115="","",IF(LEN(B115)&gt;9,SUMIFS(Options!$H$3:$H$20,Options!$B$3:$B$20,Check!B115),SUMIFS('Master P&amp;L'!$H$11:$H$84,'Master P&amp;L'!$B$11:$B$84,Check!B115)))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IF(O115="","",IF(LEN(O115)&gt;9,SUMIFS(Options!$H$3:$H$20,Options!$B$3:$B$20,Check!O115),SUMIFS('Master P&amp;L'!$H$11:$H$84,'Master P&amp;L'!$B$11:$B$84,Check!O115)))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IF(B116="","",IF(LEN(B116)&gt;9,SUMIFS(Options!$H$3:$H$20,Options!$B$3:$B$20,Check!B116),SUMIFS('Master P&amp;L'!$H$11:$H$84,'Master P&amp;L'!$B$11:$B$84,Check!B116)))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IF(O116="","",IF(LEN(O116)&gt;9,SUMIFS(Options!$H$3:$H$20,Options!$B$3:$B$20,Check!O116),SUMIFS('Master P&amp;L'!$H$11:$H$84,'Master P&amp;L'!$B$11:$B$84,Check!O116)))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IF(B117="","",IF(LEN(B117)&gt;9,SUMIFS(Options!$H$3:$H$20,Options!$B$3:$B$20,Check!B117),SUMIFS('Master P&amp;L'!$H$11:$H$84,'Master P&amp;L'!$B$11:$B$84,Check!B117)))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IF(O117="","",IF(LEN(O117)&gt;9,SUMIFS(Options!$H$3:$H$20,Options!$B$3:$B$20,Check!O117),SUMIFS('Master P&amp;L'!$H$11:$H$84,'Master P&amp;L'!$B$11:$B$84,Check!O117)))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IF(B118="","",IF(LEN(B118)&gt;9,SUMIFS(Options!$H$3:$H$20,Options!$B$3:$B$20,Check!B118),SUMIFS('Master P&amp;L'!$H$11:$H$84,'Master P&amp;L'!$B$11:$B$84,Check!B118)))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IF(O118="","",IF(LEN(O118)&gt;9,SUMIFS(Options!$H$3:$H$20,Options!$B$3:$B$20,Check!O118),SUMIFS('Master P&amp;L'!$H$11:$H$84,'Master P&amp;L'!$B$11:$B$84,Check!O118)))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IF(B119="","",IF(LEN(B119)&gt;9,SUMIFS(Options!$H$3:$H$20,Options!$B$3:$B$20,Check!B119),SUMIFS('Master P&amp;L'!$H$11:$H$84,'Master P&amp;L'!$B$11:$B$84,Check!B119)))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IF(O119="","",IF(LEN(O119)&gt;9,SUMIFS(Options!$H$3:$H$20,Options!$B$3:$B$20,Check!O119),SUMIFS('Master P&amp;L'!$H$11:$H$84,'Master P&amp;L'!$B$11:$B$84,Check!O119)))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IF(B120="","",IF(LEN(B120)&gt;9,SUMIFS(Options!$H$3:$H$20,Options!$B$3:$B$20,Check!B120),SUMIFS('Master P&amp;L'!$H$11:$H$84,'Master P&amp;L'!$B$11:$B$84,Check!B120)))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IF(O120="","",IF(LEN(O120)&gt;9,SUMIFS(Options!$H$3:$H$20,Options!$B$3:$B$20,Check!O120),SUMIFS('Master P&amp;L'!$H$11:$H$84,'Master P&amp;L'!$B$11:$B$84,Check!O120)))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IF(B121="","",IF(LEN(B121)&gt;9,SUMIFS(Options!$H$3:$H$20,Options!$B$3:$B$20,Check!B121),SUMIFS('Master P&amp;L'!$H$11:$H$84,'Master P&amp;L'!$B$11:$B$84,Check!B121)))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IF(O121="","",IF(LEN(O121)&gt;9,SUMIFS(Options!$H$3:$H$20,Options!$B$3:$B$20,Check!O121),SUMIFS('Master P&amp;L'!$H$11:$H$84,'Master P&amp;L'!$B$11:$B$84,Check!O121)))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IF(B122="","",IF(LEN(B122)&gt;9,SUMIFS(Options!$H$3:$H$20,Options!$B$3:$B$20,Check!B122),SUMIFS('Master P&amp;L'!$H$11:$H$84,'Master P&amp;L'!$B$11:$B$84,Check!B122)))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IF(O122="","",IF(LEN(O122)&gt;9,SUMIFS(Options!$H$3:$H$20,Options!$B$3:$B$20,Check!O122),SUMIFS('Master P&amp;L'!$H$11:$H$84,'Master P&amp;L'!$B$11:$B$84,Check!O122)))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IF(B123="","",IF(LEN(B123)&gt;9,SUMIFS(Options!$H$3:$H$20,Options!$B$3:$B$20,Check!B123),SUMIFS('Master P&amp;L'!$H$11:$H$84,'Master P&amp;L'!$B$11:$B$84,Check!B123)))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IF(O123="","",IF(LEN(O123)&gt;9,SUMIFS(Options!$H$3:$H$20,Options!$B$3:$B$20,Check!O123),SUMIFS('Master P&amp;L'!$H$11:$H$84,'Master P&amp;L'!$B$11:$B$84,Check!O123)))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IF(B124="","",IF(LEN(B124)&gt;9,SUMIFS(Options!$H$3:$H$20,Options!$B$3:$B$20,Check!B124),SUMIFS('Master P&amp;L'!$H$11:$H$84,'Master P&amp;L'!$B$11:$B$84,Check!B124)))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IF(O124="","",IF(LEN(O124)&gt;9,SUMIFS(Options!$H$3:$H$20,Options!$B$3:$B$20,Check!O124),SUMIFS('Master P&amp;L'!$H$11:$H$84,'Master P&amp;L'!$B$11:$B$84,Check!O124)))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IF(B125="","",IF(LEN(B125)&gt;9,SUMIFS(Options!$H$3:$H$20,Options!$B$3:$B$20,Check!B125),SUMIFS('Master P&amp;L'!$H$11:$H$84,'Master P&amp;L'!$B$11:$B$84,Check!B125)))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IF(O125="","",IF(LEN(O125)&gt;9,SUMIFS(Options!$H$3:$H$20,Options!$B$3:$B$20,Check!O125),SUMIFS('Master P&amp;L'!$H$11:$H$84,'Master P&amp;L'!$B$11:$B$84,Check!O125)))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IF(B126="","",IF(LEN(B126)&gt;9,SUMIFS(Options!$H$3:$H$20,Options!$B$3:$B$20,Check!B126),SUMIFS('Master P&amp;L'!$H$11:$H$84,'Master P&amp;L'!$B$11:$B$84,Check!B126)))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IF(O126="","",IF(LEN(O126)&gt;9,SUMIFS(Options!$H$3:$H$20,Options!$B$3:$B$20,Check!O126),SUMIFS('Master P&amp;L'!$H$11:$H$84,'Master P&amp;L'!$B$11:$B$84,Check!O126)))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IF(B127="","",IF(LEN(B127)&gt;9,SUMIFS(Options!$H$3:$H$20,Options!$B$3:$B$20,Check!B127),SUMIFS('Master P&amp;L'!$H$11:$H$84,'Master P&amp;L'!$B$11:$B$84,Check!B127)))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IF(O127="","",IF(LEN(O127)&gt;9,SUMIFS(Options!$H$3:$H$20,Options!$B$3:$B$20,Check!O127),SUMIFS('Master P&amp;L'!$H$11:$H$84,'Master P&amp;L'!$B$11:$B$84,Check!O127)))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IF(B128="","",IF(LEN(B128)&gt;9,SUMIFS(Options!$H$3:$H$20,Options!$B$3:$B$20,Check!B128),SUMIFS('Master P&amp;L'!$H$11:$H$84,'Master P&amp;L'!$B$11:$B$84,Check!B128)))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IF(O128="","",IF(LEN(O128)&gt;9,SUMIFS(Options!$H$3:$H$20,Options!$B$3:$B$20,Check!O128),SUMIFS('Master P&amp;L'!$H$11:$H$84,'Master P&amp;L'!$B$11:$B$84,Check!O128)))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IF(B129="","",IF(LEN(B129)&gt;9,SUMIFS(Options!$H$3:$H$20,Options!$B$3:$B$20,Check!B129),SUMIFS('Master P&amp;L'!$H$11:$H$84,'Master P&amp;L'!$B$11:$B$84,Check!B129)))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IF(O129="","",IF(LEN(O129)&gt;9,SUMIFS(Options!$H$3:$H$20,Options!$B$3:$B$20,Check!O129),SUMIFS('Master P&amp;L'!$H$11:$H$84,'Master P&amp;L'!$B$11:$B$84,Check!O129)))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IF(B130="","",IF(LEN(B130)&gt;9,SUMIFS(Options!$H$3:$H$20,Options!$B$3:$B$20,Check!B130),SUMIFS('Master P&amp;L'!$H$11:$H$84,'Master P&amp;L'!$B$11:$B$84,Check!B130)))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IF(O130="","",IF(LEN(O130)&gt;9,SUMIFS(Options!$H$3:$H$20,Options!$B$3:$B$20,Check!O130),SUMIFS('Master P&amp;L'!$H$11:$H$84,'Master P&amp;L'!$B$11:$B$84,Check!O130)))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IF(B131="","",IF(LEN(B131)&gt;9,SUMIFS(Options!$H$3:$H$20,Options!$B$3:$B$20,Check!B131),SUMIFS('Master P&amp;L'!$H$11:$H$84,'Master P&amp;L'!$B$11:$B$84,Check!B131)))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IF(O131="","",IF(LEN(O131)&gt;9,SUMIFS(Options!$H$3:$H$20,Options!$B$3:$B$20,Check!O131),SUMIFS('Master P&amp;L'!$H$11:$H$84,'Master P&amp;L'!$B$11:$B$84,Check!O131)))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IF(B132="","",IF(LEN(B132)&gt;9,SUMIFS(Options!$H$3:$H$20,Options!$B$3:$B$20,Check!B132),SUMIFS('Master P&amp;L'!$H$11:$H$84,'Master P&amp;L'!$B$11:$B$84,Check!B132)))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IF(O132="","",IF(LEN(O132)&gt;9,SUMIFS(Options!$H$3:$H$20,Options!$B$3:$B$20,Check!O132),SUMIFS('Master P&amp;L'!$H$11:$H$84,'Master P&amp;L'!$B$11:$B$84,Check!O132)))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IF(B133="","",IF(LEN(B133)&gt;9,SUMIFS(Options!$H$3:$H$20,Options!$B$3:$B$20,Check!B133),SUMIFS('Master P&amp;L'!$H$11:$H$84,'Master P&amp;L'!$B$11:$B$84,Check!B133)))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IF(O133="","",IF(LEN(O133)&gt;9,SUMIFS(Options!$H$3:$H$20,Options!$B$3:$B$20,Check!O133),SUMIFS('Master P&amp;L'!$H$11:$H$84,'Master P&amp;L'!$B$11:$B$84,Check!O133)))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IF(B134="","",IF(LEN(B134)&gt;9,SUMIFS(Options!$H$3:$H$20,Options!$B$3:$B$20,Check!B134),SUMIFS('Master P&amp;L'!$H$11:$H$84,'Master P&amp;L'!$B$11:$B$84,Check!B134)))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IF(O134="","",IF(LEN(O134)&gt;9,SUMIFS(Options!$H$3:$H$20,Options!$B$3:$B$20,Check!O134),SUMIFS('Master P&amp;L'!$H$11:$H$84,'Master P&amp;L'!$B$11:$B$84,Check!O134)))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IF(B135="","",IF(LEN(B135)&gt;9,SUMIFS(Options!$H$3:$H$20,Options!$B$3:$B$20,Check!B135),SUMIFS('Master P&amp;L'!$H$11:$H$84,'Master P&amp;L'!$B$11:$B$84,Check!B135)))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IF(O135="","",IF(LEN(O135)&gt;9,SUMIFS(Options!$H$3:$H$20,Options!$B$3:$B$20,Check!O135),SUMIFS('Master P&amp;L'!$H$11:$H$84,'Master P&amp;L'!$B$11:$B$84,Check!O135)))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IF(B136="","",IF(LEN(B136)&gt;9,SUMIFS(Options!$H$3:$H$20,Options!$B$3:$B$20,Check!B136),SUMIFS('Master P&amp;L'!$H$11:$H$84,'Master P&amp;L'!$B$11:$B$84,Check!B136)))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IF(O136="","",IF(LEN(O136)&gt;9,SUMIFS(Options!$H$3:$H$20,Options!$B$3:$B$20,Check!O136),SUMIFS('Master P&amp;L'!$H$11:$H$84,'Master P&amp;L'!$B$11:$B$84,Check!O136)))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IF(B137="","",IF(LEN(B137)&gt;9,SUMIFS(Options!$H$3:$H$20,Options!$B$3:$B$20,Check!B137),SUMIFS('Master P&amp;L'!$H$11:$H$84,'Master P&amp;L'!$B$11:$B$84,Check!B137)))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IF(O137="","",IF(LEN(O137)&gt;9,SUMIFS(Options!$H$3:$H$20,Options!$B$3:$B$20,Check!O137),SUMIFS('Master P&amp;L'!$H$11:$H$84,'Master P&amp;L'!$B$11:$B$84,Check!O137)))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IF(B138="","",IF(LEN(B138)&gt;9,SUMIFS(Options!$H$3:$H$20,Options!$B$3:$B$20,Check!B138),SUMIFS('Master P&amp;L'!$H$11:$H$84,'Master P&amp;L'!$B$11:$B$84,Check!B138)))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IF(O138="","",IF(LEN(O138)&gt;9,SUMIFS(Options!$H$3:$H$20,Options!$B$3:$B$20,Check!O138),SUMIFS('Master P&amp;L'!$H$11:$H$84,'Master P&amp;L'!$B$11:$B$84,Check!O138)))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IF(B139="","",IF(LEN(B139)&gt;9,SUMIFS(Options!$H$3:$H$20,Options!$B$3:$B$20,Check!B139),SUMIFS('Master P&amp;L'!$H$11:$H$84,'Master P&amp;L'!$B$11:$B$84,Check!B139)))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IF(O139="","",IF(LEN(O139)&gt;9,SUMIFS(Options!$H$3:$H$20,Options!$B$3:$B$20,Check!O139),SUMIFS('Master P&amp;L'!$H$11:$H$84,'Master P&amp;L'!$B$11:$B$84,Check!O139)))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IF(B140="","",IF(LEN(B140)&gt;9,SUMIFS(Options!$H$3:$H$20,Options!$B$3:$B$20,Check!B140),SUMIFS('Master P&amp;L'!$H$11:$H$84,'Master P&amp;L'!$B$11:$B$84,Check!B140)))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IF(O140="","",IF(LEN(O140)&gt;9,SUMIFS(Options!$H$3:$H$20,Options!$B$3:$B$20,Check!O140),SUMIFS('Master P&amp;L'!$H$11:$H$84,'Master P&amp;L'!$B$11:$B$84,Check!O140)))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IF(B141="","",IF(LEN(B141)&gt;9,SUMIFS(Options!$H$3:$H$20,Options!$B$3:$B$20,Check!B141),SUMIFS('Master P&amp;L'!$H$11:$H$84,'Master P&amp;L'!$B$11:$B$84,Check!B141)))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IF(O141="","",IF(LEN(O141)&gt;9,SUMIFS(Options!$H$3:$H$20,Options!$B$3:$B$20,Check!O141),SUMIFS('Master P&amp;L'!$H$11:$H$84,'Master P&amp;L'!$B$11:$B$84,Check!O141)))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IF(B142="","",IF(LEN(B142)&gt;9,SUMIFS(Options!$H$3:$H$20,Options!$B$3:$B$20,Check!B142),SUMIFS('Master P&amp;L'!$H$11:$H$84,'Master P&amp;L'!$B$11:$B$84,Check!B142)))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IF(O142="","",IF(LEN(O142)&gt;9,SUMIFS(Options!$H$3:$H$20,Options!$B$3:$B$20,Check!O142),SUMIFS('Master P&amp;L'!$H$11:$H$84,'Master P&amp;L'!$B$11:$B$84,Check!O142)))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IF(B143="","",IF(LEN(B143)&gt;9,SUMIFS(Options!$H$3:$H$20,Options!$B$3:$B$20,Check!B143),SUMIFS('Master P&amp;L'!$H$11:$H$84,'Master P&amp;L'!$B$11:$B$84,Check!B143)))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IF(O143="","",IF(LEN(O143)&gt;9,SUMIFS(Options!$H$3:$H$20,Options!$B$3:$B$20,Check!O143),SUMIFS('Master P&amp;L'!$H$11:$H$84,'Master P&amp;L'!$B$11:$B$84,Check!O143)))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IF(B144="","",IF(LEN(B144)&gt;9,SUMIFS(Options!$H$3:$H$20,Options!$B$3:$B$20,Check!B144),SUMIFS('Master P&amp;L'!$H$11:$H$84,'Master P&amp;L'!$B$11:$B$84,Check!B144)))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IF(O144="","",IF(LEN(O144)&gt;9,SUMIFS(Options!$H$3:$H$20,Options!$B$3:$B$20,Check!O144),SUMIFS('Master P&amp;L'!$H$11:$H$84,'Master P&amp;L'!$B$11:$B$84,Check!O144)))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IF(B145="","",IF(LEN(B145)&gt;9,SUMIFS(Options!$H$3:$H$20,Options!$B$3:$B$20,Check!B145),SUMIFS('Master P&amp;L'!$H$11:$H$84,'Master P&amp;L'!$B$11:$B$84,Check!B145)))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IF(O145="","",IF(LEN(O145)&gt;9,SUMIFS(Options!$H$3:$H$20,Options!$B$3:$B$20,Check!O145),SUMIFS('Master P&amp;L'!$H$11:$H$84,'Master P&amp;L'!$B$11:$B$84,Check!O145)))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IF(B146="","",IF(LEN(B146)&gt;9,SUMIFS(Options!$H$3:$H$20,Options!$B$3:$B$20,Check!B146),SUMIFS('Master P&amp;L'!$H$11:$H$84,'Master P&amp;L'!$B$11:$B$84,Check!B146)))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IF(O146="","",IF(LEN(O146)&gt;9,SUMIFS(Options!$H$3:$H$20,Options!$B$3:$B$20,Check!O146),SUMIFS('Master P&amp;L'!$H$11:$H$84,'Master P&amp;L'!$B$11:$B$84,Check!O146)))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IF(B147="","",IF(LEN(B147)&gt;9,SUMIFS(Options!$H$3:$H$20,Options!$B$3:$B$20,Check!B147),SUMIFS('Master P&amp;L'!$H$11:$H$84,'Master P&amp;L'!$B$11:$B$84,Check!B147)))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IF(O147="","",IF(LEN(O147)&gt;9,SUMIFS(Options!$H$3:$H$20,Options!$B$3:$B$20,Check!O147),SUMIFS('Master P&amp;L'!$H$11:$H$84,'Master P&amp;L'!$B$11:$B$84,Check!O147)))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IF(B148="","",IF(LEN(B148)&gt;9,SUMIFS(Options!$H$3:$H$20,Options!$B$3:$B$20,Check!B148),SUMIFS('Master P&amp;L'!$H$11:$H$84,'Master P&amp;L'!$B$11:$B$84,Check!B148)))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IF(O148="","",IF(LEN(O148)&gt;9,SUMIFS(Options!$H$3:$H$20,Options!$B$3:$B$20,Check!O148),SUMIFS('Master P&amp;L'!$H$11:$H$84,'Master P&amp;L'!$B$11:$B$84,Check!O148)))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IF(B149="","",IF(LEN(B149)&gt;9,SUMIFS(Options!$H$3:$H$20,Options!$B$3:$B$20,Check!B149),SUMIFS('Master P&amp;L'!$H$11:$H$84,'Master P&amp;L'!$B$11:$B$84,Check!B149)))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IF(O149="","",IF(LEN(O149)&gt;9,SUMIFS(Options!$H$3:$H$20,Options!$B$3:$B$20,Check!O149),SUMIFS('Master P&amp;L'!$H$11:$H$84,'Master P&amp;L'!$B$11:$B$84,Check!O149)))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IF(B150="","",IF(LEN(B150)&gt;9,SUMIFS(Options!$H$3:$H$20,Options!$B$3:$B$20,Check!B150),SUMIFS('Master P&amp;L'!$H$11:$H$84,'Master P&amp;L'!$B$11:$B$84,Check!B150)))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IF(O150="","",IF(LEN(O150)&gt;9,SUMIFS(Options!$H$3:$H$20,Options!$B$3:$B$20,Check!O150),SUMIFS('Master P&amp;L'!$H$11:$H$84,'Master P&amp;L'!$B$11:$B$84,Check!O150)))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IF(B151="","",IF(LEN(B151)&gt;9,SUMIFS(Options!$H$3:$H$20,Options!$B$3:$B$20,Check!B151),SUMIFS('Master P&amp;L'!$H$11:$H$84,'Master P&amp;L'!$B$11:$B$84,Check!B151)))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IF(O151="","",IF(LEN(O151)&gt;9,SUMIFS(Options!$H$3:$H$20,Options!$B$3:$B$20,Check!O151),SUMIFS('Master P&amp;L'!$H$11:$H$84,'Master P&amp;L'!$B$11:$B$84,Check!O151)))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IF(B152="","",IF(LEN(B152)&gt;9,SUMIFS(Options!$H$3:$H$20,Options!$B$3:$B$20,Check!B152),SUMIFS('Master P&amp;L'!$H$11:$H$84,'Master P&amp;L'!$B$11:$B$84,Check!B152)))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IF(O152="","",IF(LEN(O152)&gt;9,SUMIFS(Options!$H$3:$H$20,Options!$B$3:$B$20,Check!O152),SUMIFS('Master P&amp;L'!$H$11:$H$84,'Master P&amp;L'!$B$11:$B$84,Check!O152)))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IF(B153="","",IF(LEN(B153)&gt;9,SUMIFS(Options!$H$3:$H$20,Options!$B$3:$B$20,Check!B153),SUMIFS('Master P&amp;L'!$H$11:$H$84,'Master P&amp;L'!$B$11:$B$84,Check!B153)))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IF(O153="","",IF(LEN(O153)&gt;9,SUMIFS(Options!$H$3:$H$20,Options!$B$3:$B$20,Check!O153),SUMIFS('Master P&amp;L'!$H$11:$H$84,'Master P&amp;L'!$B$11:$B$84,Check!O153)))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IF(B154="","",IF(LEN(B154)&gt;9,SUMIFS(Options!$H$3:$H$20,Options!$B$3:$B$20,Check!B154),SUMIFS('Master P&amp;L'!$H$11:$H$84,'Master P&amp;L'!$B$11:$B$84,Check!B154)))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IF(O154="","",IF(LEN(O154)&gt;9,SUMIFS(Options!$H$3:$H$20,Options!$B$3:$B$20,Check!O154),SUMIFS('Master P&amp;L'!$H$11:$H$84,'Master P&amp;L'!$B$11:$B$84,Check!O154)))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IF(B155="","",IF(LEN(B155)&gt;9,SUMIFS(Options!$H$3:$H$20,Options!$B$3:$B$20,Check!B155),SUMIFS('Master P&amp;L'!$H$11:$H$84,'Master P&amp;L'!$B$11:$B$84,Check!B155)))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IF(O155="","",IF(LEN(O155)&gt;9,SUMIFS(Options!$H$3:$H$20,Options!$B$3:$B$20,Check!O155),SUMIFS('Master P&amp;L'!$H$11:$H$84,'Master P&amp;L'!$B$11:$B$84,Check!O155)))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IF(B156="","",IF(LEN(B156)&gt;9,SUMIFS(Options!$H$3:$H$20,Options!$B$3:$B$20,Check!B156),SUMIFS('Master P&amp;L'!$H$11:$H$84,'Master P&amp;L'!$B$11:$B$84,Check!B156)))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IF(O156="","",IF(LEN(O156)&gt;9,SUMIFS(Options!$H$3:$H$20,Options!$B$3:$B$20,Check!O156),SUMIFS('Master P&amp;L'!$H$11:$H$84,'Master P&amp;L'!$B$11:$B$84,Check!O156)))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IF(B157="","",IF(LEN(B157)&gt;9,SUMIFS(Options!$H$3:$H$20,Options!$B$3:$B$20,Check!B157),SUMIFS('Master P&amp;L'!$H$11:$H$84,'Master P&amp;L'!$B$11:$B$84,Check!B157)))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IF(O157="","",IF(LEN(O157)&gt;9,SUMIFS(Options!$H$3:$H$20,Options!$B$3:$B$20,Check!O157),SUMIFS('Master P&amp;L'!$H$11:$H$84,'Master P&amp;L'!$B$11:$B$84,Check!O157)))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IF(B158="","",IF(LEN(B158)&gt;9,SUMIFS(Options!$H$3:$H$20,Options!$B$3:$B$20,Check!B158),SUMIFS('Master P&amp;L'!$H$11:$H$84,'Master P&amp;L'!$B$11:$B$84,Check!B158)))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IF(O158="","",IF(LEN(O158)&gt;9,SUMIFS(Options!$H$3:$H$20,Options!$B$3:$B$20,Check!O158),SUMIFS('Master P&amp;L'!$H$11:$H$84,'Master P&amp;L'!$B$11:$B$84,Check!O158)))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IF(B159="","",IF(LEN(B159)&gt;9,SUMIFS(Options!$H$3:$H$20,Options!$B$3:$B$20,Check!B159),SUMIFS('Master P&amp;L'!$H$11:$H$84,'Master P&amp;L'!$B$11:$B$84,Check!B159)))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IF(O159="","",IF(LEN(O159)&gt;9,SUMIFS(Options!$H$3:$H$20,Options!$B$3:$B$20,Check!O159),SUMIFS('Master P&amp;L'!$H$11:$H$84,'Master P&amp;L'!$B$11:$B$84,Check!O159)))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IF(B160="","",IF(LEN(B160)&gt;9,SUMIFS(Options!$H$3:$H$20,Options!$B$3:$B$20,Check!B160),SUMIFS('Master P&amp;L'!$H$11:$H$84,'Master P&amp;L'!$B$11:$B$84,Check!B160)))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IF(O160="","",IF(LEN(O160)&gt;9,SUMIFS(Options!$H$3:$H$20,Options!$B$3:$B$20,Check!O160),SUMIFS('Master P&amp;L'!$H$11:$H$84,'Master P&amp;L'!$B$11:$B$84,Check!O160)))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IF(B161="","",IF(LEN(B161)&gt;9,SUMIFS(Options!$H$3:$H$20,Options!$B$3:$B$20,Check!B161),SUMIFS('Master P&amp;L'!$H$11:$H$84,'Master P&amp;L'!$B$11:$B$84,Check!B161)))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IF(O161="","",IF(LEN(O161)&gt;9,SUMIFS(Options!$H$3:$H$20,Options!$B$3:$B$20,Check!O161),SUMIFS('Master P&amp;L'!$H$11:$H$84,'Master P&amp;L'!$B$11:$B$84,Check!O161)))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IF(B162="","",IF(LEN(B162)&gt;9,SUMIFS(Options!$H$3:$H$20,Options!$B$3:$B$20,Check!B162),SUMIFS('Master P&amp;L'!$H$11:$H$84,'Master P&amp;L'!$B$11:$B$84,Check!B162)))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IF(O162="","",IF(LEN(O162)&gt;9,SUMIFS(Options!$H$3:$H$20,Options!$B$3:$B$20,Check!O162),SUMIFS('Master P&amp;L'!$H$11:$H$84,'Master P&amp;L'!$B$11:$B$84,Check!O162)))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IF(B163="","",IF(LEN(B163)&gt;9,SUMIFS(Options!$H$3:$H$20,Options!$B$3:$B$20,Check!B163),SUMIFS('Master P&amp;L'!$H$11:$H$84,'Master P&amp;L'!$B$11:$B$84,Check!B163)))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IF(O163="","",IF(LEN(O163)&gt;9,SUMIFS(Options!$H$3:$H$20,Options!$B$3:$B$20,Check!O163),SUMIFS('Master P&amp;L'!$H$11:$H$84,'Master P&amp;L'!$B$11:$B$84,Check!O163)))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IF(B164="","",IF(LEN(B164)&gt;9,SUMIFS(Options!$H$3:$H$20,Options!$B$3:$B$20,Check!B164),SUMIFS('Master P&amp;L'!$H$11:$H$84,'Master P&amp;L'!$B$11:$B$84,Check!B164)))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IF(O164="","",IF(LEN(O164)&gt;9,SUMIFS(Options!$H$3:$H$20,Options!$B$3:$B$20,Check!O164),SUMIFS('Master P&amp;L'!$H$11:$H$84,'Master P&amp;L'!$B$11:$B$84,Check!O164)))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IF(B165="","",IF(LEN(B165)&gt;9,SUMIFS(Options!$H$3:$H$20,Options!$B$3:$B$20,Check!B165),SUMIFS('Master P&amp;L'!$H$11:$H$84,'Master P&amp;L'!$B$11:$B$84,Check!B165)))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IF(O165="","",IF(LEN(O165)&gt;9,SUMIFS(Options!$H$3:$H$20,Options!$B$3:$B$20,Check!O165),SUMIFS('Master P&amp;L'!$H$11:$H$84,'Master P&amp;L'!$B$11:$B$84,Check!O165)))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IF(B166="","",IF(LEN(B166)&gt;9,SUMIFS(Options!$H$3:$H$20,Options!$B$3:$B$20,Check!B166),SUMIFS('Master P&amp;L'!$H$11:$H$84,'Master P&amp;L'!$B$11:$B$84,Check!B166)))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IF(O166="","",IF(LEN(O166)&gt;9,SUMIFS(Options!$H$3:$H$20,Options!$B$3:$B$20,Check!O166),SUMIFS('Master P&amp;L'!$H$11:$H$84,'Master P&amp;L'!$B$11:$B$84,Check!O166)))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IF(B167="","",IF(LEN(B167)&gt;9,SUMIFS(Options!$H$3:$H$20,Options!$B$3:$B$20,Check!B167),SUMIFS('Master P&amp;L'!$H$11:$H$84,'Master P&amp;L'!$B$11:$B$84,Check!B167)))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IF(O167="","",IF(LEN(O167)&gt;9,SUMIFS(Options!$H$3:$H$20,Options!$B$3:$B$20,Check!O167),SUMIFS('Master P&amp;L'!$H$11:$H$84,'Master P&amp;L'!$B$11:$B$84,Check!O167)))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IF(B168="","",IF(LEN(B168)&gt;9,SUMIFS(Options!$H$3:$H$20,Options!$B$3:$B$20,Check!B168),SUMIFS('Master P&amp;L'!$H$11:$H$84,'Master P&amp;L'!$B$11:$B$84,Check!B168)))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IF(O168="","",IF(LEN(O168)&gt;9,SUMIFS(Options!$H$3:$H$20,Options!$B$3:$B$20,Check!O168),SUMIFS('Master P&amp;L'!$H$11:$H$84,'Master P&amp;L'!$B$11:$B$84,Check!O168)))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IF(B169="","",IF(LEN(B169)&gt;9,SUMIFS(Options!$H$3:$H$20,Options!$B$3:$B$20,Check!B169),SUMIFS('Master P&amp;L'!$H$11:$H$84,'Master P&amp;L'!$B$11:$B$84,Check!B169)))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IF(O169="","",IF(LEN(O169)&gt;9,SUMIFS(Options!$H$3:$H$20,Options!$B$3:$B$20,Check!O169),SUMIFS('Master P&amp;L'!$H$11:$H$84,'Master P&amp;L'!$B$11:$B$84,Check!O169)))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IF(B170="","",IF(LEN(B170)&gt;9,SUMIFS(Options!$H$3:$H$20,Options!$B$3:$B$20,Check!B170),SUMIFS('Master P&amp;L'!$H$11:$H$84,'Master P&amp;L'!$B$11:$B$84,Check!B170)))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IF(O170="","",IF(LEN(O170)&gt;9,SUMIFS(Options!$H$3:$H$20,Options!$B$3:$B$20,Check!O170),SUMIFS('Master P&amp;L'!$H$11:$H$84,'Master P&amp;L'!$B$11:$B$84,Check!O170)))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IF(B171="","",IF(LEN(B171)&gt;9,SUMIFS(Options!$H$3:$H$20,Options!$B$3:$B$20,Check!B171),SUMIFS('Master P&amp;L'!$H$11:$H$84,'Master P&amp;L'!$B$11:$B$84,Check!B171)))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IF(O171="","",IF(LEN(O171)&gt;9,SUMIFS(Options!$H$3:$H$20,Options!$B$3:$B$20,Check!O171),SUMIFS('Master P&amp;L'!$H$11:$H$84,'Master P&amp;L'!$B$11:$B$84,Check!O171)))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IF(B172="","",IF(LEN(B172)&gt;9,SUMIFS(Options!$H$3:$H$20,Options!$B$3:$B$20,Check!B172),SUMIFS('Master P&amp;L'!$H$11:$H$84,'Master P&amp;L'!$B$11:$B$84,Check!B172)))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IF(O172="","",IF(LEN(O172)&gt;9,SUMIFS(Options!$H$3:$H$20,Options!$B$3:$B$20,Check!O172),SUMIFS('Master P&amp;L'!$H$11:$H$84,'Master P&amp;L'!$B$11:$B$84,Check!O172)))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IF(B173="","",IF(LEN(B173)&gt;9,SUMIFS(Options!$H$3:$H$20,Options!$B$3:$B$20,Check!B173),SUMIFS('Master P&amp;L'!$H$11:$H$84,'Master P&amp;L'!$B$11:$B$84,Check!B173)))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IF(O173="","",IF(LEN(O173)&gt;9,SUMIFS(Options!$H$3:$H$20,Options!$B$3:$B$20,Check!O173),SUMIFS('Master P&amp;L'!$H$11:$H$84,'Master P&amp;L'!$B$11:$B$84,Check!O173)))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IF(B174="","",IF(LEN(B174)&gt;9,SUMIFS(Options!$H$3:$H$20,Options!$B$3:$B$20,Check!B174),SUMIFS('Master P&amp;L'!$H$11:$H$84,'Master P&amp;L'!$B$11:$B$84,Check!B174)))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IF(O174="","",IF(LEN(O174)&gt;9,SUMIFS(Options!$H$3:$H$20,Options!$B$3:$B$20,Check!O174),SUMIFS('Master P&amp;L'!$H$11:$H$84,'Master P&amp;L'!$B$11:$B$84,Check!O174)))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IF(B175="","",IF(LEN(B175)&gt;9,SUMIFS(Options!$H$3:$H$20,Options!$B$3:$B$20,Check!B175),SUMIFS('Master P&amp;L'!$H$11:$H$84,'Master P&amp;L'!$B$11:$B$84,Check!B175)))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IF(O175="","",IF(LEN(O175)&gt;9,SUMIFS(Options!$H$3:$H$20,Options!$B$3:$B$20,Check!O175),SUMIFS('Master P&amp;L'!$H$11:$H$84,'Master P&amp;L'!$B$11:$B$84,Check!O175)))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IF(B176="","",IF(LEN(B176)&gt;9,SUMIFS(Options!$H$3:$H$20,Options!$B$3:$B$20,Check!B176),SUMIFS('Master P&amp;L'!$H$11:$H$84,'Master P&amp;L'!$B$11:$B$84,Check!B176)))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IF(O176="","",IF(LEN(O176)&gt;9,SUMIFS(Options!$H$3:$H$20,Options!$B$3:$B$20,Check!O176),SUMIFS('Master P&amp;L'!$H$11:$H$84,'Master P&amp;L'!$B$11:$B$84,Check!O176)))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IF(B177="","",IF(LEN(B177)&gt;9,SUMIFS(Options!$H$3:$H$20,Options!$B$3:$B$20,Check!B177),SUMIFS('Master P&amp;L'!$H$11:$H$84,'Master P&amp;L'!$B$11:$B$84,Check!B177)))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IF(O177="","",IF(LEN(O177)&gt;9,SUMIFS(Options!$H$3:$H$20,Options!$B$3:$B$20,Check!O177),SUMIFS('Master P&amp;L'!$H$11:$H$84,'Master P&amp;L'!$B$11:$B$84,Check!O177)))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IF(B178="","",IF(LEN(B178)&gt;9,SUMIFS(Options!$H$3:$H$20,Options!$B$3:$B$20,Check!B178),SUMIFS('Master P&amp;L'!$H$11:$H$84,'Master P&amp;L'!$B$11:$B$84,Check!B178)))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IF(O178="","",IF(LEN(O178)&gt;9,SUMIFS(Options!$H$3:$H$20,Options!$B$3:$B$20,Check!O178),SUMIFS('Master P&amp;L'!$H$11:$H$84,'Master P&amp;L'!$B$11:$B$84,Check!O178)))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IF(B179="","",IF(LEN(B179)&gt;9,SUMIFS(Options!$H$3:$H$20,Options!$B$3:$B$20,Check!B179),SUMIFS('Master P&amp;L'!$H$11:$H$84,'Master P&amp;L'!$B$11:$B$84,Check!B179)))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IF(O179="","",IF(LEN(O179)&gt;9,SUMIFS(Options!$H$3:$H$20,Options!$B$3:$B$20,Check!O179),SUMIFS('Master P&amp;L'!$H$11:$H$84,'Master P&amp;L'!$B$11:$B$84,Check!O179)))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IF(B180="","",IF(LEN(B180)&gt;9,SUMIFS(Options!$H$3:$H$20,Options!$B$3:$B$20,Check!B180),SUMIFS('Master P&amp;L'!$H$11:$H$84,'Master P&amp;L'!$B$11:$B$84,Check!B180)))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IF(O180="","",IF(LEN(O180)&gt;9,SUMIFS(Options!$H$3:$H$20,Options!$B$3:$B$20,Check!O180),SUMIFS('Master P&amp;L'!$H$11:$H$84,'Master P&amp;L'!$B$11:$B$84,Check!O180)))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IF(B181="","",IF(LEN(B181)&gt;9,SUMIFS(Options!$H$3:$H$20,Options!$B$3:$B$20,Check!B181),SUMIFS('Master P&amp;L'!$H$11:$H$84,'Master P&amp;L'!$B$11:$B$84,Check!B181)))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IF(O181="","",IF(LEN(O181)&gt;9,SUMIFS(Options!$H$3:$H$20,Options!$B$3:$B$20,Check!O181),SUMIFS('Master P&amp;L'!$H$11:$H$84,'Master P&amp;L'!$B$11:$B$84,Check!O181)))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IF(B182="","",IF(LEN(B182)&gt;9,SUMIFS(Options!$H$3:$H$20,Options!$B$3:$B$20,Check!B182),SUMIFS('Master P&amp;L'!$H$11:$H$84,'Master P&amp;L'!$B$11:$B$84,Check!B182)))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IF(O182="","",IF(LEN(O182)&gt;9,SUMIFS(Options!$H$3:$H$20,Options!$B$3:$B$20,Check!O182),SUMIFS('Master P&amp;L'!$H$11:$H$84,'Master P&amp;L'!$B$11:$B$84,Check!O182)))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IF(B183="","",IF(LEN(B183)&gt;9,SUMIFS(Options!$H$3:$H$20,Options!$B$3:$B$20,Check!B183),SUMIFS('Master P&amp;L'!$H$11:$H$84,'Master P&amp;L'!$B$11:$B$84,Check!B183)))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IF(O183="","",IF(LEN(O183)&gt;9,SUMIFS(Options!$H$3:$H$20,Options!$B$3:$B$20,Check!O183),SUMIFS('Master P&amp;L'!$H$11:$H$84,'Master P&amp;L'!$B$11:$B$84,Check!O183)))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IF(B184="","",IF(LEN(B184)&gt;9,SUMIFS(Options!$H$3:$H$20,Options!$B$3:$B$20,Check!B184),SUMIFS('Master P&amp;L'!$H$11:$H$84,'Master P&amp;L'!$B$11:$B$84,Check!B184)))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IF(O184="","",IF(LEN(O184)&gt;9,SUMIFS(Options!$H$3:$H$20,Options!$B$3:$B$20,Check!O184),SUMIFS('Master P&amp;L'!$H$11:$H$84,'Master P&amp;L'!$B$11:$B$84,Check!O184)))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IF(B185="","",IF(LEN(B185)&gt;9,SUMIFS(Options!$H$3:$H$20,Options!$B$3:$B$20,Check!B185),SUMIFS('Master P&amp;L'!$H$11:$H$84,'Master P&amp;L'!$B$11:$B$84,Check!B185)))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IF(O185="","",IF(LEN(O185)&gt;9,SUMIFS(Options!$H$3:$H$20,Options!$B$3:$B$20,Check!O185),SUMIFS('Master P&amp;L'!$H$11:$H$84,'Master P&amp;L'!$B$11:$B$84,Check!O185)))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IF(B186="","",IF(LEN(B186)&gt;9,SUMIFS(Options!$H$3:$H$20,Options!$B$3:$B$20,Check!B186),SUMIFS('Master P&amp;L'!$H$11:$H$84,'Master P&amp;L'!$B$11:$B$84,Check!B186)))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IF(O186="","",IF(LEN(O186)&gt;9,SUMIFS(Options!$H$3:$H$20,Options!$B$3:$B$20,Check!O186),SUMIFS('Master P&amp;L'!$H$11:$H$84,'Master P&amp;L'!$B$11:$B$84,Check!O186)))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IF(B187="","",IF(LEN(B187)&gt;9,SUMIFS(Options!$H$3:$H$20,Options!$B$3:$B$20,Check!B187),SUMIFS('Master P&amp;L'!$H$11:$H$84,'Master P&amp;L'!$B$11:$B$84,Check!B187)))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IF(O187="","",IF(LEN(O187)&gt;9,SUMIFS(Options!$H$3:$H$20,Options!$B$3:$B$20,Check!O187),SUMIFS('Master P&amp;L'!$H$11:$H$84,'Master P&amp;L'!$B$11:$B$84,Check!O187)))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IF(B188="","",IF(LEN(B188)&gt;9,SUMIFS(Options!$H$3:$H$20,Options!$B$3:$B$20,Check!B188),SUMIFS('Master P&amp;L'!$H$11:$H$84,'Master P&amp;L'!$B$11:$B$84,Check!B188)))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IF(O188="","",IF(LEN(O188)&gt;9,SUMIFS(Options!$H$3:$H$20,Options!$B$3:$B$20,Check!O188),SUMIFS('Master P&amp;L'!$H$11:$H$84,'Master P&amp;L'!$B$11:$B$84,Check!O188)))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IF(B189="","",IF(LEN(B189)&gt;9,SUMIFS(Options!$H$3:$H$20,Options!$B$3:$B$20,Check!B189),SUMIFS('Master P&amp;L'!$H$11:$H$84,'Master P&amp;L'!$B$11:$B$84,Check!B189)))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IF(O189="","",IF(LEN(O189)&gt;9,SUMIFS(Options!$H$3:$H$20,Options!$B$3:$B$20,Check!O189),SUMIFS('Master P&amp;L'!$H$11:$H$84,'Master P&amp;L'!$B$11:$B$84,Check!O189)))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IF(B190="","",IF(LEN(B190)&gt;9,SUMIFS(Options!$H$3:$H$20,Options!$B$3:$B$20,Check!B190),SUMIFS('Master P&amp;L'!$H$11:$H$84,'Master P&amp;L'!$B$11:$B$84,Check!B190)))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IF(O190="","",IF(LEN(O190)&gt;9,SUMIFS(Options!$H$3:$H$20,Options!$B$3:$B$20,Check!O190),SUMIFS('Master P&amp;L'!$H$11:$H$84,'Master P&amp;L'!$B$11:$B$84,Check!O190)))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IF(B191="","",IF(LEN(B191)&gt;9,SUMIFS(Options!$H$3:$H$20,Options!$B$3:$B$20,Check!B191),SUMIFS('Master P&amp;L'!$H$11:$H$84,'Master P&amp;L'!$B$11:$B$84,Check!B191)))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IF(O191="","",IF(LEN(O191)&gt;9,SUMIFS(Options!$H$3:$H$20,Options!$B$3:$B$20,Check!O191),SUMIFS('Master P&amp;L'!$H$11:$H$84,'Master P&amp;L'!$B$11:$B$84,Check!O191)))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IF(O192="","",IF(LEN(O192)&gt;9,SUMIFS(Options!$H$3:$H$20,Options!$B$3:$B$20,Check!O192),SUMIFS('Master P&amp;L'!$H$11:$H$84,'Master P&amp;L'!$B$11:$B$84,Check!O192)))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IF(O193="","",IF(LEN(O193)&gt;9,SUMIFS(Options!$H$3:$H$20,Options!$B$3:$B$20,Check!O193),SUMIFS('Master P&amp;L'!$H$11:$H$84,'Master P&amp;L'!$B$11:$B$84,Check!O193)))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IF(O194="","",IF(LEN(O194)&gt;9,SUMIFS(Options!$H$3:$H$20,Options!$B$3:$B$20,Check!O194),SUMIFS('Master P&amp;L'!$H$11:$H$84,'Master P&amp;L'!$B$11:$B$84,Check!O194)))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IF(O195="","",IF(LEN(O195)&gt;9,SUMIFS(Options!$H$3:$H$20,Options!$B$3:$B$20,Check!O195),SUMIFS('Master P&amp;L'!$H$11:$H$84,'Master P&amp;L'!$B$11:$B$84,Check!O195)))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IF(O196="","",IF(LEN(O196)&gt;9,SUMIFS(Options!$H$3:$H$20,Options!$B$3:$B$20,Check!O196),SUMIFS('Master P&amp;L'!$H$11:$H$84,'Master P&amp;L'!$B$11:$B$84,Check!O196)))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IF(O197="","",IF(LEN(O197)&gt;9,SUMIFS(Options!$H$3:$H$20,Options!$B$3:$B$20,Check!O197),SUMIFS('Master P&amp;L'!$H$11:$H$84,'Master P&amp;L'!$B$11:$B$84,Check!O197)))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IF(O198="","",IF(LEN(O198)&gt;9,SUMIFS(Options!$H$3:$H$20,Options!$B$3:$B$20,Check!O198),SUMIFS('Master P&amp;L'!$H$11:$H$84,'Master P&amp;L'!$B$11:$B$84,Check!O198)))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IF(O199="","",IF(LEN(O199)&gt;9,SUMIFS(Options!$H$3:$H$20,Options!$B$3:$B$20,Check!O199),SUMIFS('Master P&amp;L'!$H$11:$H$84,'Master P&amp;L'!$B$11:$B$84,Check!O199)))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IF(O200="","",IF(LEN(O200)&gt;9,SUMIFS(Options!$H$3:$H$20,Options!$B$3:$B$20,Check!O200),SUMIFS('Master P&amp;L'!$H$11:$H$84,'Master P&amp;L'!$B$11:$B$84,Check!O200)))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IF(O201="","",IF(LEN(O201)&gt;9,SUMIFS(Options!$H$3:$H$20,Options!$B$3:$B$20,Check!O201),SUMIFS('Master P&amp;L'!$H$11:$H$84,'Master P&amp;L'!$B$11:$B$84,Check!O201)))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IF(O202="","",IF(LEN(O202)&gt;9,SUMIFS(Options!$H$3:$H$20,Options!$B$3:$B$20,Check!O202),SUMIFS('Master P&amp;L'!$H$11:$H$84,'Master P&amp;L'!$B$11:$B$84,Check!O202)))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IF(O203="","",IF(LEN(O203)&gt;9,SUMIFS(Options!$H$3:$H$20,Options!$B$3:$B$20,Check!O203),SUMIFS('Master P&amp;L'!$H$11:$H$84,'Master P&amp;L'!$B$11:$B$84,Check!O203)))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IF(O204="","",IF(LEN(O204)&gt;9,SUMIFS(Options!$H$3:$H$20,Options!$B$3:$B$20,Check!O204),SUMIFS('Master P&amp;L'!$H$11:$H$84,'Master P&amp;L'!$B$11:$B$84,Check!O204)))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IF(O205="","",IF(LEN(O205)&gt;9,SUMIFS(Options!$H$3:$H$20,Options!$B$3:$B$20,Check!O205),SUMIFS('Master P&amp;L'!$H$11:$H$84,'Master P&amp;L'!$B$11:$B$84,Check!O205)))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IF(O206="","",IF(LEN(O206)&gt;9,SUMIFS(Options!$H$3:$H$20,Options!$B$3:$B$20,Check!O206),SUMIFS('Master P&amp;L'!$H$11:$H$84,'Master P&amp;L'!$B$11:$B$84,Check!O206)))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4" priority="4">
      <formula>J5&lt;&gt;0</formula>
    </cfRule>
  </conditionalFormatting>
  <conditionalFormatting sqref="E5:E191">
    <cfRule type="expression" dxfId="43" priority="3">
      <formula>E5&lt;&gt;0</formula>
    </cfRule>
  </conditionalFormatting>
  <conditionalFormatting sqref="S5:S206">
    <cfRule type="cellIs" dxfId="42" priority="2" operator="lessThan">
      <formula>0.9</formula>
    </cfRule>
  </conditionalFormatting>
  <conditionalFormatting sqref="S5:S198">
    <cfRule type="expression" dxfId="41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0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3.5703125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5.5703125" style="213" bestFit="1" customWidth="1"/>
    <col min="12" max="12" width="4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6094</v>
      </c>
      <c r="I2" s="213">
        <v>10133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AAPL</v>
      </c>
      <c r="M2" s="214" t="str">
        <f>IF(E2="","",G2)</f>
        <v>EQTY.IntlUS.off</v>
      </c>
      <c r="N2" s="215">
        <f>IF(E2="","",H2)</f>
        <v>6094</v>
      </c>
      <c r="O2" s="215">
        <f>IF(E2="","",I2)</f>
        <v>10133</v>
      </c>
    </row>
    <row r="3" spans="5:15">
      <c r="E3" s="213" t="s">
        <v>317</v>
      </c>
      <c r="F3" s="213" t="s">
        <v>2356</v>
      </c>
      <c r="G3" s="213" t="s">
        <v>282</v>
      </c>
      <c r="H3" s="213">
        <v>5908</v>
      </c>
      <c r="I3" s="213">
        <v>10885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AKAM</v>
      </c>
      <c r="M3" s="214" t="str">
        <f t="shared" ref="M3:M66" si="1">IF(E3="","",G3)</f>
        <v>EQTY.IntlUS.off</v>
      </c>
      <c r="N3" s="215">
        <f t="shared" ref="N3:N66" si="2">IF(E3="","",H3)</f>
        <v>5908</v>
      </c>
      <c r="O3" s="215">
        <f t="shared" ref="O3:O66" si="3">IF(E3="","",I3)</f>
        <v>10885</v>
      </c>
    </row>
    <row r="4" spans="5:15">
      <c r="E4" s="213" t="s">
        <v>317</v>
      </c>
      <c r="F4" s="213" t="s">
        <v>399</v>
      </c>
      <c r="G4" s="213" t="s">
        <v>282</v>
      </c>
      <c r="H4" s="213">
        <v>15307</v>
      </c>
      <c r="I4" s="213">
        <v>16997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AMZN</v>
      </c>
      <c r="M4" s="214" t="str">
        <f t="shared" si="1"/>
        <v>EQTY.IntlUS.off</v>
      </c>
      <c r="N4" s="215">
        <f t="shared" si="2"/>
        <v>15307</v>
      </c>
      <c r="O4" s="215">
        <f t="shared" si="3"/>
        <v>16997</v>
      </c>
    </row>
    <row r="5" spans="5:15">
      <c r="E5" s="213" t="s">
        <v>320</v>
      </c>
      <c r="F5" s="213" t="s">
        <v>38</v>
      </c>
      <c r="G5" s="213" t="s">
        <v>282</v>
      </c>
      <c r="H5" s="213">
        <v>19706</v>
      </c>
      <c r="I5" s="213">
        <v>19706</v>
      </c>
      <c r="K5" s="214" t="str">
        <f t="shared" si="0"/>
        <v>ETF</v>
      </c>
      <c r="L5" s="214" t="str">
        <f>IF(E5="","",IF(COUNTIFS(Table2[[#All],[De (Lote)]],Input_APM!F5)&gt;0,INDEX(Table2[[#All],[Para (Ticker Daniel)]],MATCH(Input_APM!F5,Table2[[#All],[De (Lote)]],0)),Input_APM!F5))</f>
        <v>ASHR</v>
      </c>
      <c r="M5" s="214" t="str">
        <f t="shared" si="1"/>
        <v>EQTY.IntlUS.off</v>
      </c>
      <c r="N5" s="215">
        <f t="shared" si="2"/>
        <v>19706</v>
      </c>
      <c r="O5" s="215">
        <f t="shared" si="3"/>
        <v>19706</v>
      </c>
    </row>
    <row r="6" spans="5:15">
      <c r="E6" s="213" t="s">
        <v>324</v>
      </c>
      <c r="F6" s="213" t="s">
        <v>2224</v>
      </c>
      <c r="G6" s="213" t="s">
        <v>282</v>
      </c>
      <c r="H6" s="213">
        <v>935</v>
      </c>
      <c r="I6" s="213">
        <v>935</v>
      </c>
      <c r="K6" s="214" t="str">
        <f t="shared" si="0"/>
        <v>ETF Options</v>
      </c>
      <c r="L6" s="214" t="str">
        <f>IF(E6="","",IF(COUNTIFS(Table2[[#All],[De (Lote)]],Input_APM!F6)&gt;0,INDEX(Table2[[#All],[Para (Ticker Daniel)]],MATCH(Input_APM!F6,Table2[[#All],[De (Lote)]],0)),Input_APM!F6))</f>
        <v>ASHR US 02/20/26 C35</v>
      </c>
      <c r="M6" s="214" t="str">
        <f t="shared" si="1"/>
        <v>EQTY.IntlUS.off</v>
      </c>
      <c r="N6" s="215">
        <f t="shared" si="2"/>
        <v>935</v>
      </c>
      <c r="O6" s="215">
        <f t="shared" si="3"/>
        <v>935</v>
      </c>
    </row>
    <row r="7" spans="5:15">
      <c r="E7" s="213" t="s">
        <v>317</v>
      </c>
      <c r="F7" s="213" t="s">
        <v>137</v>
      </c>
      <c r="G7" s="213" t="s">
        <v>282</v>
      </c>
      <c r="H7" s="213">
        <v>1409</v>
      </c>
      <c r="I7" s="213">
        <v>0</v>
      </c>
      <c r="K7" s="214" t="str">
        <f t="shared" si="0"/>
        <v>US Equity</v>
      </c>
      <c r="L7" s="214" t="str">
        <f>IF(E7="","",IF(COUNTIFS(Table2[[#All],[De (Lote)]],Input_APM!F7)&gt;0,INDEX(Table2[[#All],[Para (Ticker Daniel)]],MATCH(Input_APM!F7,Table2[[#All],[De (Lote)]],0)),Input_APM!F7))</f>
        <v>AVGO</v>
      </c>
      <c r="M7" s="214" t="str">
        <f t="shared" si="1"/>
        <v>EQTY.IntlUS.off</v>
      </c>
      <c r="N7" s="215">
        <f t="shared" si="2"/>
        <v>1409</v>
      </c>
      <c r="O7" s="215">
        <f t="shared" si="3"/>
        <v>0</v>
      </c>
    </row>
    <row r="8" spans="5:15">
      <c r="E8" s="213" t="s">
        <v>319</v>
      </c>
      <c r="F8" s="213" t="s">
        <v>2102</v>
      </c>
      <c r="G8" s="213" t="s">
        <v>282</v>
      </c>
      <c r="H8" s="213">
        <v>114</v>
      </c>
      <c r="I8" s="213">
        <v>114</v>
      </c>
      <c r="K8" s="214" t="str">
        <f t="shared" si="0"/>
        <v>US Equity Options</v>
      </c>
      <c r="L8" s="214" t="str">
        <f>IF(E8="","",IF(COUNTIFS(Table2[[#All],[De (Lote)]],Input_APM!F8)&gt;0,INDEX(Table2[[#All],[Para (Ticker Daniel)]],MATCH(Input_APM!F8,Table2[[#All],[De (Lote)]],0)),Input_APM!F8))</f>
        <v>AVGO US 06/18/26 C350</v>
      </c>
      <c r="M8" s="214" t="str">
        <f t="shared" si="1"/>
        <v>EQTY.IntlUS.off</v>
      </c>
      <c r="N8" s="215">
        <f t="shared" si="2"/>
        <v>114</v>
      </c>
      <c r="O8" s="215">
        <f t="shared" si="3"/>
        <v>114</v>
      </c>
    </row>
    <row r="9" spans="5:15">
      <c r="E9" s="213" t="s">
        <v>39</v>
      </c>
      <c r="F9" s="213" t="s">
        <v>461</v>
      </c>
      <c r="G9" s="213" t="s">
        <v>282</v>
      </c>
      <c r="H9" s="213">
        <v>3163</v>
      </c>
      <c r="I9" s="213">
        <v>3163</v>
      </c>
      <c r="K9" s="214" t="str">
        <f t="shared" si="0"/>
        <v>ADR</v>
      </c>
      <c r="L9" s="214" t="str">
        <f>IF(E9="","",IF(COUNTIFS(Table2[[#All],[De (Lote)]],Input_APM!F9)&gt;0,INDEX(Table2[[#All],[Para (Ticker Daniel)]],MATCH(Input_APM!F9,Table2[[#All],[De (Lote)]],0)),Input_APM!F9))</f>
        <v>BABA</v>
      </c>
      <c r="M9" s="214" t="str">
        <f t="shared" si="1"/>
        <v>EQTY.IntlUS.off</v>
      </c>
      <c r="N9" s="215">
        <f t="shared" si="2"/>
        <v>3163</v>
      </c>
      <c r="O9" s="215">
        <f t="shared" si="3"/>
        <v>3163</v>
      </c>
    </row>
    <row r="10" spans="5:15">
      <c r="E10" s="213" t="s">
        <v>39</v>
      </c>
      <c r="F10" s="213" t="s">
        <v>2138</v>
      </c>
      <c r="G10" s="213" t="s">
        <v>282</v>
      </c>
      <c r="H10" s="213">
        <v>3285</v>
      </c>
      <c r="I10" s="213">
        <v>3285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BIDU</v>
      </c>
      <c r="M10" s="214" t="str">
        <f t="shared" si="1"/>
        <v>EQTY.IntlUS.off</v>
      </c>
      <c r="N10" s="215">
        <f t="shared" si="2"/>
        <v>3285</v>
      </c>
      <c r="O10" s="215">
        <f t="shared" si="3"/>
        <v>3285</v>
      </c>
    </row>
    <row r="11" spans="5:15">
      <c r="E11" s="213" t="s">
        <v>321</v>
      </c>
      <c r="F11" s="213" t="s">
        <v>295</v>
      </c>
      <c r="G11" s="213" t="s">
        <v>282</v>
      </c>
      <c r="H11" s="213">
        <v>-0.28999999999999998</v>
      </c>
      <c r="I11" s="213">
        <v>-0.28999999999999998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CAD</v>
      </c>
      <c r="M11" s="214" t="str">
        <f t="shared" si="1"/>
        <v>EQTY.IntlUS.off</v>
      </c>
      <c r="N11" s="215">
        <f t="shared" si="2"/>
        <v>-0.28999999999999998</v>
      </c>
      <c r="O11" s="215">
        <f t="shared" si="3"/>
        <v>-0.28999999999999998</v>
      </c>
    </row>
    <row r="12" spans="5:15">
      <c r="E12" s="213" t="s">
        <v>321</v>
      </c>
      <c r="F12" s="213" t="s">
        <v>296</v>
      </c>
      <c r="G12" s="213" t="s">
        <v>283</v>
      </c>
      <c r="H12" s="213">
        <v>0.39</v>
      </c>
      <c r="I12" s="213">
        <v>0.39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CHF</v>
      </c>
      <c r="M12" s="214" t="str">
        <f t="shared" si="1"/>
        <v>EQTY.InternacionalUS2.off</v>
      </c>
      <c r="N12" s="215">
        <f t="shared" si="2"/>
        <v>0.39</v>
      </c>
      <c r="O12" s="215">
        <f t="shared" si="3"/>
        <v>0.39</v>
      </c>
    </row>
    <row r="13" spans="5:15">
      <c r="E13" s="213" t="s">
        <v>321</v>
      </c>
      <c r="F13" s="213" t="s">
        <v>296</v>
      </c>
      <c r="G13" s="213" t="s">
        <v>282</v>
      </c>
      <c r="H13" s="213">
        <v>-34454.449999999997</v>
      </c>
      <c r="I13" s="213">
        <v>-34454.449999999997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EQTY.IntlUS.off</v>
      </c>
      <c r="N13" s="215">
        <f t="shared" si="2"/>
        <v>-34454.449999999997</v>
      </c>
      <c r="O13" s="215">
        <f t="shared" si="3"/>
        <v>-34454.449999999997</v>
      </c>
    </row>
    <row r="14" spans="5:15">
      <c r="E14" s="213" t="s">
        <v>321</v>
      </c>
      <c r="F14" s="213" t="s">
        <v>297</v>
      </c>
      <c r="G14" s="213" t="s">
        <v>282</v>
      </c>
      <c r="H14" s="213">
        <v>-0.36</v>
      </c>
      <c r="I14" s="213">
        <v>-0.36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CNH</v>
      </c>
      <c r="M14" s="214" t="str">
        <f t="shared" si="1"/>
        <v>EQTY.IntlUS.off</v>
      </c>
      <c r="N14" s="215">
        <f t="shared" si="2"/>
        <v>-0.36</v>
      </c>
      <c r="O14" s="215">
        <f t="shared" si="3"/>
        <v>-0.36</v>
      </c>
    </row>
    <row r="15" spans="5:15">
      <c r="E15" s="213" t="s">
        <v>321</v>
      </c>
      <c r="F15" s="213" t="s">
        <v>2123</v>
      </c>
      <c r="G15" s="213" t="s">
        <v>283</v>
      </c>
      <c r="H15" s="213">
        <v>-0.19</v>
      </c>
      <c r="I15" s="213">
        <v>-0.19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CNY</v>
      </c>
      <c r="M15" s="214" t="str">
        <f t="shared" si="1"/>
        <v>EQTY.InternacionalUS2.off</v>
      </c>
      <c r="N15" s="215">
        <f t="shared" si="2"/>
        <v>-0.19</v>
      </c>
      <c r="O15" s="215">
        <f t="shared" si="3"/>
        <v>-0.19</v>
      </c>
    </row>
    <row r="16" spans="5:15">
      <c r="E16" s="213" t="s">
        <v>321</v>
      </c>
      <c r="F16" s="213" t="s">
        <v>2123</v>
      </c>
      <c r="G16" s="213" t="s">
        <v>282</v>
      </c>
      <c r="H16" s="213">
        <v>-143145.81</v>
      </c>
      <c r="I16" s="213">
        <v>-143145.81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EQTY.IntlUS.off</v>
      </c>
      <c r="N16" s="215">
        <f t="shared" si="2"/>
        <v>-143145.81</v>
      </c>
      <c r="O16" s="215">
        <f t="shared" si="3"/>
        <v>-143145.81</v>
      </c>
    </row>
    <row r="17" spans="5:15">
      <c r="E17" s="213" t="s">
        <v>321</v>
      </c>
      <c r="F17" s="213" t="s">
        <v>298</v>
      </c>
      <c r="G17" s="213" t="s">
        <v>283</v>
      </c>
      <c r="H17" s="213">
        <v>-0.15</v>
      </c>
      <c r="I17" s="213">
        <v>-0.15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EUR</v>
      </c>
      <c r="M17" s="214" t="str">
        <f t="shared" si="1"/>
        <v>EQTY.InternacionalUS2.off</v>
      </c>
      <c r="N17" s="215">
        <f t="shared" si="2"/>
        <v>-0.15</v>
      </c>
      <c r="O17" s="215">
        <f t="shared" si="3"/>
        <v>-0.15</v>
      </c>
    </row>
    <row r="18" spans="5:15">
      <c r="E18" s="213" t="s">
        <v>321</v>
      </c>
      <c r="F18" s="213" t="s">
        <v>298</v>
      </c>
      <c r="G18" s="213" t="s">
        <v>282</v>
      </c>
      <c r="H18" s="213">
        <v>40729.67</v>
      </c>
      <c r="I18" s="213">
        <v>40729.67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EQTY.IntlUS.off</v>
      </c>
      <c r="N18" s="215">
        <f t="shared" si="2"/>
        <v>40729.67</v>
      </c>
      <c r="O18" s="215">
        <f t="shared" si="3"/>
        <v>40729.67</v>
      </c>
    </row>
    <row r="19" spans="5:15">
      <c r="E19" s="213" t="s">
        <v>321</v>
      </c>
      <c r="F19" s="213" t="s">
        <v>299</v>
      </c>
      <c r="G19" s="213" t="s">
        <v>282</v>
      </c>
      <c r="H19" s="213">
        <v>-0.47</v>
      </c>
      <c r="I19" s="213">
        <v>-0.47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GBP</v>
      </c>
      <c r="M19" s="214" t="str">
        <f t="shared" si="1"/>
        <v>EQTY.IntlUS.off</v>
      </c>
      <c r="N19" s="215">
        <f t="shared" si="2"/>
        <v>-0.47</v>
      </c>
      <c r="O19" s="215">
        <f t="shared" si="3"/>
        <v>-0.47</v>
      </c>
    </row>
    <row r="20" spans="5:15">
      <c r="E20" s="213" t="s">
        <v>321</v>
      </c>
      <c r="F20" s="213" t="s">
        <v>300</v>
      </c>
      <c r="G20" s="213" t="s">
        <v>283</v>
      </c>
      <c r="H20" s="213">
        <v>0.2</v>
      </c>
      <c r="I20" s="213">
        <v>0.2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HKD</v>
      </c>
      <c r="M20" s="214" t="str">
        <f t="shared" si="1"/>
        <v>EQTY.InternacionalUS2.off</v>
      </c>
      <c r="N20" s="215">
        <f t="shared" si="2"/>
        <v>0.2</v>
      </c>
      <c r="O20" s="215">
        <f t="shared" si="3"/>
        <v>0.2</v>
      </c>
    </row>
    <row r="21" spans="5:15">
      <c r="E21" s="213" t="s">
        <v>321</v>
      </c>
      <c r="F21" s="213" t="s">
        <v>300</v>
      </c>
      <c r="G21" s="213" t="s">
        <v>282</v>
      </c>
      <c r="H21" s="213">
        <v>-341409.97</v>
      </c>
      <c r="I21" s="213">
        <v>-341409.97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EQTY.IntlUS.off</v>
      </c>
      <c r="N21" s="215">
        <f t="shared" si="2"/>
        <v>-341409.97</v>
      </c>
      <c r="O21" s="215">
        <f t="shared" si="3"/>
        <v>-341409.97</v>
      </c>
    </row>
    <row r="22" spans="5:15">
      <c r="E22" s="213" t="s">
        <v>321</v>
      </c>
      <c r="F22" s="213" t="s">
        <v>301</v>
      </c>
      <c r="G22" s="213" t="s">
        <v>282</v>
      </c>
      <c r="H22" s="213">
        <v>1.000005E-2</v>
      </c>
      <c r="I22" s="213">
        <v>1.000005E-2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KRW</v>
      </c>
      <c r="M22" s="214" t="str">
        <f t="shared" si="1"/>
        <v>EQTY.IntlUS.off</v>
      </c>
      <c r="N22" s="215">
        <f t="shared" si="2"/>
        <v>1.000005E-2</v>
      </c>
      <c r="O22" s="215">
        <f t="shared" si="3"/>
        <v>1.000005E-2</v>
      </c>
    </row>
    <row r="23" spans="5:15">
      <c r="E23" s="213" t="s">
        <v>321</v>
      </c>
      <c r="F23" s="213" t="s">
        <v>302</v>
      </c>
      <c r="G23" s="213" t="s">
        <v>282</v>
      </c>
      <c r="H23" s="213">
        <v>-1046224.82564685</v>
      </c>
      <c r="I23" s="213">
        <v>4.3531500000000001E-3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USD</v>
      </c>
      <c r="M23" s="214" t="str">
        <f t="shared" si="1"/>
        <v>EQTY.IntlUS.off</v>
      </c>
      <c r="N23" s="215">
        <f t="shared" si="2"/>
        <v>-1046224.82564685</v>
      </c>
      <c r="O23" s="215">
        <f t="shared" si="3"/>
        <v>4.3531500000000001E-3</v>
      </c>
    </row>
    <row r="24" spans="5:15">
      <c r="E24" s="213" t="s">
        <v>477</v>
      </c>
      <c r="F24" s="213" t="s">
        <v>1906</v>
      </c>
      <c r="G24" s="213" t="s">
        <v>282</v>
      </c>
      <c r="H24" s="213">
        <v>4625000</v>
      </c>
      <c r="I24" s="213">
        <v>4625000</v>
      </c>
      <c r="K24" s="214" t="str">
        <f t="shared" si="0"/>
        <v>CDS</v>
      </c>
      <c r="L24" s="214" t="str">
        <f>IF(E24="","",IF(COUNTIFS(Table2[[#All],[De (Lote)]],Input_APM!F24)&gt;0,INDEX(Table2[[#All],[Para (Ticker Daniel)]],MATCH(Input_APM!F24,Table2[[#All],[De (Lote)]],0)),Input_APM!F24))</f>
        <v>CHINAGOV 12/20/30</v>
      </c>
      <c r="M24" s="214" t="str">
        <f t="shared" si="1"/>
        <v>EQTY.IntlUS.off</v>
      </c>
      <c r="N24" s="215">
        <f t="shared" si="2"/>
        <v>4625000</v>
      </c>
      <c r="O24" s="215">
        <f t="shared" si="3"/>
        <v>4625000</v>
      </c>
    </row>
    <row r="25" spans="5:15">
      <c r="E25" s="213" t="s">
        <v>317</v>
      </c>
      <c r="F25" s="213" t="s">
        <v>2347</v>
      </c>
      <c r="G25" s="213" t="s">
        <v>282</v>
      </c>
      <c r="H25" s="213">
        <v>28536</v>
      </c>
      <c r="I25" s="213">
        <v>28536</v>
      </c>
      <c r="K25" s="214" t="str">
        <f t="shared" si="0"/>
        <v>US Equity</v>
      </c>
      <c r="L25" s="214" t="str">
        <f>IF(E25="","",IF(COUNTIFS(Table2[[#All],[De (Lote)]],Input_APM!F25)&gt;0,INDEX(Table2[[#All],[Para (Ticker Daniel)]],MATCH(Input_APM!F25,Table2[[#All],[De (Lote)]],0)),Input_APM!F25))</f>
        <v>CSCO</v>
      </c>
      <c r="M25" s="214" t="str">
        <f t="shared" si="1"/>
        <v>EQTY.IntlUS.off</v>
      </c>
      <c r="N25" s="215">
        <f t="shared" si="2"/>
        <v>28536</v>
      </c>
      <c r="O25" s="215">
        <f t="shared" si="3"/>
        <v>28536</v>
      </c>
    </row>
    <row r="26" spans="5:15">
      <c r="E26" s="213" t="s">
        <v>320</v>
      </c>
      <c r="F26" s="213" t="s">
        <v>1754</v>
      </c>
      <c r="G26" s="213" t="s">
        <v>282</v>
      </c>
      <c r="H26" s="213">
        <v>44211</v>
      </c>
      <c r="I26" s="213">
        <v>41862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EWY</v>
      </c>
      <c r="M26" s="214" t="str">
        <f t="shared" si="1"/>
        <v>EQTY.IntlUS.off</v>
      </c>
      <c r="N26" s="215">
        <f t="shared" si="2"/>
        <v>44211</v>
      </c>
      <c r="O26" s="215">
        <f t="shared" si="3"/>
        <v>41862</v>
      </c>
    </row>
    <row r="27" spans="5:15">
      <c r="E27" s="213" t="s">
        <v>320</v>
      </c>
      <c r="F27" s="213" t="s">
        <v>131</v>
      </c>
      <c r="G27" s="213" t="s">
        <v>282</v>
      </c>
      <c r="H27" s="213">
        <v>24842</v>
      </c>
      <c r="I27" s="213">
        <v>22494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 xml:space="preserve">GDX </v>
      </c>
      <c r="M27" s="214" t="str">
        <f t="shared" si="1"/>
        <v>EQTY.IntlUS.off</v>
      </c>
      <c r="N27" s="215">
        <f t="shared" si="2"/>
        <v>24842</v>
      </c>
      <c r="O27" s="215">
        <f t="shared" si="3"/>
        <v>22494</v>
      </c>
    </row>
    <row r="28" spans="5:15">
      <c r="E28" s="213" t="s">
        <v>324</v>
      </c>
      <c r="F28" s="213" t="s">
        <v>2259</v>
      </c>
      <c r="G28" s="213" t="s">
        <v>282</v>
      </c>
      <c r="H28" s="213">
        <v>1031</v>
      </c>
      <c r="I28" s="213">
        <v>1031</v>
      </c>
      <c r="K28" s="214" t="str">
        <f t="shared" si="0"/>
        <v>ETF Options</v>
      </c>
      <c r="L28" s="214" t="str">
        <f>IF(E28="","",IF(COUNTIFS(Table2[[#All],[De (Lote)]],Input_APM!F28)&gt;0,INDEX(Table2[[#All],[Para (Ticker Daniel)]],MATCH(Input_APM!F28,Table2[[#All],[De (Lote)]],0)),Input_APM!F28))</f>
        <v>GDX US 09/18/26 C105</v>
      </c>
      <c r="M28" s="214" t="str">
        <f t="shared" si="1"/>
        <v>EQTY.IntlUS.off</v>
      </c>
      <c r="N28" s="215">
        <f t="shared" si="2"/>
        <v>1031</v>
      </c>
      <c r="O28" s="215">
        <f t="shared" si="3"/>
        <v>1031</v>
      </c>
    </row>
    <row r="29" spans="5:15">
      <c r="E29" s="213" t="s">
        <v>324</v>
      </c>
      <c r="F29" s="213" t="s">
        <v>2260</v>
      </c>
      <c r="G29" s="213" t="s">
        <v>282</v>
      </c>
      <c r="H29" s="213">
        <v>-1031</v>
      </c>
      <c r="I29" s="213">
        <v>-1031</v>
      </c>
      <c r="K29" s="214" t="str">
        <f t="shared" si="0"/>
        <v>ETF Options</v>
      </c>
      <c r="L29" s="214" t="str">
        <f>IF(E29="","",IF(COUNTIFS(Table2[[#All],[De (Lote)]],Input_APM!F29)&gt;0,INDEX(Table2[[#All],[Para (Ticker Daniel)]],MATCH(Input_APM!F29,Table2[[#All],[De (Lote)]],0)),Input_APM!F29))</f>
        <v>GDX US 09/18/26 C115</v>
      </c>
      <c r="M29" s="214" t="str">
        <f t="shared" si="1"/>
        <v>EQTY.IntlUS.off</v>
      </c>
      <c r="N29" s="215">
        <f t="shared" si="2"/>
        <v>-1031</v>
      </c>
      <c r="O29" s="215">
        <f t="shared" si="3"/>
        <v>-1031</v>
      </c>
    </row>
    <row r="30" spans="5:15">
      <c r="E30" s="213" t="s">
        <v>317</v>
      </c>
      <c r="F30" s="213" t="s">
        <v>2145</v>
      </c>
      <c r="G30" s="213" t="s">
        <v>282</v>
      </c>
      <c r="H30" s="213">
        <v>13594</v>
      </c>
      <c r="I30" s="213">
        <v>8194</v>
      </c>
      <c r="K30" s="214" t="str">
        <f t="shared" si="0"/>
        <v>US Equity</v>
      </c>
      <c r="L30" s="214" t="str">
        <f>IF(E30="","",IF(COUNTIFS(Table2[[#All],[De (Lote)]],Input_APM!F30)&gt;0,INDEX(Table2[[#All],[Para (Ticker Daniel)]],MATCH(Input_APM!F30,Table2[[#All],[De (Lote)]],0)),Input_APM!F30))</f>
        <v>GOOG</v>
      </c>
      <c r="M30" s="214" t="str">
        <f t="shared" si="1"/>
        <v>EQTY.IntlUS.off</v>
      </c>
      <c r="N30" s="215">
        <f t="shared" si="2"/>
        <v>13594</v>
      </c>
      <c r="O30" s="215">
        <f t="shared" si="3"/>
        <v>8194</v>
      </c>
    </row>
    <row r="31" spans="5:15">
      <c r="E31" s="213" t="s">
        <v>325</v>
      </c>
      <c r="F31" s="213" t="s">
        <v>1896</v>
      </c>
      <c r="G31" s="213" t="s">
        <v>282</v>
      </c>
      <c r="H31" s="213">
        <v>276451</v>
      </c>
      <c r="I31" s="213">
        <v>276451</v>
      </c>
      <c r="K31" s="214" t="str">
        <f t="shared" si="0"/>
        <v>Basket Index Options</v>
      </c>
      <c r="L31" s="214" t="str">
        <f>IF(E31="","",IF(COUNTIFS(Table2[[#All],[De (Lote)]],Input_APM!F31)&gt;0,INDEX(Table2[[#All],[Para (Ticker Daniel)]],MATCH(Input_APM!F31,Table2[[#All],[De (Lote)]],0)),Input_APM!F31))</f>
        <v>GSC1000P 03/20/26 C104</v>
      </c>
      <c r="M31" s="214" t="str">
        <f t="shared" si="1"/>
        <v>EQTY.IntlUS.off</v>
      </c>
      <c r="N31" s="215">
        <f t="shared" si="2"/>
        <v>276451</v>
      </c>
      <c r="O31" s="215">
        <f t="shared" si="3"/>
        <v>276451</v>
      </c>
    </row>
    <row r="32" spans="5:15">
      <c r="E32" s="213" t="s">
        <v>325</v>
      </c>
      <c r="F32" s="213" t="s">
        <v>1897</v>
      </c>
      <c r="G32" s="213" t="s">
        <v>282</v>
      </c>
      <c r="H32" s="213">
        <v>-276451</v>
      </c>
      <c r="I32" s="213">
        <v>-276451</v>
      </c>
      <c r="K32" s="214" t="str">
        <f t="shared" si="0"/>
        <v>Basket Index Options</v>
      </c>
      <c r="L32" s="214" t="str">
        <f>IF(E32="","",IF(COUNTIFS(Table2[[#All],[De (Lote)]],Input_APM!F32)&gt;0,INDEX(Table2[[#All],[Para (Ticker Daniel)]],MATCH(Input_APM!F32,Table2[[#All],[De (Lote)]],0)),Input_APM!F32))</f>
        <v>GSC1000P 03/20/26 C119</v>
      </c>
      <c r="M32" s="214" t="str">
        <f t="shared" si="1"/>
        <v>EQTY.IntlUS.off</v>
      </c>
      <c r="N32" s="215">
        <f t="shared" si="2"/>
        <v>-276451</v>
      </c>
      <c r="O32" s="215">
        <f t="shared" si="3"/>
        <v>-276451</v>
      </c>
    </row>
    <row r="33" spans="5:15">
      <c r="E33" s="213" t="s">
        <v>320</v>
      </c>
      <c r="F33" s="213" t="s">
        <v>89</v>
      </c>
      <c r="G33" s="213" t="s">
        <v>282</v>
      </c>
      <c r="H33" s="213">
        <v>-12208</v>
      </c>
      <c r="I33" s="213">
        <v>0</v>
      </c>
      <c r="K33" s="214" t="str">
        <f t="shared" si="0"/>
        <v>ETF</v>
      </c>
      <c r="L33" s="214" t="str">
        <f>IF(E33="","",IF(COUNTIFS(Table2[[#All],[De (Lote)]],Input_APM!F33)&gt;0,INDEX(Table2[[#All],[Para (Ticker Daniel)]],MATCH(Input_APM!F33,Table2[[#All],[De (Lote)]],0)),Input_APM!F33))</f>
        <v>IGV</v>
      </c>
      <c r="M33" s="214" t="str">
        <f t="shared" si="1"/>
        <v>EQTY.IntlUS.off</v>
      </c>
      <c r="N33" s="215">
        <f t="shared" si="2"/>
        <v>-12208</v>
      </c>
      <c r="O33" s="215">
        <f t="shared" si="3"/>
        <v>0</v>
      </c>
    </row>
    <row r="34" spans="5:15">
      <c r="E34" s="213" t="s">
        <v>317</v>
      </c>
      <c r="F34" s="213" t="s">
        <v>708</v>
      </c>
      <c r="G34" s="213" t="s">
        <v>282</v>
      </c>
      <c r="H34" s="213">
        <v>0</v>
      </c>
      <c r="I34" s="213">
        <v>3282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INTC</v>
      </c>
      <c r="M34" s="214" t="str">
        <f t="shared" si="1"/>
        <v>EQTY.IntlUS.off</v>
      </c>
      <c r="N34" s="215">
        <f t="shared" si="2"/>
        <v>0</v>
      </c>
      <c r="O34" s="215">
        <f t="shared" si="3"/>
        <v>3282</v>
      </c>
    </row>
    <row r="35" spans="5:15">
      <c r="E35" s="213" t="s">
        <v>319</v>
      </c>
      <c r="F35" s="213" t="s">
        <v>2327</v>
      </c>
      <c r="G35" s="213" t="s">
        <v>282</v>
      </c>
      <c r="H35" s="213">
        <v>237</v>
      </c>
      <c r="I35" s="213">
        <v>237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INTC US 07/17/26 C50</v>
      </c>
      <c r="M35" s="214" t="str">
        <f t="shared" si="1"/>
        <v>EQTY.IntlUS.off</v>
      </c>
      <c r="N35" s="215">
        <f t="shared" si="2"/>
        <v>237</v>
      </c>
      <c r="O35" s="215">
        <f t="shared" si="3"/>
        <v>237</v>
      </c>
    </row>
    <row r="36" spans="5:15">
      <c r="E36" s="213" t="s">
        <v>319</v>
      </c>
      <c r="F36" s="213" t="s">
        <v>2328</v>
      </c>
      <c r="G36" s="213" t="s">
        <v>282</v>
      </c>
      <c r="H36" s="213">
        <v>-141</v>
      </c>
      <c r="I36" s="213">
        <v>-141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C60</v>
      </c>
      <c r="M36" s="214" t="str">
        <f t="shared" si="1"/>
        <v>EQTY.IntlUS.off</v>
      </c>
      <c r="N36" s="215">
        <f t="shared" si="2"/>
        <v>-141</v>
      </c>
      <c r="O36" s="215">
        <f t="shared" si="3"/>
        <v>-141</v>
      </c>
    </row>
    <row r="37" spans="5:15">
      <c r="E37" s="213" t="s">
        <v>319</v>
      </c>
      <c r="F37" s="213" t="s">
        <v>2326</v>
      </c>
      <c r="G37" s="213" t="s">
        <v>282</v>
      </c>
      <c r="H37" s="213">
        <v>-141</v>
      </c>
      <c r="I37" s="213">
        <v>-141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P40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-141</v>
      </c>
    </row>
    <row r="38" spans="5:15">
      <c r="E38" s="213" t="s">
        <v>317</v>
      </c>
      <c r="F38" s="213" t="s">
        <v>2261</v>
      </c>
      <c r="G38" s="213" t="s">
        <v>282</v>
      </c>
      <c r="H38" s="213">
        <v>-10782</v>
      </c>
      <c r="I38" s="213">
        <v>-10782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-10782</v>
      </c>
      <c r="O38" s="215">
        <f t="shared" si="3"/>
        <v>-10782</v>
      </c>
    </row>
    <row r="39" spans="5:15">
      <c r="E39" s="213" t="s">
        <v>2324</v>
      </c>
      <c r="F39" s="213" t="s">
        <v>2301</v>
      </c>
      <c r="G39" s="213" t="s">
        <v>282</v>
      </c>
      <c r="H39" s="213">
        <v>10349446</v>
      </c>
      <c r="I39" s="213">
        <v>10349446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10349446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841</v>
      </c>
      <c r="I40" s="213">
        <v>841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841</v>
      </c>
      <c r="O40" s="215">
        <f t="shared" si="3"/>
        <v>841</v>
      </c>
    </row>
    <row r="41" spans="5:15">
      <c r="E41" s="213" t="s">
        <v>319</v>
      </c>
      <c r="F41" s="213" t="s">
        <v>2285</v>
      </c>
      <c r="G41" s="213" t="s">
        <v>282</v>
      </c>
      <c r="H41" s="213">
        <v>56</v>
      </c>
      <c r="I41" s="213">
        <v>56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03/20/26 C420</v>
      </c>
      <c r="M41" s="214" t="str">
        <f t="shared" si="1"/>
        <v>EQTY.IntlUS.off</v>
      </c>
      <c r="N41" s="215">
        <f t="shared" si="2"/>
        <v>56</v>
      </c>
      <c r="O41" s="215">
        <f t="shared" si="3"/>
        <v>56</v>
      </c>
    </row>
    <row r="42" spans="5:15">
      <c r="E42" s="213" t="s">
        <v>464</v>
      </c>
      <c r="F42" s="213" t="s">
        <v>2406</v>
      </c>
      <c r="G42" s="213" t="s">
        <v>282</v>
      </c>
      <c r="H42" s="213">
        <v>-9372000</v>
      </c>
      <c r="I42" s="213">
        <v>-9372000</v>
      </c>
      <c r="K42" s="214" t="str">
        <f t="shared" si="0"/>
        <v>Global Bonds</v>
      </c>
      <c r="L42" s="214" t="str">
        <f>IF(E42="","",IF(COUNTIFS(Table2[[#All],[De (Lote)]],Input_APM!F42)&gt;0,INDEX(Table2[[#All],[Para (Ticker Daniel)]],MATCH(Input_APM!F42,Table2[[#All],[De (Lote)]],0)),Input_APM!F42))</f>
        <v>META 4.875% 11/15/35</v>
      </c>
      <c r="M42" s="214" t="str">
        <f t="shared" si="1"/>
        <v>EQTY.IntlUS.off</v>
      </c>
      <c r="N42" s="215">
        <f t="shared" si="2"/>
        <v>-9372000</v>
      </c>
      <c r="O42" s="215">
        <f t="shared" si="3"/>
        <v>-9372000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3759</v>
      </c>
      <c r="I43" s="213">
        <v>3055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META</v>
      </c>
      <c r="M43" s="214" t="str">
        <f t="shared" si="1"/>
        <v>EQTY.IntlUS.off</v>
      </c>
      <c r="N43" s="215">
        <f t="shared" si="2"/>
        <v>3759</v>
      </c>
      <c r="O43" s="215">
        <f t="shared" si="3"/>
        <v>3055</v>
      </c>
    </row>
    <row r="44" spans="5:15">
      <c r="E44" s="213" t="s">
        <v>319</v>
      </c>
      <c r="F44" s="213" t="s">
        <v>2068</v>
      </c>
      <c r="G44" s="213" t="s">
        <v>282</v>
      </c>
      <c r="H44" s="213">
        <v>57</v>
      </c>
      <c r="I44" s="213">
        <v>57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04/17/26 C690</v>
      </c>
      <c r="M44" s="214" t="str">
        <f t="shared" si="1"/>
        <v>EQTY.IntlUS.off</v>
      </c>
      <c r="N44" s="215">
        <f t="shared" si="2"/>
        <v>57</v>
      </c>
      <c r="O44" s="215">
        <f t="shared" si="3"/>
        <v>57</v>
      </c>
    </row>
    <row r="45" spans="5:15">
      <c r="E45" s="213" t="s">
        <v>319</v>
      </c>
      <c r="F45" s="213" t="s">
        <v>2404</v>
      </c>
      <c r="G45" s="213" t="s">
        <v>282</v>
      </c>
      <c r="H45" s="213">
        <v>70</v>
      </c>
      <c r="I45" s="213">
        <v>70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META US 07/17/26 C700</v>
      </c>
      <c r="M45" s="214" t="str">
        <f t="shared" si="1"/>
        <v>EQTY.IntlUS.off</v>
      </c>
      <c r="N45" s="215">
        <f t="shared" si="2"/>
        <v>70</v>
      </c>
      <c r="O45" s="215">
        <f t="shared" si="3"/>
        <v>70</v>
      </c>
    </row>
    <row r="46" spans="5:15">
      <c r="E46" s="213" t="s">
        <v>317</v>
      </c>
      <c r="F46" s="213" t="s">
        <v>138</v>
      </c>
      <c r="G46" s="213" t="s">
        <v>282</v>
      </c>
      <c r="H46" s="213">
        <v>2771</v>
      </c>
      <c r="I46" s="213">
        <v>-46</v>
      </c>
      <c r="K46" s="214" t="str">
        <f t="shared" si="0"/>
        <v>US Equity</v>
      </c>
      <c r="L46" s="214" t="str">
        <f>IF(E46="","",IF(COUNTIFS(Table2[[#All],[De (Lote)]],Input_APM!F46)&gt;0,INDEX(Table2[[#All],[Para (Ticker Daniel)]],MATCH(Input_APM!F46,Table2[[#All],[De (Lote)]],0)),Input_APM!F46))</f>
        <v>MRVL</v>
      </c>
      <c r="M46" s="214" t="str">
        <f t="shared" si="1"/>
        <v>EQTY.IntlUS.off</v>
      </c>
      <c r="N46" s="215">
        <f t="shared" si="2"/>
        <v>2771</v>
      </c>
      <c r="O46" s="215">
        <f t="shared" si="3"/>
        <v>-46</v>
      </c>
    </row>
    <row r="47" spans="5:15">
      <c r="E47" s="213" t="s">
        <v>319</v>
      </c>
      <c r="F47" s="213" t="s">
        <v>2271</v>
      </c>
      <c r="G47" s="213" t="s">
        <v>282</v>
      </c>
      <c r="H47" s="213">
        <v>-141</v>
      </c>
      <c r="I47" s="213">
        <v>-141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MRVL US 03/20/26 P70</v>
      </c>
      <c r="M47" s="214" t="str">
        <f t="shared" si="1"/>
        <v>EQTY.IntlUS.off</v>
      </c>
      <c r="N47" s="215">
        <f t="shared" si="2"/>
        <v>-141</v>
      </c>
      <c r="O47" s="215">
        <f t="shared" si="3"/>
        <v>-141</v>
      </c>
    </row>
    <row r="48" spans="5:15">
      <c r="E48" s="213" t="s">
        <v>319</v>
      </c>
      <c r="F48" s="213" t="s">
        <v>2095</v>
      </c>
      <c r="G48" s="213" t="s">
        <v>282</v>
      </c>
      <c r="H48" s="213">
        <v>-188</v>
      </c>
      <c r="I48" s="213">
        <v>-188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P75</v>
      </c>
      <c r="M48" s="214" t="str">
        <f t="shared" si="1"/>
        <v>EQTY.IntlUS.off</v>
      </c>
      <c r="N48" s="215">
        <f t="shared" si="2"/>
        <v>-188</v>
      </c>
      <c r="O48" s="215">
        <f t="shared" si="3"/>
        <v>-188</v>
      </c>
    </row>
    <row r="49" spans="5:15">
      <c r="E49" s="213" t="s">
        <v>319</v>
      </c>
      <c r="F49" s="213" t="s">
        <v>2058</v>
      </c>
      <c r="G49" s="213" t="s">
        <v>282</v>
      </c>
      <c r="H49" s="213">
        <v>141</v>
      </c>
      <c r="I49" s="213">
        <v>141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P80</v>
      </c>
      <c r="M49" s="214" t="str">
        <f t="shared" si="1"/>
        <v>EQTY.IntlUS.off</v>
      </c>
      <c r="N49" s="215">
        <f t="shared" si="2"/>
        <v>141</v>
      </c>
      <c r="O49" s="215">
        <f t="shared" si="3"/>
        <v>141</v>
      </c>
    </row>
    <row r="50" spans="5:15">
      <c r="E50" s="213" t="s">
        <v>319</v>
      </c>
      <c r="F50" s="213" t="s">
        <v>2094</v>
      </c>
      <c r="G50" s="213" t="s">
        <v>282</v>
      </c>
      <c r="H50" s="213">
        <v>186</v>
      </c>
      <c r="I50" s="213">
        <v>186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MRVL US 03/20/26 P85</v>
      </c>
      <c r="M50" s="214" t="str">
        <f t="shared" si="1"/>
        <v>EQTY.IntlUS.off</v>
      </c>
      <c r="N50" s="215">
        <f t="shared" si="2"/>
        <v>186</v>
      </c>
      <c r="O50" s="215">
        <f t="shared" si="3"/>
        <v>186</v>
      </c>
    </row>
    <row r="51" spans="5:15">
      <c r="E51" s="213" t="s">
        <v>317</v>
      </c>
      <c r="F51" s="213" t="s">
        <v>90</v>
      </c>
      <c r="G51" s="213" t="s">
        <v>282</v>
      </c>
      <c r="H51" s="213">
        <v>3910</v>
      </c>
      <c r="I51" s="213">
        <v>-955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MSFT</v>
      </c>
      <c r="M51" s="214" t="str">
        <f t="shared" si="1"/>
        <v>EQTY.IntlUS.off</v>
      </c>
      <c r="N51" s="215">
        <f t="shared" si="2"/>
        <v>3910</v>
      </c>
      <c r="O51" s="215">
        <f t="shared" si="3"/>
        <v>-955</v>
      </c>
    </row>
    <row r="52" spans="5:15">
      <c r="E52" s="213" t="s">
        <v>319</v>
      </c>
      <c r="F52" s="213" t="s">
        <v>2357</v>
      </c>
      <c r="G52" s="213" t="s">
        <v>282</v>
      </c>
      <c r="H52" s="213">
        <v>0</v>
      </c>
      <c r="I52" s="213">
        <v>163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MSFT US 07/17/26 C500</v>
      </c>
      <c r="M52" s="214" t="str">
        <f t="shared" si="1"/>
        <v>EQTY.IntlUS.off</v>
      </c>
      <c r="N52" s="215">
        <f t="shared" si="2"/>
        <v>0</v>
      </c>
      <c r="O52" s="215">
        <f t="shared" si="3"/>
        <v>163</v>
      </c>
    </row>
    <row r="53" spans="5:15">
      <c r="E53" s="213" t="s">
        <v>317</v>
      </c>
      <c r="F53" s="213" t="s">
        <v>94</v>
      </c>
      <c r="G53" s="213" t="s">
        <v>282</v>
      </c>
      <c r="H53" s="213">
        <v>18703</v>
      </c>
      <c r="I53" s="213">
        <v>12598</v>
      </c>
      <c r="K53" s="214" t="str">
        <f t="shared" si="0"/>
        <v>US Equity</v>
      </c>
      <c r="L53" s="214" t="str">
        <f>IF(E53="","",IF(COUNTIFS(Table2[[#All],[De (Lote)]],Input_APM!F53)&gt;0,INDEX(Table2[[#All],[Para (Ticker Daniel)]],MATCH(Input_APM!F53,Table2[[#All],[De (Lote)]],0)),Input_APM!F53))</f>
        <v>NVDA</v>
      </c>
      <c r="M53" s="214" t="str">
        <f t="shared" si="1"/>
        <v>EQTY.IntlUS.off</v>
      </c>
      <c r="N53" s="215">
        <f t="shared" si="2"/>
        <v>18703</v>
      </c>
      <c r="O53" s="215">
        <f t="shared" si="3"/>
        <v>12598</v>
      </c>
    </row>
    <row r="54" spans="5:15">
      <c r="E54" s="213" t="s">
        <v>319</v>
      </c>
      <c r="F54" s="213" t="s">
        <v>2392</v>
      </c>
      <c r="G54" s="213" t="s">
        <v>282</v>
      </c>
      <c r="H54" s="213">
        <v>0</v>
      </c>
      <c r="I54" s="213">
        <v>1879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NVDA US 02/06/26 C197.5</v>
      </c>
      <c r="M54" s="214" t="str">
        <f t="shared" si="1"/>
        <v>EQTY.IntlUS.off</v>
      </c>
      <c r="N54" s="215">
        <f t="shared" si="2"/>
        <v>0</v>
      </c>
      <c r="O54" s="215">
        <f t="shared" si="3"/>
        <v>1879</v>
      </c>
    </row>
    <row r="55" spans="5:15">
      <c r="E55" s="213" t="s">
        <v>319</v>
      </c>
      <c r="F55" s="213" t="s">
        <v>2393</v>
      </c>
      <c r="G55" s="213" t="s">
        <v>282</v>
      </c>
      <c r="H55" s="213">
        <v>0</v>
      </c>
      <c r="I55" s="213">
        <v>-1879</v>
      </c>
      <c r="K55" s="214" t="str">
        <f t="shared" si="0"/>
        <v>US Equity Options</v>
      </c>
      <c r="L55" s="214" t="str">
        <f>IF(E55="","",IF(COUNTIFS(Table2[[#All],[De (Lote)]],Input_APM!F55)&gt;0,INDEX(Table2[[#All],[Para (Ticker Daniel)]],MATCH(Input_APM!F55,Table2[[#All],[De (Lote)]],0)),Input_APM!F55))</f>
        <v>NVDA US 02/13/26 C202.5</v>
      </c>
      <c r="M55" s="214" t="str">
        <f t="shared" si="1"/>
        <v>EQTY.IntlUS.off</v>
      </c>
      <c r="N55" s="215">
        <f t="shared" si="2"/>
        <v>0</v>
      </c>
      <c r="O55" s="215">
        <f t="shared" si="3"/>
        <v>-1879</v>
      </c>
    </row>
    <row r="56" spans="5:15">
      <c r="E56" s="213" t="s">
        <v>319</v>
      </c>
      <c r="F56" s="213" t="s">
        <v>2390</v>
      </c>
      <c r="G56" s="213" t="s">
        <v>282</v>
      </c>
      <c r="H56" s="213">
        <v>142</v>
      </c>
      <c r="I56" s="213">
        <v>142</v>
      </c>
      <c r="K56" s="214" t="str">
        <f t="shared" si="0"/>
        <v>US Equity Options</v>
      </c>
      <c r="L56" s="214" t="str">
        <f>IF(E56="","",IF(COUNTIFS(Table2[[#All],[De (Lote)]],Input_APM!F56)&gt;0,INDEX(Table2[[#All],[Para (Ticker Daniel)]],MATCH(Input_APM!F56,Table2[[#All],[De (Lote)]],0)),Input_APM!F56))</f>
        <v>NVDA US 05/15/26 C200</v>
      </c>
      <c r="M56" s="214" t="str">
        <f t="shared" si="1"/>
        <v>EQTY.IntlUS.off</v>
      </c>
      <c r="N56" s="215">
        <f t="shared" si="2"/>
        <v>142</v>
      </c>
      <c r="O56" s="215">
        <f t="shared" si="3"/>
        <v>142</v>
      </c>
    </row>
    <row r="57" spans="5:15">
      <c r="E57" s="213" t="s">
        <v>318</v>
      </c>
      <c r="F57" s="213" t="s">
        <v>2407</v>
      </c>
      <c r="G57" s="213" t="s">
        <v>282</v>
      </c>
      <c r="H57" s="213">
        <v>15393.26</v>
      </c>
      <c r="I57" s="213">
        <v>15393.26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Equity Total Return Swap USD_</v>
      </c>
      <c r="M57" s="214" t="str">
        <f t="shared" si="1"/>
        <v>EQTY.IntlUS.off</v>
      </c>
      <c r="N57" s="215">
        <f t="shared" si="2"/>
        <v>15393.26</v>
      </c>
      <c r="O57" s="215">
        <f t="shared" si="3"/>
        <v>15393.26</v>
      </c>
    </row>
    <row r="58" spans="5:15">
      <c r="E58" s="213" t="s">
        <v>318</v>
      </c>
      <c r="F58" s="213" t="s">
        <v>336</v>
      </c>
      <c r="G58" s="213" t="s">
        <v>282</v>
      </c>
      <c r="H58" s="213">
        <v>-57669</v>
      </c>
      <c r="I58" s="213">
        <v>0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ETF Options USD_</v>
      </c>
      <c r="M58" s="214" t="str">
        <f t="shared" si="1"/>
        <v>EQTY.IntlUS.off</v>
      </c>
      <c r="N58" s="215">
        <f t="shared" si="2"/>
        <v>-57669</v>
      </c>
      <c r="O58" s="215">
        <f t="shared" si="3"/>
        <v>0</v>
      </c>
    </row>
    <row r="59" spans="5:15">
      <c r="E59" s="213" t="s">
        <v>318</v>
      </c>
      <c r="F59" s="213" t="s">
        <v>306</v>
      </c>
      <c r="G59" s="213" t="s">
        <v>282</v>
      </c>
      <c r="H59" s="213">
        <v>2410529.11</v>
      </c>
      <c r="I59" s="213">
        <v>-1707935.63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ETF USD_</v>
      </c>
      <c r="M59" s="214" t="str">
        <f t="shared" si="1"/>
        <v>EQTY.IntlUS.off</v>
      </c>
      <c r="N59" s="215">
        <f t="shared" si="2"/>
        <v>2410529.11</v>
      </c>
      <c r="O59" s="215">
        <f t="shared" si="3"/>
        <v>-1707935.63</v>
      </c>
    </row>
    <row r="60" spans="5:15">
      <c r="E60" s="213" t="s">
        <v>318</v>
      </c>
      <c r="F60" s="213" t="s">
        <v>2408</v>
      </c>
      <c r="G60" s="213" t="s">
        <v>282</v>
      </c>
      <c r="H60" s="225">
        <v>-6.9849193096160899E-10</v>
      </c>
      <c r="I60" s="213">
        <v>297377.46999999997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Global Bonds USD_</v>
      </c>
      <c r="M60" s="214" t="str">
        <f t="shared" si="1"/>
        <v>EQTY.IntlUS.off</v>
      </c>
      <c r="N60" s="215">
        <f t="shared" si="2"/>
        <v>-6.9849193096160899E-10</v>
      </c>
      <c r="O60" s="215">
        <f t="shared" si="3"/>
        <v>297377.46999999997</v>
      </c>
    </row>
    <row r="61" spans="5:15">
      <c r="E61" s="213" t="s">
        <v>318</v>
      </c>
      <c r="F61" s="213" t="s">
        <v>1666</v>
      </c>
      <c r="G61" s="213" t="s">
        <v>282</v>
      </c>
      <c r="H61" s="213">
        <v>-808628.03</v>
      </c>
      <c r="I61" s="213">
        <v>0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NYSE USD_</v>
      </c>
      <c r="M61" s="214" t="str">
        <f t="shared" si="1"/>
        <v>EQTY.IntlUS.off</v>
      </c>
      <c r="N61" s="215">
        <f t="shared" si="2"/>
        <v>-808628.03</v>
      </c>
      <c r="O61" s="215">
        <f t="shared" si="3"/>
        <v>0</v>
      </c>
    </row>
    <row r="62" spans="5:15">
      <c r="E62" s="213" t="s">
        <v>318</v>
      </c>
      <c r="F62" s="213" t="s">
        <v>337</v>
      </c>
      <c r="G62" s="213" t="s">
        <v>282</v>
      </c>
      <c r="H62" s="213">
        <v>169366</v>
      </c>
      <c r="I62" s="213">
        <v>-65819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US Equity Options USD_</v>
      </c>
      <c r="M62" s="214" t="str">
        <f t="shared" si="1"/>
        <v>EQTY.IntlUS.off</v>
      </c>
      <c r="N62" s="215">
        <f t="shared" si="2"/>
        <v>169366</v>
      </c>
      <c r="O62" s="215">
        <f t="shared" si="3"/>
        <v>-65819</v>
      </c>
    </row>
    <row r="63" spans="5:15">
      <c r="E63" s="213" t="s">
        <v>318</v>
      </c>
      <c r="F63" s="213" t="s">
        <v>307</v>
      </c>
      <c r="G63" s="213" t="s">
        <v>282</v>
      </c>
      <c r="H63" s="213">
        <v>-4114846.33</v>
      </c>
      <c r="I63" s="213">
        <v>430152.33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US Equity USD_</v>
      </c>
      <c r="M63" s="214" t="str">
        <f t="shared" si="1"/>
        <v>EQTY.IntlUS.off</v>
      </c>
      <c r="N63" s="215">
        <f t="shared" si="2"/>
        <v>-4114846.33</v>
      </c>
      <c r="O63" s="215">
        <f t="shared" si="3"/>
        <v>430152.33</v>
      </c>
    </row>
    <row r="64" spans="5:15">
      <c r="E64" s="213" t="s">
        <v>324</v>
      </c>
      <c r="F64" s="213" t="s">
        <v>2359</v>
      </c>
      <c r="G64" s="213" t="s">
        <v>282</v>
      </c>
      <c r="H64" s="213">
        <v>0</v>
      </c>
      <c r="I64" s="213">
        <v>141</v>
      </c>
      <c r="K64" s="214" t="str">
        <f t="shared" si="0"/>
        <v>ETF Options</v>
      </c>
      <c r="L64" s="214" t="str">
        <f>IF(E64="","",IF(COUNTIFS(Table2[[#All],[De (Lote)]],Input_APM!F64)&gt;0,INDEX(Table2[[#All],[Para (Ticker Daniel)]],MATCH(Input_APM!F64,Table2[[#All],[De (Lote)]],0)),Input_APM!F64))</f>
        <v>QQQ US 01/29/26 P628</v>
      </c>
      <c r="M64" s="214" t="str">
        <f t="shared" si="1"/>
        <v>EQTY.IntlUS.off</v>
      </c>
      <c r="N64" s="215">
        <f t="shared" si="2"/>
        <v>0</v>
      </c>
      <c r="O64" s="215">
        <f t="shared" si="3"/>
        <v>141</v>
      </c>
    </row>
    <row r="65" spans="5:15">
      <c r="E65" s="213" t="s">
        <v>324</v>
      </c>
      <c r="F65" s="213" t="s">
        <v>2446</v>
      </c>
      <c r="G65" s="213" t="s">
        <v>282</v>
      </c>
      <c r="H65" s="213">
        <v>470</v>
      </c>
      <c r="I65" s="213">
        <v>0</v>
      </c>
      <c r="K65" s="214" t="str">
        <f t="shared" si="0"/>
        <v>ETF Options</v>
      </c>
      <c r="L65" s="214" t="str">
        <f>IF(E65="","",IF(COUNTIFS(Table2[[#All],[De (Lote)]],Input_APM!F65)&gt;0,INDEX(Table2[[#All],[Para (Ticker Daniel)]],MATCH(Input_APM!F65,Table2[[#All],[De (Lote)]],0)),Input_APM!F65))</f>
        <v>QQQ US 01/30/26 P620</v>
      </c>
      <c r="M65" s="214" t="str">
        <f t="shared" si="1"/>
        <v>EQTY.IntlUS.off</v>
      </c>
      <c r="N65" s="215">
        <f t="shared" si="2"/>
        <v>470</v>
      </c>
      <c r="O65" s="215">
        <f t="shared" si="3"/>
        <v>0</v>
      </c>
    </row>
    <row r="66" spans="5:15">
      <c r="E66" s="213" t="s">
        <v>317</v>
      </c>
      <c r="F66" s="213" t="s">
        <v>2128</v>
      </c>
      <c r="G66" s="213" t="s">
        <v>282</v>
      </c>
      <c r="H66" s="213">
        <v>29600</v>
      </c>
      <c r="I66" s="213">
        <v>29572</v>
      </c>
      <c r="K66" s="214" t="str">
        <f t="shared" si="0"/>
        <v>US Equity</v>
      </c>
      <c r="L66" s="214" t="str">
        <f>IF(E66="","",IF(COUNTIFS(Table2[[#All],[De (Lote)]],Input_APM!F66)&gt;0,INDEX(Table2[[#All],[Para (Ticker Daniel)]],MATCH(Input_APM!F66,Table2[[#All],[De (Lote)]],0)),Input_APM!F66))</f>
        <v>RIOT</v>
      </c>
      <c r="M66" s="214" t="str">
        <f t="shared" si="1"/>
        <v>EQTY.IntlUS.off</v>
      </c>
      <c r="N66" s="215">
        <f t="shared" si="2"/>
        <v>29600</v>
      </c>
      <c r="O66" s="215">
        <f t="shared" si="3"/>
        <v>29572</v>
      </c>
    </row>
    <row r="67" spans="5:15">
      <c r="E67" s="213" t="s">
        <v>320</v>
      </c>
      <c r="F67" s="213" t="s">
        <v>3</v>
      </c>
      <c r="G67" s="213" t="s">
        <v>282</v>
      </c>
      <c r="H67" s="213">
        <v>-21497</v>
      </c>
      <c r="I67" s="213">
        <v>-12201</v>
      </c>
      <c r="K67" s="214" t="str">
        <f t="shared" ref="K67:K130" si="4">IF(E67="","",E67)</f>
        <v>ETF</v>
      </c>
      <c r="L67" s="214" t="str">
        <f>IF(E67="","",IF(COUNTIFS(Table2[[#All],[De (Lote)]],Input_APM!F67)&gt;0,INDEX(Table2[[#All],[Para (Ticker Daniel)]],MATCH(Input_APM!F67,Table2[[#All],[De (Lote)]],0)),Input_APM!F67))</f>
        <v>RSP</v>
      </c>
      <c r="M67" s="214" t="str">
        <f t="shared" ref="M67:M130" si="5">IF(E67="","",G67)</f>
        <v>EQTY.IntlUS.off</v>
      </c>
      <c r="N67" s="215">
        <f t="shared" ref="N67:N130" si="6">IF(E67="","",H67)</f>
        <v>-21497</v>
      </c>
      <c r="O67" s="215">
        <f t="shared" ref="O67:O130" si="7">IF(E67="","",I67)</f>
        <v>-12201</v>
      </c>
    </row>
    <row r="68" spans="5:15">
      <c r="E68" s="213" t="s">
        <v>318</v>
      </c>
      <c r="F68" s="213" t="s">
        <v>2124</v>
      </c>
      <c r="G68" s="213" t="s">
        <v>283</v>
      </c>
      <c r="H68" s="213">
        <v>-0.01</v>
      </c>
      <c r="I68" s="213">
        <v>-0.01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SPY DIVIDEND_</v>
      </c>
      <c r="M68" s="214" t="str">
        <f t="shared" si="5"/>
        <v>EQTY.InternacionalUS2.off</v>
      </c>
      <c r="N68" s="215">
        <f t="shared" si="6"/>
        <v>-0.01</v>
      </c>
      <c r="O68" s="215">
        <f t="shared" si="7"/>
        <v>-0.01</v>
      </c>
    </row>
    <row r="69" spans="5:15">
      <c r="E69" s="213" t="s">
        <v>318</v>
      </c>
      <c r="F69" s="213" t="s">
        <v>2124</v>
      </c>
      <c r="G69" s="213" t="s">
        <v>282</v>
      </c>
      <c r="H69" s="213">
        <v>0.01</v>
      </c>
      <c r="I69" s="213">
        <v>0.01</v>
      </c>
      <c r="K69" s="214" t="str">
        <f t="shared" si="4"/>
        <v>Provisions and Costs</v>
      </c>
      <c r="L69" s="214" t="str">
        <f>IF(E69="","",IF(COUNTIFS(Table2[[#All],[De (Lote)]],Input_APM!F69)&gt;0,INDEX(Table2[[#All],[Para (Ticker Daniel)]],MATCH(Input_APM!F69,Table2[[#All],[De (Lote)]],0)),Input_APM!F69))</f>
        <v>SPY DIVIDEND_</v>
      </c>
      <c r="M69" s="214" t="str">
        <f t="shared" si="5"/>
        <v>EQTY.IntlUS.off</v>
      </c>
      <c r="N69" s="215">
        <f t="shared" si="6"/>
        <v>0.01</v>
      </c>
      <c r="O69" s="215">
        <f t="shared" si="7"/>
        <v>0.01</v>
      </c>
    </row>
    <row r="70" spans="5:15">
      <c r="E70" s="213" t="s">
        <v>2130</v>
      </c>
      <c r="F70" s="213" t="s">
        <v>2131</v>
      </c>
      <c r="G70" s="213" t="s">
        <v>282</v>
      </c>
      <c r="H70" s="213">
        <v>1400</v>
      </c>
      <c r="I70" s="213">
        <v>1400</v>
      </c>
      <c r="K70" s="214" t="str">
        <f t="shared" si="4"/>
        <v>Equity Total Return Swap</v>
      </c>
      <c r="L70" s="214" t="str">
        <f>IF(E70="","",IF(COUNTIFS(Table2[[#All],[De (Lote)]],Input_APM!F70)&gt;0,INDEX(Table2[[#All],[Para (Ticker Daniel)]],MATCH(Input_APM!F70,Table2[[#All],[De (Lote)]],0)),Input_APM!F70))</f>
        <v>000660 KS</v>
      </c>
      <c r="M70" s="214" t="str">
        <f t="shared" si="5"/>
        <v>EQTY.IntlUS.off</v>
      </c>
      <c r="N70" s="215">
        <f t="shared" si="6"/>
        <v>1400</v>
      </c>
      <c r="O70" s="215">
        <f t="shared" si="7"/>
        <v>1400</v>
      </c>
    </row>
    <row r="71" spans="5:15">
      <c r="E71" s="213" t="s">
        <v>2130</v>
      </c>
      <c r="F71" s="213" t="s">
        <v>2325</v>
      </c>
      <c r="G71" s="213" t="s">
        <v>282</v>
      </c>
      <c r="H71" s="213">
        <v>643</v>
      </c>
      <c r="I71" s="213">
        <v>643</v>
      </c>
      <c r="K71" s="214" t="str">
        <f t="shared" si="4"/>
        <v>Equity Total Return Swap</v>
      </c>
      <c r="L71" s="214" t="str">
        <f>IF(E71="","",IF(COUNTIFS(Table2[[#All],[De (Lote)]],Input_APM!F71)&gt;0,INDEX(Table2[[#All],[Para (Ticker Daniel)]],MATCH(Input_APM!F71,Table2[[#All],[De (Lote)]],0)),Input_APM!F71))</f>
        <v>SWAP 000660 KS 26JAN2026 26JAN2027 509.6192</v>
      </c>
      <c r="M71" s="214" t="str">
        <f t="shared" si="5"/>
        <v>EQTY.IntlUS.off</v>
      </c>
      <c r="N71" s="215">
        <f t="shared" si="6"/>
        <v>643</v>
      </c>
      <c r="O71" s="215">
        <f t="shared" si="7"/>
        <v>643</v>
      </c>
    </row>
    <row r="72" spans="5:15">
      <c r="E72" s="213" t="s">
        <v>2130</v>
      </c>
      <c r="F72" s="213" t="s">
        <v>2409</v>
      </c>
      <c r="G72" s="213" t="s">
        <v>282</v>
      </c>
      <c r="H72" s="213">
        <v>2470</v>
      </c>
      <c r="I72" s="213">
        <v>2470</v>
      </c>
      <c r="K72" s="214" t="str">
        <f t="shared" si="4"/>
        <v>Equity Total Return Swap</v>
      </c>
      <c r="L72" s="214" t="str">
        <f>IF(E72="","",IF(COUNTIFS(Table2[[#All],[De (Lote)]],Input_APM!F72)&gt;0,INDEX(Table2[[#All],[Para (Ticker Daniel)]],MATCH(Input_APM!F72,Table2[[#All],[De (Lote)]],0)),Input_APM!F72))</f>
        <v>SWAP 300502 CH 30JAN2026 01FEB2027 57.9966</v>
      </c>
      <c r="M72" s="214" t="str">
        <f t="shared" si="5"/>
        <v>EQTY.IntlUS.off</v>
      </c>
      <c r="N72" s="215">
        <f t="shared" si="6"/>
        <v>2470</v>
      </c>
      <c r="O72" s="215">
        <f t="shared" si="7"/>
        <v>2470</v>
      </c>
    </row>
    <row r="73" spans="5:15">
      <c r="E73" s="213" t="s">
        <v>2410</v>
      </c>
      <c r="F73" s="213" t="s">
        <v>2411</v>
      </c>
      <c r="G73" s="213" t="s">
        <v>282</v>
      </c>
      <c r="H73" s="213">
        <v>9090840</v>
      </c>
      <c r="I73" s="213">
        <v>9090840</v>
      </c>
      <c r="K73" s="214" t="str">
        <f t="shared" si="4"/>
        <v>TBOND</v>
      </c>
      <c r="L73" s="214" t="str">
        <f>IF(E73="","",IF(COUNTIFS(Table2[[#All],[De (Lote)]],Input_APM!F73)&gt;0,INDEX(Table2[[#All],[Para (Ticker Daniel)]],MATCH(Input_APM!F73,Table2[[#All],[De (Lote)]],0)),Input_APM!F73))</f>
        <v>T 4.000% 11/15/35</v>
      </c>
      <c r="M73" s="214" t="str">
        <f t="shared" si="5"/>
        <v>EQTY.IntlUS.off</v>
      </c>
      <c r="N73" s="215">
        <f t="shared" si="6"/>
        <v>9090840</v>
      </c>
      <c r="O73" s="215">
        <f t="shared" si="7"/>
        <v>9090840</v>
      </c>
    </row>
    <row r="74" spans="5:15">
      <c r="E74" s="213" t="s">
        <v>39</v>
      </c>
      <c r="F74" s="213" t="s">
        <v>96</v>
      </c>
      <c r="G74" s="213" t="s">
        <v>282</v>
      </c>
      <c r="H74" s="213">
        <v>4838</v>
      </c>
      <c r="I74" s="213">
        <v>2490</v>
      </c>
      <c r="K74" s="214" t="str">
        <f t="shared" si="4"/>
        <v>ADR</v>
      </c>
      <c r="L74" s="214" t="str">
        <f>IF(E74="","",IF(COUNTIFS(Table2[[#All],[De (Lote)]],Input_APM!F74)&gt;0,INDEX(Table2[[#All],[Para (Ticker Daniel)]],MATCH(Input_APM!F74,Table2[[#All],[De (Lote)]],0)),Input_APM!F74))</f>
        <v>TSM</v>
      </c>
      <c r="M74" s="214" t="str">
        <f t="shared" si="5"/>
        <v>EQTY.IntlUS.off</v>
      </c>
      <c r="N74" s="215">
        <f t="shared" si="6"/>
        <v>4838</v>
      </c>
      <c r="O74" s="215">
        <f t="shared" si="7"/>
        <v>2490</v>
      </c>
    </row>
    <row r="75" spans="5:15">
      <c r="E75" s="213" t="s">
        <v>327</v>
      </c>
      <c r="F75" s="213" t="s">
        <v>2225</v>
      </c>
      <c r="G75" s="213" t="s">
        <v>282</v>
      </c>
      <c r="H75" s="213">
        <v>1453</v>
      </c>
      <c r="I75" s="213">
        <v>1453</v>
      </c>
      <c r="K75" s="214" t="str">
        <f t="shared" si="4"/>
        <v>ADR Options</v>
      </c>
      <c r="L75" s="214" t="str">
        <f>IF(E75="","",IF(COUNTIFS(Table2[[#All],[De (Lote)]],Input_APM!F75)&gt;0,INDEX(Table2[[#All],[Para (Ticker Daniel)]],MATCH(Input_APM!F75,Table2[[#All],[De (Lote)]],0)),Input_APM!F75))</f>
        <v>TSM US 06/18/26 C340</v>
      </c>
      <c r="M75" s="214" t="str">
        <f t="shared" si="5"/>
        <v>EQTY.IntlUS.off</v>
      </c>
      <c r="N75" s="215">
        <f t="shared" si="6"/>
        <v>1453</v>
      </c>
      <c r="O75" s="215">
        <f t="shared" si="7"/>
        <v>1453</v>
      </c>
    </row>
    <row r="76" spans="5:15">
      <c r="E76" s="213" t="s">
        <v>327</v>
      </c>
      <c r="F76" s="213" t="s">
        <v>2226</v>
      </c>
      <c r="G76" s="213" t="s">
        <v>282</v>
      </c>
      <c r="H76" s="213">
        <v>-1295</v>
      </c>
      <c r="I76" s="213">
        <v>-1312</v>
      </c>
      <c r="K76" s="214" t="str">
        <f t="shared" si="4"/>
        <v>ADR Options</v>
      </c>
      <c r="L76" s="214" t="str">
        <f>IF(E76="","",IF(COUNTIFS(Table2[[#All],[De (Lote)]],Input_APM!F76)&gt;0,INDEX(Table2[[#All],[Para (Ticker Daniel)]],MATCH(Input_APM!F76,Table2[[#All],[De (Lote)]],0)),Input_APM!F76))</f>
        <v>TSM US 06/18/26 C380</v>
      </c>
      <c r="M76" s="214" t="str">
        <f t="shared" si="5"/>
        <v>EQTY.IntlUS.off</v>
      </c>
      <c r="N76" s="215">
        <f t="shared" si="6"/>
        <v>-1295</v>
      </c>
      <c r="O76" s="215">
        <f t="shared" si="7"/>
        <v>-1312</v>
      </c>
    </row>
    <row r="77" spans="5:15">
      <c r="E77" s="213" t="s">
        <v>317</v>
      </c>
      <c r="F77" s="213" t="s">
        <v>83</v>
      </c>
      <c r="G77" s="213" t="s">
        <v>282</v>
      </c>
      <c r="H77" s="213">
        <v>0</v>
      </c>
      <c r="I77" s="213">
        <v>0</v>
      </c>
      <c r="K77" s="214" t="str">
        <f t="shared" si="4"/>
        <v>US Equity</v>
      </c>
      <c r="L77" s="214" t="str">
        <f>IF(E77="","",IF(COUNTIFS(Table2[[#All],[De (Lote)]],Input_APM!F77)&gt;0,INDEX(Table2[[#All],[Para (Ticker Daniel)]],MATCH(Input_APM!F77,Table2[[#All],[De (Lote)]],0)),Input_APM!F77))</f>
        <v>UBER</v>
      </c>
      <c r="M77" s="214" t="str">
        <f t="shared" si="5"/>
        <v>EQTY.IntlUS.off</v>
      </c>
      <c r="N77" s="215">
        <f t="shared" si="6"/>
        <v>0</v>
      </c>
      <c r="O77" s="215">
        <f t="shared" si="7"/>
        <v>0</v>
      </c>
    </row>
    <row r="78" spans="5:15">
      <c r="E78" s="213" t="s">
        <v>320</v>
      </c>
      <c r="F78" s="213" t="s">
        <v>88</v>
      </c>
      <c r="G78" s="213" t="s">
        <v>282</v>
      </c>
      <c r="H78" s="213">
        <v>42865</v>
      </c>
      <c r="I78" s="213">
        <v>42865</v>
      </c>
      <c r="K78" s="214" t="str">
        <f t="shared" si="4"/>
        <v>ETF</v>
      </c>
      <c r="L78" s="214" t="str">
        <f>IF(E78="","",IF(COUNTIFS(Table2[[#All],[De (Lote)]],Input_APM!F78)&gt;0,INDEX(Table2[[#All],[Para (Ticker Daniel)]],MATCH(Input_APM!F78,Table2[[#All],[De (Lote)]],0)),Input_APM!F78))</f>
        <v>XLF</v>
      </c>
      <c r="M78" s="214" t="str">
        <f t="shared" si="5"/>
        <v>EQTY.IntlUS.off</v>
      </c>
      <c r="N78" s="215">
        <f t="shared" si="6"/>
        <v>42865</v>
      </c>
      <c r="O78" s="215">
        <f t="shared" si="7"/>
        <v>42865</v>
      </c>
    </row>
    <row r="79" spans="5:15">
      <c r="E79" s="213" t="s">
        <v>320</v>
      </c>
      <c r="F79" s="213" t="s">
        <v>4</v>
      </c>
      <c r="G79" s="213" t="s">
        <v>282</v>
      </c>
      <c r="H79" s="213">
        <v>-25765</v>
      </c>
      <c r="I79" s="213">
        <v>-25765</v>
      </c>
      <c r="K79" s="214" t="str">
        <f t="shared" si="4"/>
        <v>ETF</v>
      </c>
      <c r="L79" s="214" t="str">
        <f>IF(E79="","",IF(COUNTIFS(Table2[[#All],[De (Lote)]],Input_APM!F79)&gt;0,INDEX(Table2[[#All],[Para (Ticker Daniel)]],MATCH(Input_APM!F79,Table2[[#All],[De (Lote)]],0)),Input_APM!F79))</f>
        <v>XLP</v>
      </c>
      <c r="M79" s="214" t="str">
        <f t="shared" si="5"/>
        <v>EQTY.IntlUS.off</v>
      </c>
      <c r="N79" s="215">
        <f t="shared" si="6"/>
        <v>-25765</v>
      </c>
      <c r="O79" s="215">
        <f t="shared" si="7"/>
        <v>-25765</v>
      </c>
    </row>
    <row r="80" spans="5:15">
      <c r="E80" s="213" t="s">
        <v>317</v>
      </c>
      <c r="F80" s="213" t="s">
        <v>2456</v>
      </c>
      <c r="G80" s="213" t="s">
        <v>282</v>
      </c>
      <c r="H80" s="213">
        <v>-470</v>
      </c>
      <c r="I80" s="213">
        <v>0</v>
      </c>
      <c r="K80" s="214" t="str">
        <f t="shared" si="4"/>
        <v>US Equity</v>
      </c>
      <c r="L80" s="214" t="str">
        <f>IF(E80="","",IF(COUNTIFS(Table2[[#All],[De (Lote)]],Input_APM!F80)&gt;0,INDEX(Table2[[#All],[Para (Ticker Daniel)]],MATCH(Input_APM!F80,Table2[[#All],[De (Lote)]],0)),Input_APM!F80))</f>
        <v>YSS</v>
      </c>
      <c r="M80" s="214" t="str">
        <f t="shared" si="5"/>
        <v>EQTY.IntlUS.off</v>
      </c>
      <c r="N80" s="215">
        <f t="shared" si="6"/>
        <v>-470</v>
      </c>
      <c r="O80" s="215">
        <f t="shared" si="7"/>
        <v>0</v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9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6.85546875" style="213" bestFit="1" customWidth="1"/>
    <col min="12" max="12" width="41.42578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406</v>
      </c>
      <c r="I2" s="213">
        <v>667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AAPL</v>
      </c>
      <c r="M2" s="214" t="str">
        <f>IF(E2="","",G2)</f>
        <v>EQTY.IntlUS.off</v>
      </c>
      <c r="N2" s="215">
        <f>IF(E2="","",H2)</f>
        <v>406</v>
      </c>
      <c r="O2" s="215">
        <f>IF(E2="","",I2)</f>
        <v>667</v>
      </c>
    </row>
    <row r="3" spans="5:15">
      <c r="E3" s="213" t="s">
        <v>317</v>
      </c>
      <c r="F3" s="213" t="s">
        <v>2356</v>
      </c>
      <c r="G3" s="213" t="s">
        <v>282</v>
      </c>
      <c r="H3" s="213">
        <v>392</v>
      </c>
      <c r="I3" s="213">
        <v>715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214" t="str">
        <f t="shared" ref="M3:M66" si="1">IF(E3="","",G3)</f>
        <v>EQTY.IntlUS.off</v>
      </c>
      <c r="N3" s="215">
        <f t="shared" ref="N3:N66" si="2">IF(E3="","",H3)</f>
        <v>392</v>
      </c>
      <c r="O3" s="215">
        <f t="shared" ref="O3:O66" si="3">IF(E3="","",I3)</f>
        <v>715</v>
      </c>
    </row>
    <row r="4" spans="5:15">
      <c r="E4" s="213" t="s">
        <v>317</v>
      </c>
      <c r="F4" s="213" t="s">
        <v>399</v>
      </c>
      <c r="G4" s="213" t="s">
        <v>282</v>
      </c>
      <c r="H4" s="213">
        <v>1028</v>
      </c>
      <c r="I4" s="213">
        <v>1138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AMZN</v>
      </c>
      <c r="M4" s="214" t="str">
        <f t="shared" si="1"/>
        <v>EQTY.IntlUS.off</v>
      </c>
      <c r="N4" s="215">
        <f t="shared" si="2"/>
        <v>1028</v>
      </c>
      <c r="O4" s="215">
        <f t="shared" si="3"/>
        <v>1138</v>
      </c>
    </row>
    <row r="5" spans="5:15">
      <c r="E5" s="213" t="s">
        <v>320</v>
      </c>
      <c r="F5" s="213" t="s">
        <v>38</v>
      </c>
      <c r="G5" s="213" t="s">
        <v>282</v>
      </c>
      <c r="H5" s="213">
        <v>1294</v>
      </c>
      <c r="I5" s="213">
        <v>1294</v>
      </c>
      <c r="K5" s="214" t="str">
        <f t="shared" si="0"/>
        <v>ETF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ASHR</v>
      </c>
      <c r="M5" s="214" t="str">
        <f t="shared" si="1"/>
        <v>EQTY.IntlUS.off</v>
      </c>
      <c r="N5" s="215">
        <f t="shared" si="2"/>
        <v>1294</v>
      </c>
      <c r="O5" s="215">
        <f t="shared" si="3"/>
        <v>1294</v>
      </c>
    </row>
    <row r="6" spans="5:15">
      <c r="E6" s="213" t="s">
        <v>324</v>
      </c>
      <c r="F6" s="213" t="s">
        <v>2224</v>
      </c>
      <c r="G6" s="213" t="s">
        <v>282</v>
      </c>
      <c r="H6" s="213">
        <v>65</v>
      </c>
      <c r="I6" s="213">
        <v>65</v>
      </c>
      <c r="K6" s="214" t="str">
        <f t="shared" si="0"/>
        <v>ETF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 US 02/20/26 C35</v>
      </c>
      <c r="M6" s="214" t="str">
        <f t="shared" si="1"/>
        <v>EQTY.IntlUS.off</v>
      </c>
      <c r="N6" s="215">
        <f t="shared" si="2"/>
        <v>65</v>
      </c>
      <c r="O6" s="215">
        <f t="shared" si="3"/>
        <v>65</v>
      </c>
    </row>
    <row r="7" spans="5:15">
      <c r="E7" s="213" t="s">
        <v>317</v>
      </c>
      <c r="F7" s="213" t="s">
        <v>137</v>
      </c>
      <c r="G7" s="213" t="s">
        <v>282</v>
      </c>
      <c r="H7" s="213">
        <v>91</v>
      </c>
      <c r="I7" s="213">
        <v>0</v>
      </c>
      <c r="K7" s="214" t="str">
        <f t="shared" si="0"/>
        <v>US Equity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214" t="str">
        <f t="shared" si="1"/>
        <v>EQTY.IntlUS.off</v>
      </c>
      <c r="N7" s="215">
        <f t="shared" si="2"/>
        <v>91</v>
      </c>
      <c r="O7" s="215">
        <f t="shared" si="3"/>
        <v>0</v>
      </c>
    </row>
    <row r="8" spans="5:15">
      <c r="E8" s="213" t="s">
        <v>319</v>
      </c>
      <c r="F8" s="213" t="s">
        <v>2102</v>
      </c>
      <c r="G8" s="213" t="s">
        <v>282</v>
      </c>
      <c r="H8" s="213">
        <v>6</v>
      </c>
      <c r="I8" s="213">
        <v>6</v>
      </c>
      <c r="K8" s="214" t="str">
        <f t="shared" si="0"/>
        <v>US Equity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214" t="str">
        <f t="shared" si="1"/>
        <v>EQTY.IntlUS.off</v>
      </c>
      <c r="N8" s="215">
        <f t="shared" si="2"/>
        <v>6</v>
      </c>
      <c r="O8" s="215">
        <f t="shared" si="3"/>
        <v>6</v>
      </c>
    </row>
    <row r="9" spans="5:15">
      <c r="E9" s="213" t="s">
        <v>39</v>
      </c>
      <c r="F9" s="213" t="s">
        <v>461</v>
      </c>
      <c r="G9" s="213" t="s">
        <v>282</v>
      </c>
      <c r="H9" s="213">
        <v>215</v>
      </c>
      <c r="I9" s="213">
        <v>215</v>
      </c>
      <c r="K9" s="214" t="str">
        <f t="shared" si="0"/>
        <v>ADR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BABA</v>
      </c>
      <c r="M9" s="214" t="str">
        <f t="shared" si="1"/>
        <v>EQTY.IntlUS.off</v>
      </c>
      <c r="N9" s="215">
        <f t="shared" si="2"/>
        <v>215</v>
      </c>
      <c r="O9" s="215">
        <f t="shared" si="3"/>
        <v>215</v>
      </c>
    </row>
    <row r="10" spans="5:15">
      <c r="E10" s="213" t="s">
        <v>39</v>
      </c>
      <c r="F10" s="213" t="s">
        <v>2138</v>
      </c>
      <c r="G10" s="213" t="s">
        <v>282</v>
      </c>
      <c r="H10" s="213">
        <v>225</v>
      </c>
      <c r="I10" s="213">
        <v>225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BIDU</v>
      </c>
      <c r="M10" s="214" t="str">
        <f t="shared" si="1"/>
        <v>EQTY.IntlUS.off</v>
      </c>
      <c r="N10" s="215">
        <f t="shared" si="2"/>
        <v>225</v>
      </c>
      <c r="O10" s="215">
        <f t="shared" si="3"/>
        <v>225</v>
      </c>
    </row>
    <row r="11" spans="5:15">
      <c r="E11" s="213" t="s">
        <v>321</v>
      </c>
      <c r="F11" s="213" t="s">
        <v>295</v>
      </c>
      <c r="G11" s="213" t="s">
        <v>282</v>
      </c>
      <c r="H11" s="213">
        <v>0.05</v>
      </c>
      <c r="I11" s="213">
        <v>0.05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CAD</v>
      </c>
      <c r="M11" s="214" t="str">
        <f t="shared" si="1"/>
        <v>EQTY.IntlUS.off</v>
      </c>
      <c r="N11" s="215">
        <f t="shared" si="2"/>
        <v>0.05</v>
      </c>
      <c r="O11" s="215">
        <f t="shared" si="3"/>
        <v>0.05</v>
      </c>
    </row>
    <row r="12" spans="5:15">
      <c r="E12" s="213" t="s">
        <v>321</v>
      </c>
      <c r="F12" s="213" t="s">
        <v>296</v>
      </c>
      <c r="G12" s="213" t="s">
        <v>283</v>
      </c>
      <c r="H12" s="213">
        <v>0.49</v>
      </c>
      <c r="I12" s="213">
        <v>0.49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CHF</v>
      </c>
      <c r="M12" s="214" t="str">
        <f t="shared" si="1"/>
        <v>EQTY.InternacionalUS2.off</v>
      </c>
      <c r="N12" s="215">
        <f t="shared" si="2"/>
        <v>0.49</v>
      </c>
      <c r="O12" s="215">
        <f t="shared" si="3"/>
        <v>0.49</v>
      </c>
    </row>
    <row r="13" spans="5:15">
      <c r="E13" s="213" t="s">
        <v>321</v>
      </c>
      <c r="F13" s="213" t="s">
        <v>296</v>
      </c>
      <c r="G13" s="213" t="s">
        <v>282</v>
      </c>
      <c r="H13" s="213">
        <v>-2610.69</v>
      </c>
      <c r="I13" s="213">
        <v>-2610.69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EQTY.IntlUS.off</v>
      </c>
      <c r="N13" s="215">
        <f t="shared" si="2"/>
        <v>-2610.69</v>
      </c>
      <c r="O13" s="215">
        <f t="shared" si="3"/>
        <v>-2610.69</v>
      </c>
    </row>
    <row r="14" spans="5:15">
      <c r="E14" s="213" t="s">
        <v>321</v>
      </c>
      <c r="F14" s="213" t="s">
        <v>297</v>
      </c>
      <c r="G14" s="213" t="s">
        <v>282</v>
      </c>
      <c r="H14" s="213">
        <v>0.16</v>
      </c>
      <c r="I14" s="213">
        <v>0.16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CNH</v>
      </c>
      <c r="M14" s="214" t="str">
        <f t="shared" si="1"/>
        <v>EQTY.IntlUS.off</v>
      </c>
      <c r="N14" s="215">
        <f t="shared" si="2"/>
        <v>0.16</v>
      </c>
      <c r="O14" s="215">
        <f t="shared" si="3"/>
        <v>0.16</v>
      </c>
    </row>
    <row r="15" spans="5:15">
      <c r="E15" s="213" t="s">
        <v>321</v>
      </c>
      <c r="F15" s="213" t="s">
        <v>2123</v>
      </c>
      <c r="G15" s="213" t="s">
        <v>283</v>
      </c>
      <c r="H15" s="213">
        <v>-0.21</v>
      </c>
      <c r="I15" s="213">
        <v>-0.21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CNY</v>
      </c>
      <c r="M15" s="214" t="str">
        <f t="shared" si="1"/>
        <v>EQTY.InternacionalUS2.off</v>
      </c>
      <c r="N15" s="215">
        <f t="shared" si="2"/>
        <v>-0.21</v>
      </c>
      <c r="O15" s="215">
        <f t="shared" si="3"/>
        <v>-0.21</v>
      </c>
    </row>
    <row r="16" spans="5:15">
      <c r="E16" s="213" t="s">
        <v>321</v>
      </c>
      <c r="F16" s="213" t="s">
        <v>2123</v>
      </c>
      <c r="G16" s="213" t="s">
        <v>282</v>
      </c>
      <c r="H16" s="213">
        <v>-10000.790000000001</v>
      </c>
      <c r="I16" s="213">
        <v>-10000.790000000001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EQTY.IntlUS.off</v>
      </c>
      <c r="N16" s="215">
        <f t="shared" si="2"/>
        <v>-10000.790000000001</v>
      </c>
      <c r="O16" s="215">
        <f t="shared" si="3"/>
        <v>-10000.790000000001</v>
      </c>
    </row>
    <row r="17" spans="5:15">
      <c r="E17" s="213" t="s">
        <v>321</v>
      </c>
      <c r="F17" s="213" t="s">
        <v>298</v>
      </c>
      <c r="G17" s="213" t="s">
        <v>283</v>
      </c>
      <c r="H17" s="213">
        <v>0.47</v>
      </c>
      <c r="I17" s="213">
        <v>0.47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EUR</v>
      </c>
      <c r="M17" s="214" t="str">
        <f t="shared" si="1"/>
        <v>EQTY.InternacionalUS2.off</v>
      </c>
      <c r="N17" s="215">
        <f t="shared" si="2"/>
        <v>0.47</v>
      </c>
      <c r="O17" s="215">
        <f t="shared" si="3"/>
        <v>0.47</v>
      </c>
    </row>
    <row r="18" spans="5:15">
      <c r="E18" s="213" t="s">
        <v>321</v>
      </c>
      <c r="F18" s="213" t="s">
        <v>298</v>
      </c>
      <c r="G18" s="213" t="s">
        <v>282</v>
      </c>
      <c r="H18" s="213">
        <v>3233.9</v>
      </c>
      <c r="I18" s="213">
        <v>3233.9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EQTY.IntlUS.off</v>
      </c>
      <c r="N18" s="215">
        <f t="shared" si="2"/>
        <v>3233.9</v>
      </c>
      <c r="O18" s="215">
        <f t="shared" si="3"/>
        <v>3233.9</v>
      </c>
    </row>
    <row r="19" spans="5:15">
      <c r="E19" s="213" t="s">
        <v>321</v>
      </c>
      <c r="F19" s="213" t="s">
        <v>299</v>
      </c>
      <c r="G19" s="213" t="s">
        <v>282</v>
      </c>
      <c r="H19" s="213">
        <v>0.82</v>
      </c>
      <c r="I19" s="213">
        <v>0.82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GBP</v>
      </c>
      <c r="M19" s="214" t="str">
        <f t="shared" si="1"/>
        <v>EQTY.IntlUS.off</v>
      </c>
      <c r="N19" s="215">
        <f t="shared" si="2"/>
        <v>0.82</v>
      </c>
      <c r="O19" s="215">
        <f t="shared" si="3"/>
        <v>0.82</v>
      </c>
    </row>
    <row r="20" spans="5:15">
      <c r="E20" s="213" t="s">
        <v>321</v>
      </c>
      <c r="F20" s="213" t="s">
        <v>300</v>
      </c>
      <c r="G20" s="213" t="s">
        <v>283</v>
      </c>
      <c r="H20" s="213">
        <v>-0.06</v>
      </c>
      <c r="I20" s="213">
        <v>-0.06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HKD</v>
      </c>
      <c r="M20" s="214" t="str">
        <f t="shared" si="1"/>
        <v>EQTY.InternacionalUS2.off</v>
      </c>
      <c r="N20" s="215">
        <f t="shared" si="2"/>
        <v>-0.06</v>
      </c>
      <c r="O20" s="215">
        <f t="shared" si="3"/>
        <v>-0.06</v>
      </c>
    </row>
    <row r="21" spans="5:15">
      <c r="E21" s="213" t="s">
        <v>321</v>
      </c>
      <c r="F21" s="213" t="s">
        <v>300</v>
      </c>
      <c r="G21" s="213" t="s">
        <v>282</v>
      </c>
      <c r="H21" s="213">
        <v>-17957.060000000001</v>
      </c>
      <c r="I21" s="213">
        <v>-17957.060000000001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EQTY.IntlUS.off</v>
      </c>
      <c r="N21" s="215">
        <f t="shared" si="2"/>
        <v>-17957.060000000001</v>
      </c>
      <c r="O21" s="215">
        <f t="shared" si="3"/>
        <v>-17957.060000000001</v>
      </c>
    </row>
    <row r="22" spans="5:15">
      <c r="E22" s="213" t="s">
        <v>321</v>
      </c>
      <c r="F22" s="213" t="s">
        <v>301</v>
      </c>
      <c r="G22" s="213" t="s">
        <v>282</v>
      </c>
      <c r="H22" s="213">
        <v>-0.01</v>
      </c>
      <c r="I22" s="213">
        <v>-0.01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KRW</v>
      </c>
      <c r="M22" s="214" t="str">
        <f t="shared" si="1"/>
        <v>EQTY.IntlUS.off</v>
      </c>
      <c r="N22" s="215">
        <f t="shared" si="2"/>
        <v>-0.01</v>
      </c>
      <c r="O22" s="215">
        <f t="shared" si="3"/>
        <v>-0.01</v>
      </c>
    </row>
    <row r="23" spans="5:15">
      <c r="E23" s="213" t="s">
        <v>321</v>
      </c>
      <c r="F23" s="213" t="s">
        <v>302</v>
      </c>
      <c r="G23" s="213" t="s">
        <v>282</v>
      </c>
      <c r="H23" s="213">
        <v>-100612.97614409</v>
      </c>
      <c r="I23" s="213">
        <v>3.8559100000000002E-3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USD</v>
      </c>
      <c r="M23" s="214" t="str">
        <f t="shared" si="1"/>
        <v>EQTY.IntlUS.off</v>
      </c>
      <c r="N23" s="215">
        <f t="shared" si="2"/>
        <v>-100612.97614409</v>
      </c>
      <c r="O23" s="215">
        <f t="shared" si="3"/>
        <v>3.8559100000000002E-3</v>
      </c>
    </row>
    <row r="24" spans="5:15">
      <c r="E24" s="213" t="s">
        <v>477</v>
      </c>
      <c r="F24" s="213" t="s">
        <v>1906</v>
      </c>
      <c r="G24" s="213" t="s">
        <v>282</v>
      </c>
      <c r="H24" s="213">
        <v>375000</v>
      </c>
      <c r="I24" s="213">
        <v>375000</v>
      </c>
      <c r="K24" s="214" t="str">
        <f t="shared" si="0"/>
        <v>CDS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CHINAGOV 12/20/30</v>
      </c>
      <c r="M24" s="214" t="str">
        <f t="shared" si="1"/>
        <v>EQTY.IntlUS.off</v>
      </c>
      <c r="N24" s="215">
        <f t="shared" si="2"/>
        <v>375000</v>
      </c>
      <c r="O24" s="215">
        <f t="shared" si="3"/>
        <v>375000</v>
      </c>
    </row>
    <row r="25" spans="5:15">
      <c r="E25" s="213" t="s">
        <v>317</v>
      </c>
      <c r="F25" s="213" t="s">
        <v>2347</v>
      </c>
      <c r="G25" s="213" t="s">
        <v>282</v>
      </c>
      <c r="H25" s="213">
        <v>1874</v>
      </c>
      <c r="I25" s="213">
        <v>1874</v>
      </c>
      <c r="K25" s="214" t="str">
        <f t="shared" si="0"/>
        <v>US Equity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CSCO</v>
      </c>
      <c r="M25" s="214" t="str">
        <f t="shared" si="1"/>
        <v>EQTY.IntlUS.off</v>
      </c>
      <c r="N25" s="215">
        <f t="shared" si="2"/>
        <v>1874</v>
      </c>
      <c r="O25" s="215">
        <f t="shared" si="3"/>
        <v>1874</v>
      </c>
    </row>
    <row r="26" spans="5:15">
      <c r="E26" s="213" t="s">
        <v>318</v>
      </c>
      <c r="F26" s="213" t="s">
        <v>2268</v>
      </c>
      <c r="G26" s="213" t="s">
        <v>283</v>
      </c>
      <c r="H26" s="213">
        <v>0.01</v>
      </c>
      <c r="I26" s="213">
        <v>0.01</v>
      </c>
      <c r="K26" s="214" t="str">
        <f t="shared" si="0"/>
        <v>Provisions and Costs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DELL DIVIDEND_</v>
      </c>
      <c r="M26" s="214" t="str">
        <f t="shared" si="1"/>
        <v>EQTY.InternacionalUS2.off</v>
      </c>
      <c r="N26" s="215">
        <f t="shared" si="2"/>
        <v>0.01</v>
      </c>
      <c r="O26" s="215">
        <f t="shared" si="3"/>
        <v>0.01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3005</v>
      </c>
      <c r="I27" s="213">
        <v>2854</v>
      </c>
      <c r="K27" s="214" t="str">
        <f t="shared" si="0"/>
        <v>ETF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EWY</v>
      </c>
      <c r="M27" s="214" t="str">
        <f t="shared" si="1"/>
        <v>EQTY.IntlUS.off</v>
      </c>
      <c r="N27" s="215">
        <f t="shared" si="2"/>
        <v>3005</v>
      </c>
      <c r="O27" s="215">
        <f t="shared" si="3"/>
        <v>2854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1668</v>
      </c>
      <c r="I28" s="213">
        <v>1516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 xml:space="preserve">GDX </v>
      </c>
      <c r="M28" s="214" t="str">
        <f t="shared" si="1"/>
        <v>EQTY.IntlUS.off</v>
      </c>
      <c r="N28" s="215">
        <f t="shared" si="2"/>
        <v>1668</v>
      </c>
      <c r="O28" s="215">
        <f t="shared" si="3"/>
        <v>1516</v>
      </c>
    </row>
    <row r="29" spans="5:15">
      <c r="E29" s="213" t="s">
        <v>324</v>
      </c>
      <c r="F29" s="213" t="s">
        <v>2259</v>
      </c>
      <c r="G29" s="213" t="s">
        <v>282</v>
      </c>
      <c r="H29" s="213">
        <v>69</v>
      </c>
      <c r="I29" s="213">
        <v>69</v>
      </c>
      <c r="K29" s="214" t="str">
        <f t="shared" si="0"/>
        <v>ETF Options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GDX US 09/18/26 C105</v>
      </c>
      <c r="M29" s="214" t="str">
        <f t="shared" si="1"/>
        <v>EQTY.IntlUS.off</v>
      </c>
      <c r="N29" s="215">
        <f t="shared" si="2"/>
        <v>69</v>
      </c>
      <c r="O29" s="215">
        <f t="shared" si="3"/>
        <v>69</v>
      </c>
    </row>
    <row r="30" spans="5:15">
      <c r="E30" s="213" t="s">
        <v>324</v>
      </c>
      <c r="F30" s="213" t="s">
        <v>2260</v>
      </c>
      <c r="G30" s="213" t="s">
        <v>282</v>
      </c>
      <c r="H30" s="213">
        <v>-69</v>
      </c>
      <c r="I30" s="213">
        <v>-69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C115</v>
      </c>
      <c r="M30" s="214" t="str">
        <f t="shared" si="1"/>
        <v>EQTY.IntlUS.off</v>
      </c>
      <c r="N30" s="215">
        <f t="shared" si="2"/>
        <v>-69</v>
      </c>
      <c r="O30" s="215">
        <f t="shared" si="3"/>
        <v>-69</v>
      </c>
    </row>
    <row r="31" spans="5:15">
      <c r="E31" s="213" t="s">
        <v>317</v>
      </c>
      <c r="F31" s="213" t="s">
        <v>2145</v>
      </c>
      <c r="G31" s="213" t="s">
        <v>282</v>
      </c>
      <c r="H31" s="213">
        <v>906</v>
      </c>
      <c r="I31" s="213">
        <v>556</v>
      </c>
      <c r="K31" s="214" t="str">
        <f t="shared" si="0"/>
        <v>US Equity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GOOG</v>
      </c>
      <c r="M31" s="214" t="str">
        <f t="shared" si="1"/>
        <v>EQTY.IntlUS.off</v>
      </c>
      <c r="N31" s="215">
        <f t="shared" si="2"/>
        <v>906</v>
      </c>
      <c r="O31" s="215">
        <f t="shared" si="3"/>
        <v>556</v>
      </c>
    </row>
    <row r="32" spans="5:15">
      <c r="E32" s="213" t="s">
        <v>325</v>
      </c>
      <c r="F32" s="213" t="s">
        <v>1896</v>
      </c>
      <c r="G32" s="213" t="s">
        <v>282</v>
      </c>
      <c r="H32" s="213">
        <v>19314</v>
      </c>
      <c r="I32" s="213">
        <v>19314</v>
      </c>
      <c r="K32" s="214" t="str">
        <f t="shared" si="0"/>
        <v>Basket Index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GSC1000P 03/20/26 C104</v>
      </c>
      <c r="M32" s="214" t="str">
        <f t="shared" si="1"/>
        <v>EQTY.IntlUS.off</v>
      </c>
      <c r="N32" s="215">
        <f t="shared" si="2"/>
        <v>19314</v>
      </c>
      <c r="O32" s="215">
        <f t="shared" si="3"/>
        <v>19314</v>
      </c>
    </row>
    <row r="33" spans="5:15">
      <c r="E33" s="213" t="s">
        <v>325</v>
      </c>
      <c r="F33" s="213" t="s">
        <v>1897</v>
      </c>
      <c r="G33" s="213" t="s">
        <v>282</v>
      </c>
      <c r="H33" s="213">
        <v>-19314</v>
      </c>
      <c r="I33" s="213">
        <v>-19314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C119</v>
      </c>
      <c r="M33" s="214" t="str">
        <f t="shared" si="1"/>
        <v>EQTY.IntlUS.off</v>
      </c>
      <c r="N33" s="215">
        <f t="shared" si="2"/>
        <v>-19314</v>
      </c>
      <c r="O33" s="215">
        <f t="shared" si="3"/>
        <v>-19314</v>
      </c>
    </row>
    <row r="34" spans="5:15">
      <c r="E34" s="213" t="s">
        <v>320</v>
      </c>
      <c r="F34" s="213" t="s">
        <v>89</v>
      </c>
      <c r="G34" s="213" t="s">
        <v>282</v>
      </c>
      <c r="H34" s="213">
        <v>-792</v>
      </c>
      <c r="I34" s="213">
        <v>0</v>
      </c>
      <c r="K34" s="214" t="str">
        <f t="shared" si="0"/>
        <v>ETF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IGV</v>
      </c>
      <c r="M34" s="214" t="str">
        <f t="shared" si="1"/>
        <v>EQTY.IntlUS.off</v>
      </c>
      <c r="N34" s="215">
        <f t="shared" si="2"/>
        <v>-792</v>
      </c>
      <c r="O34" s="215">
        <f t="shared" si="3"/>
        <v>0</v>
      </c>
    </row>
    <row r="35" spans="5:15">
      <c r="E35" s="213" t="s">
        <v>317</v>
      </c>
      <c r="F35" s="213" t="s">
        <v>708</v>
      </c>
      <c r="G35" s="213" t="s">
        <v>282</v>
      </c>
      <c r="H35" s="213">
        <v>0</v>
      </c>
      <c r="I35" s="213">
        <v>218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</v>
      </c>
      <c r="M35" s="214" t="str">
        <f t="shared" si="1"/>
        <v>EQTY.IntlUS.off</v>
      </c>
      <c r="N35" s="215">
        <f t="shared" si="2"/>
        <v>0</v>
      </c>
      <c r="O35" s="215">
        <f t="shared" si="3"/>
        <v>218</v>
      </c>
    </row>
    <row r="36" spans="5:15">
      <c r="E36" s="213" t="s">
        <v>319</v>
      </c>
      <c r="F36" s="213" t="s">
        <v>2327</v>
      </c>
      <c r="G36" s="213" t="s">
        <v>282</v>
      </c>
      <c r="H36" s="213">
        <v>13</v>
      </c>
      <c r="I36" s="213">
        <v>13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C50</v>
      </c>
      <c r="M36" s="214" t="str">
        <f t="shared" si="1"/>
        <v>EQTY.IntlUS.off</v>
      </c>
      <c r="N36" s="215">
        <f t="shared" si="2"/>
        <v>13</v>
      </c>
      <c r="O36" s="215">
        <f t="shared" si="3"/>
        <v>13</v>
      </c>
    </row>
    <row r="37" spans="5:15">
      <c r="E37" s="213" t="s">
        <v>319</v>
      </c>
      <c r="F37" s="213" t="s">
        <v>2328</v>
      </c>
      <c r="G37" s="213" t="s">
        <v>282</v>
      </c>
      <c r="H37" s="213">
        <v>-9</v>
      </c>
      <c r="I37" s="213">
        <v>-9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C60</v>
      </c>
      <c r="M37" s="214" t="str">
        <f t="shared" si="1"/>
        <v>EQTY.IntlUS.off</v>
      </c>
      <c r="N37" s="215">
        <f t="shared" si="2"/>
        <v>-9</v>
      </c>
      <c r="O37" s="215">
        <f t="shared" si="3"/>
        <v>-9</v>
      </c>
    </row>
    <row r="38" spans="5:15">
      <c r="E38" s="213" t="s">
        <v>319</v>
      </c>
      <c r="F38" s="213" t="s">
        <v>2326</v>
      </c>
      <c r="G38" s="213" t="s">
        <v>282</v>
      </c>
      <c r="H38" s="213">
        <v>-9</v>
      </c>
      <c r="I38" s="213">
        <v>-9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INTC US 07/17/26 P40</v>
      </c>
      <c r="M38" s="214" t="str">
        <f t="shared" si="1"/>
        <v>EQTY.IntlUS.off</v>
      </c>
      <c r="N38" s="215">
        <f t="shared" si="2"/>
        <v>-9</v>
      </c>
      <c r="O38" s="215">
        <f t="shared" si="3"/>
        <v>-9</v>
      </c>
    </row>
    <row r="39" spans="5:15">
      <c r="E39" s="213" t="s">
        <v>317</v>
      </c>
      <c r="F39" s="213" t="s">
        <v>2261</v>
      </c>
      <c r="G39" s="213" t="s">
        <v>282</v>
      </c>
      <c r="H39" s="213">
        <v>-718</v>
      </c>
      <c r="I39" s="213">
        <v>-718</v>
      </c>
      <c r="K39" s="214" t="str">
        <f t="shared" si="0"/>
        <v>US Equity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KHC</v>
      </c>
      <c r="M39" s="214" t="str">
        <f t="shared" si="1"/>
        <v>EQTY.IntlUS.off</v>
      </c>
      <c r="N39" s="215">
        <f t="shared" si="2"/>
        <v>-718</v>
      </c>
      <c r="O39" s="215">
        <f t="shared" si="3"/>
        <v>-718</v>
      </c>
    </row>
    <row r="40" spans="5:15">
      <c r="E40" s="213" t="s">
        <v>2324</v>
      </c>
      <c r="F40" s="213" t="s">
        <v>2301</v>
      </c>
      <c r="G40" s="213" t="s">
        <v>282</v>
      </c>
      <c r="H40" s="213">
        <v>685255</v>
      </c>
      <c r="I40" s="213">
        <v>685255</v>
      </c>
      <c r="K40" s="214" t="str">
        <f t="shared" si="0"/>
        <v>KOSPI 200 Index Options - KRX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KOSPI2 12/10/26 C1000</v>
      </c>
      <c r="M40" s="214" t="str">
        <f t="shared" si="1"/>
        <v>EQTY.IntlUS.off</v>
      </c>
      <c r="N40" s="215">
        <f t="shared" si="2"/>
        <v>685255</v>
      </c>
      <c r="O40" s="215">
        <f t="shared" si="3"/>
        <v>685255</v>
      </c>
    </row>
    <row r="41" spans="5:15">
      <c r="E41" s="213" t="s">
        <v>317</v>
      </c>
      <c r="F41" s="213" t="s">
        <v>2063</v>
      </c>
      <c r="G41" s="213" t="s">
        <v>282</v>
      </c>
      <c r="H41" s="213">
        <v>59</v>
      </c>
      <c r="I41" s="213">
        <v>59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</v>
      </c>
      <c r="M41" s="214" t="str">
        <f t="shared" si="1"/>
        <v>EQTY.IntlUS.off</v>
      </c>
      <c r="N41" s="215">
        <f t="shared" si="2"/>
        <v>59</v>
      </c>
      <c r="O41" s="215">
        <f t="shared" si="3"/>
        <v>59</v>
      </c>
    </row>
    <row r="42" spans="5:15">
      <c r="E42" s="213" t="s">
        <v>319</v>
      </c>
      <c r="F42" s="213" t="s">
        <v>2285</v>
      </c>
      <c r="G42" s="213" t="s">
        <v>282</v>
      </c>
      <c r="H42" s="213">
        <v>4</v>
      </c>
      <c r="I42" s="213">
        <v>4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LITE US 03/20/26 C420</v>
      </c>
      <c r="M42" s="214" t="str">
        <f t="shared" si="1"/>
        <v>EQTY.IntlUS.off</v>
      </c>
      <c r="N42" s="215">
        <f t="shared" si="2"/>
        <v>4</v>
      </c>
      <c r="O42" s="215">
        <f t="shared" si="3"/>
        <v>4</v>
      </c>
    </row>
    <row r="43" spans="5:15">
      <c r="E43" s="213" t="s">
        <v>464</v>
      </c>
      <c r="F43" s="213" t="s">
        <v>2406</v>
      </c>
      <c r="G43" s="213" t="s">
        <v>282</v>
      </c>
      <c r="H43" s="213">
        <v>-628000</v>
      </c>
      <c r="I43" s="213">
        <v>-628000</v>
      </c>
      <c r="K43" s="214" t="str">
        <f t="shared" si="0"/>
        <v>Global Bonds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4.875% 11/15/35</v>
      </c>
      <c r="M43" s="214" t="str">
        <f t="shared" si="1"/>
        <v>EQTY.IntlUS.off</v>
      </c>
      <c r="N43" s="215">
        <f t="shared" si="2"/>
        <v>-628000</v>
      </c>
      <c r="O43" s="215">
        <f t="shared" si="3"/>
        <v>-628000</v>
      </c>
    </row>
    <row r="44" spans="5:15">
      <c r="E44" s="213" t="s">
        <v>317</v>
      </c>
      <c r="F44" s="213" t="s">
        <v>326</v>
      </c>
      <c r="G44" s="213" t="s">
        <v>282</v>
      </c>
      <c r="H44" s="213">
        <v>241</v>
      </c>
      <c r="I44" s="213">
        <v>195</v>
      </c>
      <c r="K44" s="214" t="str">
        <f t="shared" si="0"/>
        <v>US Equity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</v>
      </c>
      <c r="M44" s="214" t="str">
        <f t="shared" si="1"/>
        <v>EQTY.IntlUS.off</v>
      </c>
      <c r="N44" s="215">
        <f t="shared" si="2"/>
        <v>241</v>
      </c>
      <c r="O44" s="215">
        <f t="shared" si="3"/>
        <v>195</v>
      </c>
    </row>
    <row r="45" spans="5:15">
      <c r="E45" s="213" t="s">
        <v>319</v>
      </c>
      <c r="F45" s="213" t="s">
        <v>2068</v>
      </c>
      <c r="G45" s="213" t="s">
        <v>282</v>
      </c>
      <c r="H45" s="213">
        <v>3</v>
      </c>
      <c r="I45" s="213">
        <v>3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META US 04/17/26 C690</v>
      </c>
      <c r="M45" s="214" t="str">
        <f t="shared" si="1"/>
        <v>EQTY.IntlUS.off</v>
      </c>
      <c r="N45" s="215">
        <f t="shared" si="2"/>
        <v>3</v>
      </c>
      <c r="O45" s="215">
        <f t="shared" si="3"/>
        <v>3</v>
      </c>
    </row>
    <row r="46" spans="5:15">
      <c r="E46" s="213" t="s">
        <v>319</v>
      </c>
      <c r="F46" s="213" t="s">
        <v>2404</v>
      </c>
      <c r="G46" s="213" t="s">
        <v>282</v>
      </c>
      <c r="H46" s="213">
        <v>5</v>
      </c>
      <c r="I46" s="213">
        <v>5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US 07/17/26 C700</v>
      </c>
      <c r="M46" s="214" t="str">
        <f t="shared" si="1"/>
        <v>EQTY.IntlUS.off</v>
      </c>
      <c r="N46" s="215">
        <f t="shared" si="2"/>
        <v>5</v>
      </c>
      <c r="O46" s="215">
        <f t="shared" si="3"/>
        <v>5</v>
      </c>
    </row>
    <row r="47" spans="5:15">
      <c r="E47" s="213" t="s">
        <v>317</v>
      </c>
      <c r="F47" s="213" t="s">
        <v>138</v>
      </c>
      <c r="G47" s="213" t="s">
        <v>282</v>
      </c>
      <c r="H47" s="213">
        <v>180</v>
      </c>
      <c r="I47" s="213">
        <v>-3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MRVL</v>
      </c>
      <c r="M47" s="214" t="str">
        <f t="shared" si="1"/>
        <v>EQTY.IntlUS.off</v>
      </c>
      <c r="N47" s="215">
        <f t="shared" si="2"/>
        <v>180</v>
      </c>
      <c r="O47" s="215">
        <f t="shared" si="3"/>
        <v>-3</v>
      </c>
    </row>
    <row r="48" spans="5:15">
      <c r="E48" s="213" t="s">
        <v>319</v>
      </c>
      <c r="F48" s="213" t="s">
        <v>2271</v>
      </c>
      <c r="G48" s="213" t="s">
        <v>282</v>
      </c>
      <c r="H48" s="213">
        <v>-9</v>
      </c>
      <c r="I48" s="213">
        <v>-9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 US 03/20/26 P70</v>
      </c>
      <c r="M48" s="214" t="str">
        <f t="shared" si="1"/>
        <v>EQTY.IntlUS.off</v>
      </c>
      <c r="N48" s="215">
        <f t="shared" si="2"/>
        <v>-9</v>
      </c>
      <c r="O48" s="215">
        <f t="shared" si="3"/>
        <v>-9</v>
      </c>
    </row>
    <row r="49" spans="5:15">
      <c r="E49" s="213" t="s">
        <v>319</v>
      </c>
      <c r="F49" s="213" t="s">
        <v>2095</v>
      </c>
      <c r="G49" s="213" t="s">
        <v>282</v>
      </c>
      <c r="H49" s="213">
        <v>-12</v>
      </c>
      <c r="I49" s="213">
        <v>-12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P75</v>
      </c>
      <c r="M49" s="214" t="str">
        <f t="shared" si="1"/>
        <v>EQTY.IntlUS.off</v>
      </c>
      <c r="N49" s="215">
        <f t="shared" si="2"/>
        <v>-12</v>
      </c>
      <c r="O49" s="215">
        <f t="shared" si="3"/>
        <v>-12</v>
      </c>
    </row>
    <row r="50" spans="5:15">
      <c r="E50" s="213" t="s">
        <v>319</v>
      </c>
      <c r="F50" s="213" t="s">
        <v>2058</v>
      </c>
      <c r="G50" s="213" t="s">
        <v>282</v>
      </c>
      <c r="H50" s="213">
        <v>9</v>
      </c>
      <c r="I50" s="213">
        <v>9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MRVL US 03/20/26 P80</v>
      </c>
      <c r="M50" s="214" t="str">
        <f t="shared" si="1"/>
        <v>EQTY.IntlUS.off</v>
      </c>
      <c r="N50" s="215">
        <f t="shared" si="2"/>
        <v>9</v>
      </c>
      <c r="O50" s="215">
        <f t="shared" si="3"/>
        <v>9</v>
      </c>
    </row>
    <row r="51" spans="5:15">
      <c r="E51" s="213" t="s">
        <v>319</v>
      </c>
      <c r="F51" s="213" t="s">
        <v>2094</v>
      </c>
      <c r="G51" s="213" t="s">
        <v>282</v>
      </c>
      <c r="H51" s="213">
        <v>14</v>
      </c>
      <c r="I51" s="213">
        <v>14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 US 03/20/26 P85</v>
      </c>
      <c r="M51" s="214" t="str">
        <f t="shared" si="1"/>
        <v>EQTY.IntlUS.off</v>
      </c>
      <c r="N51" s="215">
        <f t="shared" si="2"/>
        <v>14</v>
      </c>
      <c r="O51" s="215">
        <f t="shared" si="3"/>
        <v>14</v>
      </c>
    </row>
    <row r="52" spans="5:15">
      <c r="E52" s="213" t="s">
        <v>317</v>
      </c>
      <c r="F52" s="213" t="s">
        <v>90</v>
      </c>
      <c r="G52" s="213" t="s">
        <v>282</v>
      </c>
      <c r="H52" s="213">
        <v>270</v>
      </c>
      <c r="I52" s="213">
        <v>-45</v>
      </c>
      <c r="K52" s="214" t="str">
        <f t="shared" si="0"/>
        <v>US Equity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MSFT</v>
      </c>
      <c r="M52" s="214" t="str">
        <f t="shared" si="1"/>
        <v>EQTY.IntlUS.off</v>
      </c>
      <c r="N52" s="215">
        <f t="shared" si="2"/>
        <v>270</v>
      </c>
      <c r="O52" s="215">
        <f t="shared" si="3"/>
        <v>-45</v>
      </c>
    </row>
    <row r="53" spans="5:15">
      <c r="E53" s="213" t="s">
        <v>319</v>
      </c>
      <c r="F53" s="213" t="s">
        <v>2357</v>
      </c>
      <c r="G53" s="213" t="s">
        <v>282</v>
      </c>
      <c r="H53" s="213">
        <v>0</v>
      </c>
      <c r="I53" s="213">
        <v>12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 US 07/17/26 C500</v>
      </c>
      <c r="M53" s="214" t="str">
        <f t="shared" si="1"/>
        <v>EQTY.IntlUS.off</v>
      </c>
      <c r="N53" s="215">
        <f t="shared" si="2"/>
        <v>0</v>
      </c>
      <c r="O53" s="215">
        <f t="shared" si="3"/>
        <v>12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1305</v>
      </c>
      <c r="I54" s="213">
        <v>910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1305</v>
      </c>
      <c r="O54" s="215">
        <f t="shared" si="3"/>
        <v>910</v>
      </c>
    </row>
    <row r="55" spans="5:15">
      <c r="E55" s="213" t="s">
        <v>319</v>
      </c>
      <c r="F55" s="213" t="s">
        <v>2392</v>
      </c>
      <c r="G55" s="213" t="s">
        <v>282</v>
      </c>
      <c r="H55" s="213">
        <v>0</v>
      </c>
      <c r="I55" s="213">
        <v>121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NVDA US 02/06/26 C197.5</v>
      </c>
      <c r="M55" s="214" t="str">
        <f t="shared" si="1"/>
        <v>EQTY.IntlUS.off</v>
      </c>
      <c r="N55" s="215">
        <f t="shared" si="2"/>
        <v>0</v>
      </c>
      <c r="O55" s="215">
        <f t="shared" si="3"/>
        <v>121</v>
      </c>
    </row>
    <row r="56" spans="5:15">
      <c r="E56" s="213" t="s">
        <v>319</v>
      </c>
      <c r="F56" s="213" t="s">
        <v>2393</v>
      </c>
      <c r="G56" s="213" t="s">
        <v>282</v>
      </c>
      <c r="H56" s="213">
        <v>0</v>
      </c>
      <c r="I56" s="213">
        <v>-121</v>
      </c>
      <c r="K56" s="214" t="str">
        <f t="shared" si="0"/>
        <v>US Equity Options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NVDA US 02/13/26 C202.5</v>
      </c>
      <c r="M56" s="214" t="str">
        <f t="shared" si="1"/>
        <v>EQTY.IntlUS.off</v>
      </c>
      <c r="N56" s="215">
        <f t="shared" si="2"/>
        <v>0</v>
      </c>
      <c r="O56" s="215">
        <f t="shared" si="3"/>
        <v>-121</v>
      </c>
    </row>
    <row r="57" spans="5:15">
      <c r="E57" s="213" t="s">
        <v>319</v>
      </c>
      <c r="F57" s="213" t="s">
        <v>2390</v>
      </c>
      <c r="G57" s="213" t="s">
        <v>282</v>
      </c>
      <c r="H57" s="213">
        <v>8</v>
      </c>
      <c r="I57" s="213">
        <v>8</v>
      </c>
      <c r="K57" s="214" t="str">
        <f t="shared" si="0"/>
        <v>US Equity Options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NVDA US 05/15/26 C200</v>
      </c>
      <c r="M57" s="214" t="str">
        <f t="shared" si="1"/>
        <v>EQTY.IntlUS.off</v>
      </c>
      <c r="N57" s="215">
        <f t="shared" si="2"/>
        <v>8</v>
      </c>
      <c r="O57" s="215">
        <f t="shared" si="3"/>
        <v>8</v>
      </c>
    </row>
    <row r="58" spans="5:15">
      <c r="E58" s="213" t="s">
        <v>318</v>
      </c>
      <c r="F58" s="213" t="s">
        <v>2407</v>
      </c>
      <c r="G58" s="213" t="s">
        <v>282</v>
      </c>
      <c r="H58" s="213">
        <v>995.58</v>
      </c>
      <c r="I58" s="213">
        <v>995.58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Equity Total Return Swap USD_</v>
      </c>
      <c r="M58" s="214" t="str">
        <f t="shared" si="1"/>
        <v>EQTY.IntlUS.off</v>
      </c>
      <c r="N58" s="215">
        <f t="shared" si="2"/>
        <v>995.58</v>
      </c>
      <c r="O58" s="215">
        <f t="shared" si="3"/>
        <v>995.58</v>
      </c>
    </row>
    <row r="59" spans="5:15">
      <c r="E59" s="213" t="s">
        <v>318</v>
      </c>
      <c r="F59" s="213" t="s">
        <v>336</v>
      </c>
      <c r="G59" s="213" t="s">
        <v>282</v>
      </c>
      <c r="H59" s="213">
        <v>-3681</v>
      </c>
      <c r="I59" s="213">
        <v>0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ETF Options USD_</v>
      </c>
      <c r="M59" s="214" t="str">
        <f t="shared" si="1"/>
        <v>EQTY.IntlUS.off</v>
      </c>
      <c r="N59" s="215">
        <f t="shared" si="2"/>
        <v>-3681</v>
      </c>
      <c r="O59" s="215">
        <f t="shared" si="3"/>
        <v>0</v>
      </c>
    </row>
    <row r="60" spans="5:15">
      <c r="E60" s="213" t="s">
        <v>318</v>
      </c>
      <c r="F60" s="213" t="s">
        <v>306</v>
      </c>
      <c r="G60" s="213" t="s">
        <v>282</v>
      </c>
      <c r="H60" s="213">
        <v>156773.10999999999</v>
      </c>
      <c r="I60" s="213">
        <v>-110367.76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ETF USD_</v>
      </c>
      <c r="M60" s="214" t="str">
        <f t="shared" si="1"/>
        <v>EQTY.IntlUS.off</v>
      </c>
      <c r="N60" s="215">
        <f t="shared" si="2"/>
        <v>156773.10999999999</v>
      </c>
      <c r="O60" s="215">
        <f t="shared" si="3"/>
        <v>-110367.76</v>
      </c>
    </row>
    <row r="61" spans="5:15">
      <c r="E61" s="213" t="s">
        <v>318</v>
      </c>
      <c r="F61" s="213" t="s">
        <v>2408</v>
      </c>
      <c r="G61" s="213" t="s">
        <v>282</v>
      </c>
      <c r="H61" s="225">
        <v>4.7293724492192301E-11</v>
      </c>
      <c r="I61" s="213">
        <v>19926.7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Global Bonds USD_</v>
      </c>
      <c r="M61" s="214" t="str">
        <f t="shared" si="1"/>
        <v>EQTY.IntlUS.off</v>
      </c>
      <c r="N61" s="215">
        <f t="shared" si="2"/>
        <v>4.7293724492192301E-11</v>
      </c>
      <c r="O61" s="215">
        <f t="shared" si="3"/>
        <v>19926.7</v>
      </c>
    </row>
    <row r="62" spans="5:15">
      <c r="E62" s="213" t="s">
        <v>318</v>
      </c>
      <c r="F62" s="213" t="s">
        <v>1666</v>
      </c>
      <c r="G62" s="213" t="s">
        <v>282</v>
      </c>
      <c r="H62" s="213">
        <v>-52176.43</v>
      </c>
      <c r="I62" s="213">
        <v>0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NYSE USD_</v>
      </c>
      <c r="M62" s="214" t="str">
        <f t="shared" si="1"/>
        <v>EQTY.IntlUS.off</v>
      </c>
      <c r="N62" s="215">
        <f t="shared" si="2"/>
        <v>-52176.43</v>
      </c>
      <c r="O62" s="215">
        <f t="shared" si="3"/>
        <v>0</v>
      </c>
    </row>
    <row r="63" spans="5:15">
      <c r="E63" s="213" t="s">
        <v>318</v>
      </c>
      <c r="F63" s="213" t="s">
        <v>337</v>
      </c>
      <c r="G63" s="213" t="s">
        <v>282</v>
      </c>
      <c r="H63" s="213">
        <v>12562</v>
      </c>
      <c r="I63" s="213">
        <v>-38025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US Equity Options USD_</v>
      </c>
      <c r="M63" s="214" t="str">
        <f t="shared" si="1"/>
        <v>EQTY.IntlUS.off</v>
      </c>
      <c r="N63" s="215">
        <f t="shared" si="2"/>
        <v>12562</v>
      </c>
      <c r="O63" s="215">
        <f t="shared" si="3"/>
        <v>-38025</v>
      </c>
    </row>
    <row r="64" spans="5:15">
      <c r="E64" s="213" t="s">
        <v>318</v>
      </c>
      <c r="F64" s="213" t="s">
        <v>307</v>
      </c>
      <c r="G64" s="213" t="s">
        <v>282</v>
      </c>
      <c r="H64" s="213">
        <v>-266448.51</v>
      </c>
      <c r="I64" s="213">
        <v>27853.08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US Equity USD_</v>
      </c>
      <c r="M64" s="214" t="str">
        <f t="shared" si="1"/>
        <v>EQTY.IntlUS.off</v>
      </c>
      <c r="N64" s="215">
        <f t="shared" si="2"/>
        <v>-266448.51</v>
      </c>
      <c r="O64" s="215">
        <f t="shared" si="3"/>
        <v>27853.08</v>
      </c>
    </row>
    <row r="65" spans="5:15">
      <c r="E65" s="213" t="s">
        <v>324</v>
      </c>
      <c r="F65" s="213" t="s">
        <v>2359</v>
      </c>
      <c r="G65" s="213" t="s">
        <v>282</v>
      </c>
      <c r="H65" s="213">
        <v>0</v>
      </c>
      <c r="I65" s="213">
        <v>9</v>
      </c>
      <c r="K65" s="214" t="str">
        <f t="shared" si="0"/>
        <v>ETF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QQQ US 01/29/26 P628</v>
      </c>
      <c r="M65" s="214" t="str">
        <f t="shared" si="1"/>
        <v>EQTY.IntlUS.off</v>
      </c>
      <c r="N65" s="215">
        <f t="shared" si="2"/>
        <v>0</v>
      </c>
      <c r="O65" s="215">
        <f t="shared" si="3"/>
        <v>9</v>
      </c>
    </row>
    <row r="66" spans="5:15">
      <c r="E66" s="213" t="s">
        <v>324</v>
      </c>
      <c r="F66" s="213" t="s">
        <v>2446</v>
      </c>
      <c r="G66" s="213" t="s">
        <v>282</v>
      </c>
      <c r="H66" s="213">
        <v>30</v>
      </c>
      <c r="I66" s="213">
        <v>0</v>
      </c>
      <c r="K66" s="214" t="str">
        <f t="shared" si="0"/>
        <v>ETF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QQQ US 01/30/26 P620</v>
      </c>
      <c r="M66" s="214" t="str">
        <f t="shared" si="1"/>
        <v>EQTY.IntlUS.off</v>
      </c>
      <c r="N66" s="215">
        <f t="shared" si="2"/>
        <v>30</v>
      </c>
      <c r="O66" s="215">
        <f t="shared" si="3"/>
        <v>0</v>
      </c>
    </row>
    <row r="67" spans="5:15">
      <c r="E67" s="213" t="s">
        <v>317</v>
      </c>
      <c r="F67" s="213" t="s">
        <v>2128</v>
      </c>
      <c r="G67" s="213" t="s">
        <v>282</v>
      </c>
      <c r="H67" s="213">
        <v>2030</v>
      </c>
      <c r="I67" s="213">
        <v>2028</v>
      </c>
      <c r="K67" s="214" t="str">
        <f t="shared" ref="K67:K130" si="4">IF(E67="","",E67)</f>
        <v>US Equity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RIOT</v>
      </c>
      <c r="M67" s="214" t="str">
        <f t="shared" ref="M67:M130" si="5">IF(E67="","",G67)</f>
        <v>EQTY.IntlUS.off</v>
      </c>
      <c r="N67" s="215">
        <f t="shared" ref="N67:N130" si="6">IF(E67="","",H67)</f>
        <v>2030</v>
      </c>
      <c r="O67" s="215">
        <f t="shared" ref="O67:O130" si="7">IF(E67="","",I67)</f>
        <v>2028</v>
      </c>
    </row>
    <row r="68" spans="5:15">
      <c r="E68" s="213" t="s">
        <v>320</v>
      </c>
      <c r="F68" s="213" t="s">
        <v>3</v>
      </c>
      <c r="G68" s="213" t="s">
        <v>282</v>
      </c>
      <c r="H68" s="213">
        <v>-1403</v>
      </c>
      <c r="I68" s="213">
        <v>-799</v>
      </c>
      <c r="K68" s="214" t="str">
        <f t="shared" si="4"/>
        <v>ETF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RSP</v>
      </c>
      <c r="M68" s="214" t="str">
        <f t="shared" si="5"/>
        <v>EQTY.IntlUS.off</v>
      </c>
      <c r="N68" s="215">
        <f t="shared" si="6"/>
        <v>-1403</v>
      </c>
      <c r="O68" s="215">
        <f t="shared" si="7"/>
        <v>-799</v>
      </c>
    </row>
    <row r="69" spans="5:15">
      <c r="E69" s="213" t="s">
        <v>2130</v>
      </c>
      <c r="F69" s="213" t="s">
        <v>2131</v>
      </c>
      <c r="G69" s="213" t="s">
        <v>282</v>
      </c>
      <c r="H69" s="213">
        <v>100</v>
      </c>
      <c r="I69" s="213">
        <v>100</v>
      </c>
      <c r="K69" s="214" t="str">
        <f t="shared" si="4"/>
        <v>Equity Total Return Swap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000660 KS</v>
      </c>
      <c r="M69" s="214" t="str">
        <f t="shared" si="5"/>
        <v>EQTY.IntlUS.off</v>
      </c>
      <c r="N69" s="215">
        <f t="shared" si="6"/>
        <v>100</v>
      </c>
      <c r="O69" s="215">
        <f t="shared" si="7"/>
        <v>100</v>
      </c>
    </row>
    <row r="70" spans="5:15">
      <c r="E70" s="213" t="s">
        <v>2130</v>
      </c>
      <c r="F70" s="213" t="s">
        <v>2325</v>
      </c>
      <c r="G70" s="213" t="s">
        <v>282</v>
      </c>
      <c r="H70" s="213">
        <v>43</v>
      </c>
      <c r="I70" s="213">
        <v>43</v>
      </c>
      <c r="K70" s="214" t="str">
        <f t="shared" si="4"/>
        <v>Equity Total Return Swap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SWAP 000660 KS 26JAN2026 26JAN2027 509.6192</v>
      </c>
      <c r="M70" s="214" t="str">
        <f t="shared" si="5"/>
        <v>EQTY.IntlUS.off</v>
      </c>
      <c r="N70" s="215">
        <f t="shared" si="6"/>
        <v>43</v>
      </c>
      <c r="O70" s="215">
        <f t="shared" si="7"/>
        <v>43</v>
      </c>
    </row>
    <row r="71" spans="5:15">
      <c r="E71" s="213" t="s">
        <v>2130</v>
      </c>
      <c r="F71" s="213" t="s">
        <v>2409</v>
      </c>
      <c r="G71" s="213" t="s">
        <v>282</v>
      </c>
      <c r="H71" s="213">
        <v>130</v>
      </c>
      <c r="I71" s="213">
        <v>130</v>
      </c>
      <c r="K71" s="214" t="str">
        <f t="shared" si="4"/>
        <v>Equity Total Return Swap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SWAP 300502 CH 30JAN2026 01FEB2027 57.9966</v>
      </c>
      <c r="M71" s="214" t="str">
        <f t="shared" si="5"/>
        <v>EQTY.IntlUS.off</v>
      </c>
      <c r="N71" s="215">
        <f t="shared" si="6"/>
        <v>130</v>
      </c>
      <c r="O71" s="215">
        <f t="shared" si="7"/>
        <v>130</v>
      </c>
    </row>
    <row r="72" spans="5:15">
      <c r="E72" s="213" t="s">
        <v>2410</v>
      </c>
      <c r="F72" s="213" t="s">
        <v>2411</v>
      </c>
      <c r="G72" s="213" t="s">
        <v>282</v>
      </c>
      <c r="H72" s="213">
        <v>609160</v>
      </c>
      <c r="I72" s="213">
        <v>609160</v>
      </c>
      <c r="K72" s="214" t="str">
        <f t="shared" si="4"/>
        <v>TBOND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 4.000% 11/15/35</v>
      </c>
      <c r="M72" s="214" t="str">
        <f t="shared" si="5"/>
        <v>EQTY.IntlUS.off</v>
      </c>
      <c r="N72" s="215">
        <f t="shared" si="6"/>
        <v>609160</v>
      </c>
      <c r="O72" s="215">
        <f t="shared" si="7"/>
        <v>609160</v>
      </c>
    </row>
    <row r="73" spans="5:15">
      <c r="E73" s="213" t="s">
        <v>39</v>
      </c>
      <c r="F73" s="213" t="s">
        <v>96</v>
      </c>
      <c r="G73" s="213" t="s">
        <v>282</v>
      </c>
      <c r="H73" s="213">
        <v>360</v>
      </c>
      <c r="I73" s="213">
        <v>208</v>
      </c>
      <c r="K73" s="214" t="str">
        <f t="shared" si="4"/>
        <v>ADR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TSM</v>
      </c>
      <c r="M73" s="214" t="str">
        <f t="shared" si="5"/>
        <v>EQTY.IntlUS.off</v>
      </c>
      <c r="N73" s="215">
        <f t="shared" si="6"/>
        <v>360</v>
      </c>
      <c r="O73" s="215">
        <f t="shared" si="7"/>
        <v>208</v>
      </c>
    </row>
    <row r="74" spans="5:15">
      <c r="E74" s="213" t="s">
        <v>327</v>
      </c>
      <c r="F74" s="213" t="s">
        <v>2225</v>
      </c>
      <c r="G74" s="213" t="s">
        <v>282</v>
      </c>
      <c r="H74" s="213">
        <v>97</v>
      </c>
      <c r="I74" s="213">
        <v>97</v>
      </c>
      <c r="K74" s="214" t="str">
        <f t="shared" si="4"/>
        <v>ADR Options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TSM US 06/18/26 C340</v>
      </c>
      <c r="M74" s="214" t="str">
        <f t="shared" si="5"/>
        <v>EQTY.IntlUS.off</v>
      </c>
      <c r="N74" s="215">
        <f t="shared" si="6"/>
        <v>97</v>
      </c>
      <c r="O74" s="215">
        <f t="shared" si="7"/>
        <v>97</v>
      </c>
    </row>
    <row r="75" spans="5:15">
      <c r="E75" s="213" t="s">
        <v>327</v>
      </c>
      <c r="F75" s="213" t="s">
        <v>2226</v>
      </c>
      <c r="G75" s="213" t="s">
        <v>282</v>
      </c>
      <c r="H75" s="213">
        <v>-87</v>
      </c>
      <c r="I75" s="213">
        <v>-88</v>
      </c>
      <c r="K75" s="214" t="str">
        <f t="shared" si="4"/>
        <v>ADR Options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TSM US 06/18/26 C380</v>
      </c>
      <c r="M75" s="214" t="str">
        <f t="shared" si="5"/>
        <v>EQTY.IntlUS.off</v>
      </c>
      <c r="N75" s="215">
        <f t="shared" si="6"/>
        <v>-87</v>
      </c>
      <c r="O75" s="215">
        <f t="shared" si="7"/>
        <v>-88</v>
      </c>
    </row>
    <row r="76" spans="5:15">
      <c r="E76" s="213" t="s">
        <v>317</v>
      </c>
      <c r="F76" s="213" t="s">
        <v>83</v>
      </c>
      <c r="G76" s="213" t="s">
        <v>282</v>
      </c>
      <c r="H76" s="213">
        <v>0</v>
      </c>
      <c r="I76" s="213">
        <v>0</v>
      </c>
      <c r="K76" s="214" t="str">
        <f t="shared" si="4"/>
        <v>US Equity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UBER</v>
      </c>
      <c r="M76" s="214" t="str">
        <f t="shared" si="5"/>
        <v>EQTY.IntlUS.off</v>
      </c>
      <c r="N76" s="215">
        <f t="shared" si="6"/>
        <v>0</v>
      </c>
      <c r="O76" s="215">
        <f t="shared" si="7"/>
        <v>0</v>
      </c>
    </row>
    <row r="77" spans="5:15">
      <c r="E77" s="213" t="s">
        <v>320</v>
      </c>
      <c r="F77" s="213" t="s">
        <v>88</v>
      </c>
      <c r="G77" s="213" t="s">
        <v>282</v>
      </c>
      <c r="H77" s="213">
        <v>2885</v>
      </c>
      <c r="I77" s="213">
        <v>2885</v>
      </c>
      <c r="K77" s="214" t="str">
        <f t="shared" si="4"/>
        <v>ETF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XLF</v>
      </c>
      <c r="M77" s="214" t="str">
        <f t="shared" si="5"/>
        <v>EQTY.IntlUS.off</v>
      </c>
      <c r="N77" s="215">
        <f t="shared" si="6"/>
        <v>2885</v>
      </c>
      <c r="O77" s="215">
        <f t="shared" si="7"/>
        <v>2885</v>
      </c>
    </row>
    <row r="78" spans="5:15">
      <c r="E78" s="213" t="s">
        <v>320</v>
      </c>
      <c r="F78" s="213" t="s">
        <v>4</v>
      </c>
      <c r="G78" s="213" t="s">
        <v>282</v>
      </c>
      <c r="H78" s="213">
        <v>-1735</v>
      </c>
      <c r="I78" s="213">
        <v>-1735</v>
      </c>
      <c r="K78" s="214" t="str">
        <f t="shared" si="4"/>
        <v>ETF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XLP</v>
      </c>
      <c r="M78" s="214" t="str">
        <f t="shared" si="5"/>
        <v>EQTY.IntlUS.off</v>
      </c>
      <c r="N78" s="215">
        <f t="shared" si="6"/>
        <v>-1735</v>
      </c>
      <c r="O78" s="215">
        <f t="shared" si="7"/>
        <v>-1735</v>
      </c>
    </row>
    <row r="79" spans="5:15">
      <c r="E79" s="213" t="s">
        <v>317</v>
      </c>
      <c r="F79" s="213" t="s">
        <v>2456</v>
      </c>
      <c r="G79" s="213" t="s">
        <v>282</v>
      </c>
      <c r="H79" s="213">
        <v>-30</v>
      </c>
      <c r="I79" s="213">
        <v>0</v>
      </c>
      <c r="K79" s="214" t="str">
        <f t="shared" si="4"/>
        <v>US Equity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YSS</v>
      </c>
      <c r="M79" s="214" t="str">
        <f t="shared" si="5"/>
        <v>EQTY.IntlUS.off</v>
      </c>
      <c r="N79" s="215">
        <f t="shared" si="6"/>
        <v>-30</v>
      </c>
      <c r="O79" s="215">
        <f t="shared" si="7"/>
        <v>0</v>
      </c>
    </row>
    <row r="80" spans="5:15"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241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241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270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270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-1403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-1403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360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360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46052</v>
      </c>
      <c r="C2" s="210">
        <v>0</v>
      </c>
    </row>
    <row r="3" spans="1:7">
      <c r="A3" s="208" t="s">
        <v>342</v>
      </c>
      <c r="B3" s="236">
        <f ca="1">B2-1</f>
        <v>46051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Daniel\BooksOverviewResume29Jan2026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Daniel\BooksOverviewResume29Jan2026_zenith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2131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2136</v>
      </c>
      <c r="G98" s="22" t="s">
        <v>2136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IF(R2="","",IF(LEN(R2)&gt;9,SUMIFS(Options!$AZ$3:$AZ$20,Options!$B$3:$B$20,'Check result'!R2),SUMIFS('Master P&amp;L'!$AE$11:$AE$84,'Master P&amp;L'!$B$11:$B$84,'Check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IF(R3="","",IF(LEN(R3)&gt;9,SUMIFS(Options!$AZ$3:$AZ$20,Options!$B$3:$B$20,'Check result'!R3),SUMIFS('Master P&amp;L'!$AE$11:$AE$84,'Master P&amp;L'!$B$11:$B$84,'Check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IF(R4="","",IF(LEN(R4)&gt;9,SUMIFS(Options!$AZ$3:$AZ$20,Options!$B$3:$B$20,'Check result'!R4),SUMIFS('Master P&amp;L'!$AE$11:$AE$84,'Master P&amp;L'!$B$11:$B$84,'Check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IF(R5="","",IF(LEN(R5)&gt;9,SUMIFS(Options!$AZ$3:$AZ$20,Options!$B$3:$B$20,'Check result'!R5),SUMIFS('Master P&amp;L'!$AE$11:$AE$84,'Master P&amp;L'!$B$11:$B$84,'Check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IF(R6="","",IF(LEN(R6)&gt;9,SUMIFS(Options!$AZ$3:$AZ$20,Options!$B$3:$B$20,'Check result'!R6),SUMIFS('Master P&amp;L'!$AE$11:$AE$84,'Master P&amp;L'!$B$11:$B$84,'Check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IF(R7="","",IF(LEN(R7)&gt;9,SUMIFS(Options!$AZ$3:$AZ$20,Options!$B$3:$B$20,'Check result'!R7),SUMIFS('Master P&amp;L'!$AE$11:$AE$84,'Master P&amp;L'!$B$11:$B$84,'Check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IF(R8="","",IF(LEN(R8)&gt;9,SUMIFS(Options!$AZ$3:$AZ$20,Options!$B$3:$B$20,'Check result'!R8),SUMIFS('Master P&amp;L'!$AE$11:$AE$84,'Master P&amp;L'!$B$11:$B$84,'Check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IF(R9="","",IF(LEN(R9)&gt;9,SUMIFS(Options!$AZ$3:$AZ$20,Options!$B$3:$B$20,'Check result'!R9),SUMIFS('Master P&amp;L'!$AE$11:$AE$84,'Master P&amp;L'!$B$11:$B$84,'Check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IF(R10="","",IF(LEN(R10)&gt;9,SUMIFS(Options!$AZ$3:$AZ$20,Options!$B$3:$B$20,'Check result'!R10),SUMIFS('Master P&amp;L'!$AE$11:$AE$84,'Master P&amp;L'!$B$11:$B$84,'Check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IF(R11="","",IF(LEN(R11)&gt;9,SUMIFS(Options!$AZ$3:$AZ$20,Options!$B$3:$B$20,'Check result'!R11),SUMIFS('Master P&amp;L'!$AE$11:$AE$84,'Master P&amp;L'!$B$11:$B$84,'Check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IF(R12="","",IF(LEN(R12)&gt;9,SUMIFS(Options!$AZ$3:$AZ$20,Options!$B$3:$B$20,'Check result'!R12),SUMIFS('Master P&amp;L'!$AE$11:$AE$84,'Master P&amp;L'!$B$11:$B$84,'Check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IF(R13="","",IF(LEN(R13)&gt;9,SUMIFS(Options!$AZ$3:$AZ$20,Options!$B$3:$B$20,'Check result'!R13),SUMIFS('Master P&amp;L'!$AE$11:$AE$84,'Master P&amp;L'!$B$11:$B$84,'Check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IF(R14="","",IF(LEN(R14)&gt;9,SUMIFS(Options!$AZ$3:$AZ$20,Options!$B$3:$B$20,'Check result'!R14),SUMIFS('Master P&amp;L'!$AE$11:$AE$84,'Master P&amp;L'!$B$11:$B$84,'Check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IF(R15="","",IF(LEN(R15)&gt;9,SUMIFS(Options!$AZ$3:$AZ$20,Options!$B$3:$B$20,'Check result'!R15),SUMIFS('Master P&amp;L'!$AE$11:$AE$84,'Master P&amp;L'!$B$11:$B$84,'Check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IF(R16="","",IF(LEN(R16)&gt;9,SUMIFS(Options!$AZ$3:$AZ$20,Options!$B$3:$B$20,'Check result'!R16),SUMIFS('Master P&amp;L'!$AE$11:$AE$84,'Master P&amp;L'!$B$11:$B$84,'Check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IF(R17="","",IF(LEN(R17)&gt;9,SUMIFS(Options!$AZ$3:$AZ$20,Options!$B$3:$B$20,'Check result'!R17),SUMIFS('Master P&amp;L'!$AE$11:$AE$84,'Master P&amp;L'!$B$11:$B$84,'Check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IF(R18="","",IF(LEN(R18)&gt;9,SUMIFS(Options!$AZ$3:$AZ$20,Options!$B$3:$B$20,'Check result'!R18),SUMIFS('Master P&amp;L'!$AE$11:$AE$84,'Master P&amp;L'!$B$11:$B$84,'Check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IF(R19="","",IF(LEN(R19)&gt;9,SUMIFS(Options!$AZ$3:$AZ$20,Options!$B$3:$B$20,'Check result'!R19),SUMIFS('Master P&amp;L'!$AE$11:$AE$84,'Master P&amp;L'!$B$11:$B$84,'Check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IF(R20="","",IF(LEN(R20)&gt;9,SUMIFS(Options!$AZ$3:$AZ$20,Options!$B$3:$B$20,'Check result'!R20),SUMIFS('Master P&amp;L'!$AE$11:$AE$84,'Master P&amp;L'!$B$11:$B$84,'Check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IF(R21="","",IF(LEN(R21)&gt;9,SUMIFS(Options!$AZ$3:$AZ$20,Options!$B$3:$B$20,'Check result'!R21),SUMIFS('Master P&amp;L'!$AE$11:$AE$84,'Master P&amp;L'!$B$11:$B$84,'Check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IF(R22="","",IF(LEN(R22)&gt;9,SUMIFS(Options!$AZ$3:$AZ$20,Options!$B$3:$B$20,'Check result'!R22),SUMIFS('Master P&amp;L'!$AE$11:$AE$84,'Master P&amp;L'!$B$11:$B$84,'Check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IF(R23="","",IF(LEN(R23)&gt;9,SUMIFS(Options!$AZ$3:$AZ$20,Options!$B$3:$B$20,'Check result'!R23),SUMIFS('Master P&amp;L'!$AE$11:$AE$84,'Master P&amp;L'!$B$11:$B$84,'Check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IF(R24="","",IF(LEN(R24)&gt;9,SUMIFS(Options!$AZ$3:$AZ$20,Options!$B$3:$B$20,'Check result'!R24),SUMIFS('Master P&amp;L'!$AE$11:$AE$84,'Master P&amp;L'!$B$11:$B$84,'Check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IF(R25="","",IF(LEN(R25)&gt;9,SUMIFS(Options!$AZ$3:$AZ$20,Options!$B$3:$B$20,'Check result'!R25),SUMIFS('Master P&amp;L'!$AE$11:$AE$84,'Master P&amp;L'!$B$11:$B$84,'Check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IF(R26="","",IF(LEN(R26)&gt;9,SUMIFS(Options!$AZ$3:$AZ$20,Options!$B$3:$B$20,'Check result'!R26),SUMIFS('Master P&amp;L'!$AE$11:$AE$84,'Master P&amp;L'!$B$11:$B$84,'Check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IF(R27="","",IF(LEN(R27)&gt;9,SUMIFS(Options!$AZ$3:$AZ$20,Options!$B$3:$B$20,'Check result'!R27),SUMIFS('Master P&amp;L'!$AE$11:$AE$84,'Master P&amp;L'!$B$11:$B$84,'Check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IF(R28="","",IF(LEN(R28)&gt;9,SUMIFS(Options!$AZ$3:$AZ$20,Options!$B$3:$B$20,'Check result'!R28),SUMIFS('Master P&amp;L'!$AE$11:$AE$84,'Master P&amp;L'!$B$11:$B$84,'Check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IF(R29="","",IF(LEN(R29)&gt;9,SUMIFS(Options!$AZ$3:$AZ$20,Options!$B$3:$B$20,'Check result'!R29),SUMIFS('Master P&amp;L'!$AE$11:$AE$84,'Master P&amp;L'!$B$11:$B$84,'Check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IF(R30="","",IF(LEN(R30)&gt;9,SUMIFS(Options!$AZ$3:$AZ$20,Options!$B$3:$B$20,'Check result'!R30),SUMIFS('Master P&amp;L'!$AE$11:$AE$84,'Master P&amp;L'!$B$11:$B$84,'Check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IF(R31="","",IF(LEN(R31)&gt;9,SUMIFS(Options!$AZ$3:$AZ$20,Options!$B$3:$B$20,'Check result'!R31),SUMIFS('Master P&amp;L'!$AE$11:$AE$84,'Master P&amp;L'!$B$11:$B$84,'Check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IF(R32="","",IF(LEN(R32)&gt;9,SUMIFS(Options!$AZ$3:$AZ$20,Options!$B$3:$B$20,'Check result'!R32),SUMIFS('Master P&amp;L'!$AE$11:$AE$84,'Master P&amp;L'!$B$11:$B$84,'Check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IF(R33="","",IF(LEN(R33)&gt;9,SUMIFS(Options!$AZ$3:$AZ$20,Options!$B$3:$B$20,'Check result'!R33),SUMIFS('Master P&amp;L'!$AE$11:$AE$84,'Master P&amp;L'!$B$11:$B$84,'Check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IF(R34="","",IF(LEN(R34)&gt;9,SUMIFS(Options!$AZ$3:$AZ$20,Options!$B$3:$B$20,'Check result'!R34),SUMIFS('Master P&amp;L'!$AE$11:$AE$84,'Master P&amp;L'!$B$11:$B$84,'Check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IF(R35="","",IF(LEN(R35)&gt;9,SUMIFS(Options!$AZ$3:$AZ$20,Options!$B$3:$B$20,'Check result'!R35),SUMIFS('Master P&amp;L'!$AE$11:$AE$84,'Master P&amp;L'!$B$11:$B$84,'Check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IF(R36="","",IF(LEN(R36)&gt;9,SUMIFS(Options!$AZ$3:$AZ$20,Options!$B$3:$B$20,'Check result'!R36),SUMIFS('Master P&amp;L'!$AE$11:$AE$84,'Master P&amp;L'!$B$11:$B$84,'Check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IF(R37="","",IF(LEN(R37)&gt;9,SUMIFS(Options!$AZ$3:$AZ$20,Options!$B$3:$B$20,'Check result'!R37),SUMIFS('Master P&amp;L'!$AE$11:$AE$84,'Master P&amp;L'!$B$11:$B$84,'Check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IF(R38="","",IF(LEN(R38)&gt;9,SUMIFS(Options!$AZ$3:$AZ$20,Options!$B$3:$B$20,'Check result'!R38),SUMIFS('Master P&amp;L'!$AE$11:$AE$84,'Master P&amp;L'!$B$11:$B$84,'Check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IF(R39="","",IF(LEN(R39)&gt;9,SUMIFS(Options!$AZ$3:$AZ$20,Options!$B$3:$B$20,'Check result'!R39),SUMIFS('Master P&amp;L'!$AE$11:$AE$84,'Master P&amp;L'!$B$11:$B$84,'Check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IF(R40="","",IF(LEN(R40)&gt;9,SUMIFS(Options!$AZ$3:$AZ$20,Options!$B$3:$B$20,'Check result'!R40),SUMIFS('Master P&amp;L'!$AE$11:$AE$84,'Master P&amp;L'!$B$11:$B$84,'Check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IF(R41="","",IF(LEN(R41)&gt;9,SUMIFS(Options!$AZ$3:$AZ$20,Options!$B$3:$B$20,'Check result'!R41),SUMIFS('Master P&amp;L'!$AE$11:$AE$84,'Master P&amp;L'!$B$11:$B$84,'Check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IF(R42="","",IF(LEN(R42)&gt;9,SUMIFS(Options!$AZ$3:$AZ$20,Options!$B$3:$B$20,'Check result'!R42),SUMIFS('Master P&amp;L'!$AE$11:$AE$84,'Master P&amp;L'!$B$11:$B$84,'Check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IF(R43="","",IF(LEN(R43)&gt;9,SUMIFS(Options!$AZ$3:$AZ$20,Options!$B$3:$B$20,'Check result'!R43),SUMIFS('Master P&amp;L'!$AE$11:$AE$84,'Master P&amp;L'!$B$11:$B$84,'Check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IF(R44="","",IF(LEN(R44)&gt;9,SUMIFS(Options!$AZ$3:$AZ$20,Options!$B$3:$B$20,'Check result'!R44),SUMIFS('Master P&amp;L'!$AE$11:$AE$84,'Master P&amp;L'!$B$11:$B$84,'Check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IF(R45="","",IF(LEN(R45)&gt;9,SUMIFS(Options!$AZ$3:$AZ$20,Options!$B$3:$B$20,'Check result'!R45),SUMIFS('Master P&amp;L'!$AE$11:$AE$84,'Master P&amp;L'!$B$11:$B$84,'Check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IF(R46="","",IF(LEN(R46)&gt;9,SUMIFS(Options!$AZ$3:$AZ$20,Options!$B$3:$B$20,'Check result'!R46),SUMIFS('Master P&amp;L'!$AE$11:$AE$84,'Master P&amp;L'!$B$11:$B$84,'Check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IF(R47="","",IF(LEN(R47)&gt;9,SUMIFS(Options!$AZ$3:$AZ$20,Options!$B$3:$B$20,'Check result'!R47),SUMIFS('Master P&amp;L'!$AE$11:$AE$84,'Master P&amp;L'!$B$11:$B$84,'Check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IF(R48="","",IF(LEN(R48)&gt;9,SUMIFS(Options!$AZ$3:$AZ$20,Options!$B$3:$B$20,'Check result'!R48),SUMIFS('Master P&amp;L'!$AE$11:$AE$84,'Master P&amp;L'!$B$11:$B$84,'Check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IF(R49="","",IF(LEN(R49)&gt;9,SUMIFS(Options!$AZ$3:$AZ$20,Options!$B$3:$B$20,'Check result'!R49),SUMIFS('Master P&amp;L'!$AE$11:$AE$84,'Master P&amp;L'!$B$11:$B$84,'Check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IF(R50="","",IF(LEN(R50)&gt;9,SUMIFS(Options!$AZ$3:$AZ$20,Options!$B$3:$B$20,'Check result'!R50),SUMIFS('Master P&amp;L'!$AE$11:$AE$84,'Master P&amp;L'!$B$11:$B$84,'Check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IF(R51="","",IF(LEN(R51)&gt;9,SUMIFS(Options!$AZ$3:$AZ$20,Options!$B$3:$B$20,'Check result'!R51),SUMIFS('Master P&amp;L'!$AE$11:$AE$84,'Master P&amp;L'!$B$11:$B$84,'Check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IF(R52="","",IF(LEN(R52)&gt;9,SUMIFS(Options!$AZ$3:$AZ$20,Options!$B$3:$B$20,'Check result'!R52),SUMIFS('Master P&amp;L'!$AE$11:$AE$84,'Master P&amp;L'!$B$11:$B$84,'Check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IF(R53="","",IF(LEN(R53)&gt;9,SUMIFS(Options!$AZ$3:$AZ$20,Options!$B$3:$B$20,'Check result'!R53),SUMIFS('Master P&amp;L'!$AE$11:$AE$84,'Master P&amp;L'!$B$11:$B$84,'Check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IF(R54="","",IF(LEN(R54)&gt;9,SUMIFS(Options!$AZ$3:$AZ$20,Options!$B$3:$B$20,'Check result'!R54),SUMIFS('Master P&amp;L'!$AE$11:$AE$84,'Master P&amp;L'!$B$11:$B$84,'Check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IF(R55="","",IF(LEN(R55)&gt;9,SUMIFS(Options!$AZ$3:$AZ$20,Options!$B$3:$B$20,'Check result'!R55),SUMIFS('Master P&amp;L'!$AE$11:$AE$84,'Master P&amp;L'!$B$11:$B$84,'Check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IF(R56="","",IF(LEN(R56)&gt;9,SUMIFS(Options!$AZ$3:$AZ$20,Options!$B$3:$B$20,'Check result'!R56),SUMIFS('Master P&amp;L'!$AE$11:$AE$84,'Master P&amp;L'!$B$11:$B$84,'Check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IF(R57="","",IF(LEN(R57)&gt;9,SUMIFS(Options!$AZ$3:$AZ$20,Options!$B$3:$B$20,'Check result'!R57),SUMIFS('Master P&amp;L'!$AE$11:$AE$84,'Master P&amp;L'!$B$11:$B$84,'Check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IF(R58="","",IF(LEN(R58)&gt;9,SUMIFS(Options!$AZ$3:$AZ$20,Options!$B$3:$B$20,'Check result'!R58),SUMIFS('Master P&amp;L'!$AE$11:$AE$84,'Master P&amp;L'!$B$11:$B$84,'Check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IF(R59="","",IF(LEN(R59)&gt;9,SUMIFS(Options!$AZ$3:$AZ$20,Options!$B$3:$B$20,'Check result'!R59),SUMIFS('Master P&amp;L'!$AE$11:$AE$84,'Master P&amp;L'!$B$11:$B$84,'Check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IF(R60="","",IF(LEN(R60)&gt;9,SUMIFS(Options!$AZ$3:$AZ$20,Options!$B$3:$B$20,'Check result'!R60),SUMIFS('Master P&amp;L'!$AE$11:$AE$84,'Master P&amp;L'!$B$11:$B$84,'Check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IF(R61="","",IF(LEN(R61)&gt;9,SUMIFS(Options!$AZ$3:$AZ$20,Options!$B$3:$B$20,'Check result'!R61),SUMIFS('Master P&amp;L'!$AE$11:$AE$84,'Master P&amp;L'!$B$11:$B$84,'Check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IF(R62="","",IF(LEN(R62)&gt;9,SUMIFS(Options!$AZ$3:$AZ$20,Options!$B$3:$B$20,'Check result'!R62),SUMIFS('Master P&amp;L'!$AE$11:$AE$84,'Master P&amp;L'!$B$11:$B$84,'Check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IF(R63="","",IF(LEN(R63)&gt;9,SUMIFS(Options!$AZ$3:$AZ$20,Options!$B$3:$B$20,'Check result'!R63),SUMIFS('Master P&amp;L'!$AE$11:$AE$84,'Master P&amp;L'!$B$11:$B$84,'Check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IF(R64="","",IF(LEN(R64)&gt;9,SUMIFS(Options!$AZ$3:$AZ$20,Options!$B$3:$B$20,'Check result'!R64),SUMIFS('Master P&amp;L'!$AE$11:$AE$84,'Master P&amp;L'!$B$11:$B$84,'Check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IF(R65="","",IF(LEN(R65)&gt;9,SUMIFS(Options!$AZ$3:$AZ$20,Options!$B$3:$B$20,'Check result'!R65),SUMIFS('Master P&amp;L'!$AE$11:$AE$84,'Master P&amp;L'!$B$11:$B$84,'Check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IF(R66="","",IF(LEN(R66)&gt;9,SUMIFS(Options!$AZ$3:$AZ$20,Options!$B$3:$B$20,'Check result'!R66),SUMIFS('Master P&amp;L'!$AE$11:$AE$84,'Master P&amp;L'!$B$11:$B$84,'Check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IF(R67="","",IF(LEN(R67)&gt;9,SUMIFS(Options!$AZ$3:$AZ$20,Options!$B$3:$B$20,'Check result'!R67),SUMIFS('Master P&amp;L'!$AE$11:$AE$84,'Master P&amp;L'!$B$11:$B$84,'Check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IF(R68="","",IF(LEN(R68)&gt;9,SUMIFS(Options!$AZ$3:$AZ$20,Options!$B$3:$B$20,'Check result'!R68),SUMIFS('Master P&amp;L'!$AE$11:$AE$84,'Master P&amp;L'!$B$11:$B$84,'Check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IF(R69="","",IF(LEN(R69)&gt;9,SUMIFS(Options!$AZ$3:$AZ$20,Options!$B$3:$B$20,'Check result'!R69),SUMIFS('Master P&amp;L'!$AE$11:$AE$84,'Master P&amp;L'!$B$11:$B$84,'Check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IF(R70="","",IF(LEN(R70)&gt;9,SUMIFS(Options!$AZ$3:$AZ$20,Options!$B$3:$B$20,'Check result'!R70),SUMIFS('Master P&amp;L'!$AE$11:$AE$84,'Master P&amp;L'!$B$11:$B$84,'Check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IF(R71="","",IF(LEN(R71)&gt;9,SUMIFS(Options!$AZ$3:$AZ$20,Options!$B$3:$B$20,'Check result'!R71),SUMIFS('Master P&amp;L'!$AE$11:$AE$84,'Master P&amp;L'!$B$11:$B$84,'Check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IF(R72="","",IF(LEN(R72)&gt;9,SUMIFS(Options!$AZ$3:$AZ$20,Options!$B$3:$B$20,'Check result'!R72),SUMIFS('Master P&amp;L'!$AE$11:$AE$84,'Master P&amp;L'!$B$11:$B$84,'Check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IF(R73="","",IF(LEN(R73)&gt;9,SUMIFS(Options!$AZ$3:$AZ$20,Options!$B$3:$B$20,'Check result'!R73),SUMIFS('Master P&amp;L'!$AE$11:$AE$84,'Master P&amp;L'!$B$11:$B$84,'Check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IF(R74="","",IF(LEN(R74)&gt;9,SUMIFS(Options!$AZ$3:$AZ$20,Options!$B$3:$B$20,'Check result'!R74),SUMIFS('Master P&amp;L'!$AE$11:$AE$84,'Master P&amp;L'!$B$11:$B$84,'Check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IF(R75="","",IF(LEN(R75)&gt;9,SUMIFS(Options!$AZ$3:$AZ$20,Options!$B$3:$B$20,'Check result'!R75),SUMIFS('Master P&amp;L'!$AE$11:$AE$84,'Master P&amp;L'!$B$11:$B$84,'Check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IF(R76="","",IF(LEN(R76)&gt;9,SUMIFS(Options!$AZ$3:$AZ$20,Options!$B$3:$B$20,'Check result'!R76),SUMIFS('Master P&amp;L'!$AE$11:$AE$84,'Master P&amp;L'!$B$11:$B$84,'Check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IF(R77="","",IF(LEN(R77)&gt;9,SUMIFS(Options!$AZ$3:$AZ$20,Options!$B$3:$B$20,'Check result'!R77),SUMIFS('Master P&amp;L'!$AE$11:$AE$84,'Master P&amp;L'!$B$11:$B$84,'Check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IF(R78="","",IF(LEN(R78)&gt;9,SUMIFS(Options!$AZ$3:$AZ$20,Options!$B$3:$B$20,'Check result'!R78),SUMIFS('Master P&amp;L'!$AE$11:$AE$84,'Master P&amp;L'!$B$11:$B$84,'Check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IF(R79="","",IF(LEN(R79)&gt;9,SUMIFS(Options!$AZ$3:$AZ$20,Options!$B$3:$B$20,'Check result'!R79),SUMIFS('Master P&amp;L'!$AE$11:$AE$84,'Master P&amp;L'!$B$11:$B$84,'Check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IF(R80="","",IF(LEN(R80)&gt;9,SUMIFS(Options!$AZ$3:$AZ$20,Options!$B$3:$B$20,'Check result'!R80),SUMIFS('Master P&amp;L'!$AE$11:$AE$84,'Master P&amp;L'!$B$11:$B$84,'Check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IF(R81="","",IF(LEN(R81)&gt;9,SUMIFS(Options!$AZ$3:$AZ$20,Options!$B$3:$B$20,'Check result'!R81),SUMIFS('Master P&amp;L'!$AE$11:$AE$84,'Master P&amp;L'!$B$11:$B$84,'Check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IF(R82="","",IF(LEN(R82)&gt;9,SUMIFS(Options!$AZ$3:$AZ$20,Options!$B$3:$B$20,'Check result'!R82),SUMIFS('Master P&amp;L'!$AE$11:$AE$84,'Master P&amp;L'!$B$11:$B$84,'Check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IF(R83="","",IF(LEN(R83)&gt;9,SUMIFS(Options!$AZ$3:$AZ$20,Options!$B$3:$B$20,'Check result'!R83),SUMIFS('Master P&amp;L'!$AE$11:$AE$84,'Master P&amp;L'!$B$11:$B$84,'Check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IF(R84="","",IF(LEN(R84)&gt;9,SUMIFS(Options!$AZ$3:$AZ$20,Options!$B$3:$B$20,'Check result'!R84),SUMIFS('Master P&amp;L'!$AE$11:$AE$84,'Master P&amp;L'!$B$11:$B$84,'Check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IF(R85="","",IF(LEN(R85)&gt;9,SUMIFS(Options!$AZ$3:$AZ$20,Options!$B$3:$B$20,'Check result'!R85),SUMIFS('Master P&amp;L'!$AE$11:$AE$84,'Master P&amp;L'!$B$11:$B$84,'Check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IF(R86="","",IF(LEN(R86)&gt;9,SUMIFS(Options!$AZ$3:$AZ$20,Options!$B$3:$B$20,'Check result'!R86),SUMIFS('Master P&amp;L'!$AE$11:$AE$84,'Master P&amp;L'!$B$11:$B$84,'Check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IF(R87="","",IF(LEN(R87)&gt;9,SUMIFS(Options!$AZ$3:$AZ$20,Options!$B$3:$B$20,'Check result'!R87),SUMIFS('Master P&amp;L'!$AE$11:$AE$84,'Master P&amp;L'!$B$11:$B$84,'Check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IF(R88="","",IF(LEN(R88)&gt;9,SUMIFS(Options!$AZ$3:$AZ$20,Options!$B$3:$B$20,'Check result'!R88),SUMIFS('Master P&amp;L'!$AE$11:$AE$84,'Master P&amp;L'!$B$11:$B$84,'Check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IF(R89="","",IF(LEN(R89)&gt;9,SUMIFS(Options!$AZ$3:$AZ$20,Options!$B$3:$B$20,'Check result'!R89),SUMIFS('Master P&amp;L'!$AE$11:$AE$84,'Master P&amp;L'!$B$11:$B$84,'Check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IF(R90="","",IF(LEN(R90)&gt;9,SUMIFS(Options!$AZ$3:$AZ$20,Options!$B$3:$B$20,'Check result'!R90),SUMIFS('Master P&amp;L'!$AE$11:$AE$84,'Master P&amp;L'!$B$11:$B$84,'Check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IF(R91="","",IF(LEN(R91)&gt;9,SUMIFS(Options!$AZ$3:$AZ$20,Options!$B$3:$B$20,'Check result'!R91),SUMIFS('Master P&amp;L'!$AE$11:$AE$84,'Master P&amp;L'!$B$11:$B$84,'Check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IF(R92="","",IF(LEN(R92)&gt;9,SUMIFS(Options!$AZ$3:$AZ$20,Options!$B$3:$B$20,'Check result'!R92),SUMIFS('Master P&amp;L'!$AE$11:$AE$84,'Master P&amp;L'!$B$11:$B$84,'Check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IF(R93="","",IF(LEN(R93)&gt;9,SUMIFS(Options!$AZ$3:$AZ$20,Options!$B$3:$B$20,'Check result'!R93),SUMIFS('Master P&amp;L'!$AE$11:$AE$84,'Master P&amp;L'!$B$11:$B$84,'Check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IF(R94="","",IF(LEN(R94)&gt;9,SUMIFS(Options!$AZ$3:$AZ$20,Options!$B$3:$B$20,'Check result'!R94),SUMIFS('Master P&amp;L'!$AE$11:$AE$84,'Master P&amp;L'!$B$11:$B$84,'Check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IF(R95="","",IF(LEN(R95)&gt;9,SUMIFS(Options!$AZ$3:$AZ$20,Options!$B$3:$B$20,'Check result'!R95),SUMIFS('Master P&amp;L'!$AE$11:$AE$84,'Master P&amp;L'!$B$11:$B$84,'Check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IF(R96="","",IF(LEN(R96)&gt;9,SUMIFS(Options!$AZ$3:$AZ$20,Options!$B$3:$B$20,'Check result'!R96),SUMIFS('Master P&amp;L'!$AE$11:$AE$84,'Master P&amp;L'!$B$11:$B$84,'Check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IF(R97="","",IF(LEN(R97)&gt;9,SUMIFS(Options!$AZ$3:$AZ$20,Options!$B$3:$B$20,'Check result'!R97),SUMIFS('Master P&amp;L'!$AE$11:$AE$84,'Master P&amp;L'!$B$11:$B$84,'Check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IF(R98="","",IF(LEN(R98)&gt;9,SUMIFS(Options!$AZ$3:$AZ$20,Options!$B$3:$B$20,'Check result'!R98),SUMIFS('Master P&amp;L'!$AE$11:$AE$84,'Master P&amp;L'!$B$11:$B$84,'Check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IF(R99="","",IF(LEN(R99)&gt;9,SUMIFS(Options!$AZ$3:$AZ$20,Options!$B$3:$B$20,'Check result'!R99),SUMIFS('Master P&amp;L'!$AE$11:$AE$84,'Master P&amp;L'!$B$11:$B$84,'Check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IF(R100="","",IF(LEN(R100)&gt;9,SUMIFS(Options!$AZ$3:$AZ$20,Options!$B$3:$B$20,'Check result'!R100),SUMIFS('Master P&amp;L'!$AE$11:$AE$84,'Master P&amp;L'!$B$11:$B$84,'Check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IF(R101="","",IF(LEN(R101)&gt;9,SUMIFS(Options!$AZ$3:$AZ$20,Options!$B$3:$B$20,'Check result'!R101),SUMIFS('Master P&amp;L'!$AE$11:$AE$84,'Master P&amp;L'!$B$11:$B$84,'Check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IF(R102="","",IF(LEN(R102)&gt;9,SUMIFS(Options!$AZ$3:$AZ$20,Options!$B$3:$B$20,'Check result'!R102),SUMIFS('Master P&amp;L'!$AE$11:$AE$84,'Master P&amp;L'!$B$11:$B$84,'Check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IF(R103="","",IF(LEN(R103)&gt;9,SUMIFS(Options!$AZ$3:$AZ$20,Options!$B$3:$B$20,'Check result'!R103),SUMIFS('Master P&amp;L'!$AE$11:$AE$84,'Master P&amp;L'!$B$11:$B$84,'Check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IF(R104="","",IF(LEN(R104)&gt;9,SUMIFS(Options!$AZ$3:$AZ$20,Options!$B$3:$B$20,'Check result'!R104),SUMIFS('Master P&amp;L'!$AE$11:$AE$84,'Master P&amp;L'!$B$11:$B$84,'Check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IF(R105="","",IF(LEN(R105)&gt;9,SUMIFS(Options!$AZ$3:$AZ$20,Options!$B$3:$B$20,'Check result'!R105),SUMIFS('Master P&amp;L'!$AE$11:$AE$84,'Master P&amp;L'!$B$11:$B$84,'Check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IF(R106="","",IF(LEN(R106)&gt;9,SUMIFS(Options!$AZ$3:$AZ$20,Options!$B$3:$B$20,'Check result'!R106),SUMIFS('Master P&amp;L'!$AE$11:$AE$84,'Master P&amp;L'!$B$11:$B$84,'Check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IF(R107="","",IF(LEN(R107)&gt;9,SUMIFS(Options!$AZ$3:$AZ$20,Options!$B$3:$B$20,'Check result'!R107),SUMIFS('Master P&amp;L'!$AE$11:$AE$84,'Master P&amp;L'!$B$11:$B$84,'Check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IF(R108="","",IF(LEN(R108)&gt;9,SUMIFS(Options!$AZ$3:$AZ$20,Options!$B$3:$B$20,'Check result'!R108),SUMIFS('Master P&amp;L'!$AE$11:$AE$84,'Master P&amp;L'!$B$11:$B$84,'Check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IF(R109="","",IF(LEN(R109)&gt;9,SUMIFS(Options!$AZ$3:$AZ$20,Options!$B$3:$B$20,'Check result'!R109),SUMIFS('Master P&amp;L'!$AE$11:$AE$84,'Master P&amp;L'!$B$11:$B$84,'Check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IF(R110="","",IF(LEN(R110)&gt;9,SUMIFS(Options!$AZ$3:$AZ$20,Options!$B$3:$B$20,'Check result'!R110),SUMIFS('Master P&amp;L'!$AE$11:$AE$84,'Master P&amp;L'!$B$11:$B$84,'Check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IF(R111="","",IF(LEN(R111)&gt;9,SUMIFS(Options!$AZ$3:$AZ$20,Options!$B$3:$B$20,'Check result'!R111),SUMIFS('Master P&amp;L'!$AE$11:$AE$84,'Master P&amp;L'!$B$11:$B$84,'Check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IF(R112="","",IF(LEN(R112)&gt;9,SUMIFS(Options!$AZ$3:$AZ$20,Options!$B$3:$B$20,'Check result'!R112),SUMIFS('Master P&amp;L'!$AE$11:$AE$84,'Master P&amp;L'!$B$11:$B$84,'Check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IF(R113="","",IF(LEN(R113)&gt;9,SUMIFS(Options!$AZ$3:$AZ$20,Options!$B$3:$B$20,'Check result'!R113),SUMIFS('Master P&amp;L'!$AE$11:$AE$84,'Master P&amp;L'!$B$11:$B$84,'Check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IF(R114="","",IF(LEN(R114)&gt;9,SUMIFS(Options!$AZ$3:$AZ$20,Options!$B$3:$B$20,'Check result'!R114),SUMIFS('Master P&amp;L'!$AE$11:$AE$84,'Master P&amp;L'!$B$11:$B$84,'Check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IF(R115="","",IF(LEN(R115)&gt;9,SUMIFS(Options!$AZ$3:$AZ$20,Options!$B$3:$B$20,'Check result'!R115),SUMIFS('Master P&amp;L'!$AE$11:$AE$84,'Master P&amp;L'!$B$11:$B$84,'Check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IF(R116="","",IF(LEN(R116)&gt;9,SUMIFS(Options!$AZ$3:$AZ$20,Options!$B$3:$B$20,'Check result'!R116),SUMIFS('Master P&amp;L'!$AE$11:$AE$84,'Master P&amp;L'!$B$11:$B$84,'Check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IF(R117="","",IF(LEN(R117)&gt;9,SUMIFS(Options!$AZ$3:$AZ$20,Options!$B$3:$B$20,'Check result'!R117),SUMIFS('Master P&amp;L'!$AE$11:$AE$84,'Master P&amp;L'!$B$11:$B$84,'Check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IF(R118="","",IF(LEN(R118)&gt;9,SUMIFS(Options!$AZ$3:$AZ$20,Options!$B$3:$B$20,'Check result'!R118),SUMIFS('Master P&amp;L'!$AE$11:$AE$84,'Master P&amp;L'!$B$11:$B$84,'Check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IF(R119="","",IF(LEN(R119)&gt;9,SUMIFS(Options!$AZ$3:$AZ$20,Options!$B$3:$B$20,'Check result'!R119),SUMIFS('Master P&amp;L'!$AE$11:$AE$84,'Master P&amp;L'!$B$11:$B$84,'Check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IF(R120="","",IF(LEN(R120)&gt;9,SUMIFS(Options!$AZ$3:$AZ$20,Options!$B$3:$B$20,'Check result'!R120),SUMIFS('Master P&amp;L'!$AE$11:$AE$84,'Master P&amp;L'!$B$11:$B$84,'Check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IF(R121="","",IF(LEN(R121)&gt;9,SUMIFS(Options!$AZ$3:$AZ$20,Options!$B$3:$B$20,'Check result'!R121),SUMIFS('Master P&amp;L'!$AE$11:$AE$84,'Master P&amp;L'!$B$11:$B$84,'Check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IF(R122="","",IF(LEN(R122)&gt;9,SUMIFS(Options!$AZ$3:$AZ$20,Options!$B$3:$B$20,'Check result'!R122),SUMIFS('Master P&amp;L'!$AE$11:$AE$84,'Master P&amp;L'!$B$11:$B$84,'Check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IF(R123="","",IF(LEN(R123)&gt;9,SUMIFS(Options!$AZ$3:$AZ$20,Options!$B$3:$B$20,'Check result'!R123),SUMIFS('Master P&amp;L'!$AE$11:$AE$84,'Master P&amp;L'!$B$11:$B$84,'Check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IF(R124="","",IF(LEN(R124)&gt;9,SUMIFS(Options!$AZ$3:$AZ$20,Options!$B$3:$B$20,'Check result'!R124),SUMIFS('Master P&amp;L'!$AE$11:$AE$84,'Master P&amp;L'!$B$11:$B$84,'Check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IF(R125="","",IF(LEN(R125)&gt;9,SUMIFS(Options!$AZ$3:$AZ$20,Options!$B$3:$B$20,'Check result'!R125),SUMIFS('Master P&amp;L'!$AE$11:$AE$84,'Master P&amp;L'!$B$11:$B$84,'Check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IF(R126="","",IF(LEN(R126)&gt;9,SUMIFS(Options!$AZ$3:$AZ$20,Options!$B$3:$B$20,'Check result'!R126),SUMIFS('Master P&amp;L'!$AE$11:$AE$84,'Master P&amp;L'!$B$11:$B$84,'Check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IF(R127="","",IF(LEN(R127)&gt;9,SUMIFS(Options!$AZ$3:$AZ$20,Options!$B$3:$B$20,'Check result'!R127),SUMIFS('Master P&amp;L'!$AE$11:$AE$84,'Master P&amp;L'!$B$11:$B$84,'Check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IF(R128="","",IF(LEN(R128)&gt;9,SUMIFS(Options!$AZ$3:$AZ$20,Options!$B$3:$B$20,'Check result'!R128),SUMIFS('Master P&amp;L'!$AE$11:$AE$84,'Master P&amp;L'!$B$11:$B$84,'Check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IF(R129="","",IF(LEN(R129)&gt;9,SUMIFS(Options!$AZ$3:$AZ$20,Options!$B$3:$B$20,'Check result'!R129),SUMIFS('Master P&amp;L'!$AE$11:$AE$84,'Master P&amp;L'!$B$11:$B$84,'Check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IF(R130="","",IF(LEN(R130)&gt;9,SUMIFS(Options!$AZ$3:$AZ$20,Options!$B$3:$B$20,'Check result'!R130),SUMIFS('Master P&amp;L'!$AE$11:$AE$84,'Master P&amp;L'!$B$11:$B$84,'Check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IF(R131="","",IF(LEN(R131)&gt;9,SUMIFS(Options!$AZ$3:$AZ$20,Options!$B$3:$B$20,'Check result'!R131),SUMIFS('Master P&amp;L'!$AE$11:$AE$84,'Master P&amp;L'!$B$11:$B$84,'Check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IF(R132="","",IF(LEN(R132)&gt;9,SUMIFS(Options!$AZ$3:$AZ$20,Options!$B$3:$B$20,'Check result'!R132),SUMIFS('Master P&amp;L'!$AE$11:$AE$84,'Master P&amp;L'!$B$11:$B$84,'Check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IF(R133="","",IF(LEN(R133)&gt;9,SUMIFS(Options!$AZ$3:$AZ$20,Options!$B$3:$B$20,'Check result'!R133),SUMIFS('Master P&amp;L'!$AE$11:$AE$84,'Master P&amp;L'!$B$11:$B$84,'Check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IF(R134="","",IF(LEN(R134)&gt;9,SUMIFS(Options!$AZ$3:$AZ$20,Options!$B$3:$B$20,'Check result'!R134),SUMIFS('Master P&amp;L'!$AE$11:$AE$84,'Master P&amp;L'!$B$11:$B$84,'Check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IF(R135="","",IF(LEN(R135)&gt;9,SUMIFS(Options!$AZ$3:$AZ$20,Options!$B$3:$B$20,'Check result'!R135),SUMIFS('Master P&amp;L'!$AE$11:$AE$84,'Master P&amp;L'!$B$11:$B$84,'Check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IF(R136="","",IF(LEN(R136)&gt;9,SUMIFS(Options!$AZ$3:$AZ$20,Options!$B$3:$B$20,'Check result'!R136),SUMIFS('Master P&amp;L'!$AE$11:$AE$84,'Master P&amp;L'!$B$11:$B$84,'Check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IF(R137="","",IF(LEN(R137)&gt;9,SUMIFS(Options!$AZ$3:$AZ$20,Options!$B$3:$B$20,'Check result'!R137),SUMIFS('Master P&amp;L'!$AE$11:$AE$84,'Master P&amp;L'!$B$11:$B$84,'Check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IF(R138="","",IF(LEN(R138)&gt;9,SUMIFS(Options!$AZ$3:$AZ$20,Options!$B$3:$B$20,'Check result'!R138),SUMIFS('Master P&amp;L'!$AE$11:$AE$84,'Master P&amp;L'!$B$11:$B$84,'Check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IF(R139="","",IF(LEN(R139)&gt;9,SUMIFS(Options!$AZ$3:$AZ$20,Options!$B$3:$B$20,'Check result'!R139),SUMIFS('Master P&amp;L'!$AE$11:$AE$84,'Master P&amp;L'!$B$11:$B$84,'Check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IF(R140="","",IF(LEN(R140)&gt;9,SUMIFS(Options!$AZ$3:$AZ$20,Options!$B$3:$B$20,'Check result'!R140),SUMIFS('Master P&amp;L'!$AE$11:$AE$84,'Master P&amp;L'!$B$11:$B$84,'Check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IF(R141="","",IF(LEN(R141)&gt;9,SUMIFS(Options!$AZ$3:$AZ$20,Options!$B$3:$B$20,'Check result'!R141),SUMIFS('Master P&amp;L'!$AE$11:$AE$84,'Master P&amp;L'!$B$11:$B$84,'Check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IF(R142="","",IF(LEN(R142)&gt;9,SUMIFS(Options!$AZ$3:$AZ$20,Options!$B$3:$B$20,'Check result'!R142),SUMIFS('Master P&amp;L'!$AE$11:$AE$84,'Master P&amp;L'!$B$11:$B$84,'Check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IF(R143="","",IF(LEN(R143)&gt;9,SUMIFS(Options!$AZ$3:$AZ$20,Options!$B$3:$B$20,'Check result'!R143),SUMIFS('Master P&amp;L'!$AE$11:$AE$84,'Master P&amp;L'!$B$11:$B$84,'Check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IF(R144="","",IF(LEN(R144)&gt;9,SUMIFS(Options!$AZ$3:$AZ$20,Options!$B$3:$B$20,'Check result'!R144),SUMIFS('Master P&amp;L'!$AE$11:$AE$84,'Master P&amp;L'!$B$11:$B$84,'Check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IF(R145="","",IF(LEN(R145)&gt;9,SUMIFS(Options!$AZ$3:$AZ$20,Options!$B$3:$B$20,'Check result'!R145),SUMIFS('Master P&amp;L'!$AE$11:$AE$84,'Master P&amp;L'!$B$11:$B$84,'Check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IF(R146="","",IF(LEN(R146)&gt;9,SUMIFS(Options!$AZ$3:$AZ$20,Options!$B$3:$B$20,'Check result'!R146),SUMIFS('Master P&amp;L'!$AE$11:$AE$84,'Master P&amp;L'!$B$11:$B$84,'Check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IF(R147="","",IF(LEN(R147)&gt;9,SUMIFS(Options!$AZ$3:$AZ$20,Options!$B$3:$B$20,'Check result'!R147),SUMIFS('Master P&amp;L'!$AE$11:$AE$84,'Master P&amp;L'!$B$11:$B$84,'Check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IF(R148="","",IF(LEN(R148)&gt;9,SUMIFS(Options!$AZ$3:$AZ$20,Options!$B$3:$B$20,'Check result'!R148),SUMIFS('Master P&amp;L'!$AE$11:$AE$84,'Master P&amp;L'!$B$11:$B$84,'Check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IF(R149="","",IF(LEN(R149)&gt;9,SUMIFS(Options!$AZ$3:$AZ$20,Options!$B$3:$B$20,'Check result'!R149),SUMIFS('Master P&amp;L'!$AE$11:$AE$84,'Master P&amp;L'!$B$11:$B$84,'Check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IF(R150="","",IF(LEN(R150)&gt;9,SUMIFS(Options!$AZ$3:$AZ$20,Options!$B$3:$B$20,'Check result'!R150),SUMIFS('Master P&amp;L'!$AE$11:$AE$84,'Master P&amp;L'!$B$11:$B$84,'Check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IF(R151="","",IF(LEN(R151)&gt;9,SUMIFS(Options!$AZ$3:$AZ$20,Options!$B$3:$B$20,'Check result'!R151),SUMIFS('Master P&amp;L'!$AE$11:$AE$84,'Master P&amp;L'!$B$11:$B$84,'Check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IF(R152="","",IF(LEN(R152)&gt;9,SUMIFS(Options!$AZ$3:$AZ$20,Options!$B$3:$B$20,'Check result'!R152),SUMIFS('Master P&amp;L'!$AE$11:$AE$84,'Master P&amp;L'!$B$11:$B$84,'Check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IF(R153="","",IF(LEN(R153)&gt;9,SUMIFS(Options!$AZ$3:$AZ$20,Options!$B$3:$B$20,'Check result'!R153),SUMIFS('Master P&amp;L'!$AE$11:$AE$84,'Master P&amp;L'!$B$11:$B$84,'Check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IF(R154="","",IF(LEN(R154)&gt;9,SUMIFS(Options!$AZ$3:$AZ$20,Options!$B$3:$B$20,'Check result'!R154),SUMIFS('Master P&amp;L'!$AE$11:$AE$84,'Master P&amp;L'!$B$11:$B$84,'Check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IF(R155="","",IF(LEN(R155)&gt;9,SUMIFS(Options!$AZ$3:$AZ$20,Options!$B$3:$B$20,'Check result'!R155),SUMIFS('Master P&amp;L'!$AE$11:$AE$84,'Master P&amp;L'!$B$11:$B$84,'Check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IF(R156="","",IF(LEN(R156)&gt;9,SUMIFS(Options!$AZ$3:$AZ$20,Options!$B$3:$B$20,'Check result'!R156),SUMIFS('Master P&amp;L'!$AE$11:$AE$84,'Master P&amp;L'!$B$11:$B$84,'Check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IF(R157="","",IF(LEN(R157)&gt;9,SUMIFS(Options!$AZ$3:$AZ$20,Options!$B$3:$B$20,'Check result'!R157),SUMIFS('Master P&amp;L'!$AE$11:$AE$84,'Master P&amp;L'!$B$11:$B$84,'Check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IF(R158="","",IF(LEN(R158)&gt;9,SUMIFS(Options!$AZ$3:$AZ$20,Options!$B$3:$B$20,'Check result'!R158),SUMIFS('Master P&amp;L'!$AE$11:$AE$84,'Master P&amp;L'!$B$11:$B$84,'Check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IF(R159="","",IF(LEN(R159)&gt;9,SUMIFS(Options!$AZ$3:$AZ$20,Options!$B$3:$B$20,'Check result'!R159),SUMIFS('Master P&amp;L'!$AE$11:$AE$84,'Master P&amp;L'!$B$11:$B$84,'Check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IF(R160="","",IF(LEN(R160)&gt;9,SUMIFS(Options!$AZ$3:$AZ$20,Options!$B$3:$B$20,'Check result'!R160),SUMIFS('Master P&amp;L'!$AE$11:$AE$84,'Master P&amp;L'!$B$11:$B$84,'Check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IF(R161="","",IF(LEN(R161)&gt;9,SUMIFS(Options!$AZ$3:$AZ$20,Options!$B$3:$B$20,'Check result'!R161),SUMIFS('Master P&amp;L'!$AE$11:$AE$84,'Master P&amp;L'!$B$11:$B$84,'Check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IF(R162="","",IF(LEN(R162)&gt;9,SUMIFS(Options!$AZ$3:$AZ$20,Options!$B$3:$B$20,'Check result'!R162),SUMIFS('Master P&amp;L'!$AE$11:$AE$84,'Master P&amp;L'!$B$11:$B$84,'Check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IF(R163="","",IF(LEN(R163)&gt;9,SUMIFS(Options!$AZ$3:$AZ$20,Options!$B$3:$B$20,'Check result'!R163),SUMIFS('Master P&amp;L'!$AE$11:$AE$84,'Master P&amp;L'!$B$11:$B$84,'Check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IF(R164="","",IF(LEN(R164)&gt;9,SUMIFS(Options!$AZ$3:$AZ$20,Options!$B$3:$B$20,'Check result'!R164),SUMIFS('Master P&amp;L'!$AE$11:$AE$84,'Master P&amp;L'!$B$11:$B$84,'Check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IF(R165="","",IF(LEN(R165)&gt;9,SUMIFS(Options!$AZ$3:$AZ$20,Options!$B$3:$B$20,'Check result'!R165),SUMIFS('Master P&amp;L'!$AE$11:$AE$84,'Master P&amp;L'!$B$11:$B$84,'Check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39"/>
  <sheetViews>
    <sheetView workbookViewId="0">
      <selection sqref="A1:Q139"/>
    </sheetView>
  </sheetViews>
  <sheetFormatPr defaultRowHeight="15"/>
  <sheetData>
    <row r="1" spans="1:24">
      <c r="A1" s="478" t="s">
        <v>339</v>
      </c>
      <c r="B1" s="479" t="s">
        <v>1913</v>
      </c>
      <c r="C1" s="480" t="s">
        <v>1914</v>
      </c>
      <c r="D1" s="481" t="s">
        <v>1915</v>
      </c>
      <c r="E1" s="482" t="s">
        <v>1916</v>
      </c>
      <c r="F1" s="482" t="s">
        <v>1917</v>
      </c>
      <c r="G1" s="482" t="s">
        <v>203</v>
      </c>
      <c r="H1" s="482" t="s">
        <v>218</v>
      </c>
      <c r="I1" s="482" t="s">
        <v>1918</v>
      </c>
      <c r="J1" s="482" t="s">
        <v>1919</v>
      </c>
      <c r="K1" s="483" t="s">
        <v>1920</v>
      </c>
      <c r="L1" s="484" t="s">
        <v>1921</v>
      </c>
      <c r="M1" s="485" t="s">
        <v>1922</v>
      </c>
      <c r="N1" s="481" t="s">
        <v>1923</v>
      </c>
      <c r="O1" s="476" t="s">
        <v>1924</v>
      </c>
      <c r="P1" s="486" t="s">
        <v>1</v>
      </c>
      <c r="Q1" s="503" t="s">
        <v>1925</v>
      </c>
    </row>
    <row r="2" spans="1:24">
      <c r="A2" s="475">
        <v>46051</v>
      </c>
      <c r="B2" s="487" t="s">
        <v>1896</v>
      </c>
      <c r="C2" s="488" t="s">
        <v>1929</v>
      </c>
      <c r="D2" s="433" t="s">
        <v>1930</v>
      </c>
      <c r="E2" s="434">
        <v>46101</v>
      </c>
      <c r="F2" s="433" t="s">
        <v>1931</v>
      </c>
      <c r="G2" s="433" t="s">
        <v>1932</v>
      </c>
      <c r="H2" s="433" t="s">
        <v>2146</v>
      </c>
      <c r="I2" s="433" t="s">
        <v>1927</v>
      </c>
      <c r="J2" s="489">
        <v>112.93</v>
      </c>
      <c r="K2" s="433">
        <v>8.9300000000000068</v>
      </c>
      <c r="L2" s="442">
        <v>10.01</v>
      </c>
      <c r="M2" s="490">
        <v>10.01</v>
      </c>
      <c r="N2" s="489">
        <v>10.01</v>
      </c>
      <c r="O2" s="491">
        <v>10.01</v>
      </c>
      <c r="P2" s="492">
        <v>24.666026850000002</v>
      </c>
      <c r="Q2" s="504" t="s">
        <v>1928</v>
      </c>
      <c r="R2" s="414">
        <f>L2-L3</f>
        <v>7.64</v>
      </c>
      <c r="T2" s="442">
        <v>8.64</v>
      </c>
      <c r="U2" s="414">
        <f>T2-T3</f>
        <v>7.08</v>
      </c>
      <c r="W2" s="442">
        <v>11.6</v>
      </c>
      <c r="X2" s="414">
        <f>W2-W3</f>
        <v>8.8999999999999986</v>
      </c>
    </row>
    <row r="3" spans="1:24">
      <c r="A3" s="475">
        <v>46051</v>
      </c>
      <c r="B3" s="487" t="s">
        <v>1897</v>
      </c>
      <c r="C3" s="488" t="s">
        <v>1934</v>
      </c>
      <c r="D3" s="433" t="s">
        <v>1930</v>
      </c>
      <c r="E3" s="434">
        <v>46101</v>
      </c>
      <c r="F3" s="433" t="s">
        <v>1931</v>
      </c>
      <c r="G3" s="433" t="s">
        <v>1932</v>
      </c>
      <c r="H3" s="433" t="s">
        <v>2147</v>
      </c>
      <c r="I3" s="433" t="s">
        <v>1927</v>
      </c>
      <c r="J3" s="489">
        <v>112.93</v>
      </c>
      <c r="K3" s="433">
        <v>0</v>
      </c>
      <c r="L3" s="442">
        <v>2.37</v>
      </c>
      <c r="M3" s="490">
        <v>2.37</v>
      </c>
      <c r="N3" s="489">
        <v>2.37</v>
      </c>
      <c r="O3" s="491">
        <v>2.37</v>
      </c>
      <c r="P3" s="492">
        <v>27.830620660000001</v>
      </c>
      <c r="Q3" s="504" t="s">
        <v>1933</v>
      </c>
      <c r="T3" s="442">
        <v>1.56</v>
      </c>
      <c r="W3" s="442">
        <v>2.7</v>
      </c>
    </row>
    <row r="4" spans="1:24">
      <c r="A4" s="475">
        <v>46051</v>
      </c>
      <c r="B4" s="487" t="s">
        <v>1939</v>
      </c>
      <c r="C4" s="488" t="s">
        <v>1940</v>
      </c>
      <c r="D4" s="433" t="s">
        <v>1941</v>
      </c>
      <c r="E4" s="434">
        <v>46280</v>
      </c>
      <c r="F4" s="433" t="s">
        <v>1931</v>
      </c>
      <c r="G4" s="433" t="s">
        <v>1932</v>
      </c>
      <c r="H4" s="433" t="s">
        <v>2148</v>
      </c>
      <c r="I4" s="433" t="s">
        <v>1927</v>
      </c>
      <c r="J4" s="493">
        <v>8443.44</v>
      </c>
      <c r="K4" s="433">
        <v>956.19100000000071</v>
      </c>
      <c r="L4" s="494">
        <v>1105.8477732058141</v>
      </c>
      <c r="M4" s="495">
        <v>1105.8477732058141</v>
      </c>
      <c r="N4" s="433">
        <v>1105.8477732058141</v>
      </c>
      <c r="O4" s="496">
        <v>1104.622608205553</v>
      </c>
      <c r="P4" s="497">
        <v>20.05655853698935</v>
      </c>
      <c r="Q4" s="504" t="s">
        <v>1928</v>
      </c>
    </row>
    <row r="5" spans="1:24">
      <c r="A5" s="475">
        <v>46051</v>
      </c>
      <c r="B5" s="487" t="s">
        <v>1942</v>
      </c>
      <c r="C5" s="488" t="s">
        <v>1943</v>
      </c>
      <c r="D5" s="433" t="s">
        <v>1941</v>
      </c>
      <c r="E5" s="434">
        <v>46280</v>
      </c>
      <c r="F5" s="433" t="s">
        <v>1931</v>
      </c>
      <c r="G5" s="433" t="s">
        <v>1932</v>
      </c>
      <c r="H5" s="433" t="s">
        <v>2149</v>
      </c>
      <c r="I5" s="433" t="s">
        <v>1927</v>
      </c>
      <c r="J5" s="493">
        <v>8443.44</v>
      </c>
      <c r="K5" s="433">
        <v>243.1197000000011</v>
      </c>
      <c r="L5" s="494">
        <v>648.523656780755</v>
      </c>
      <c r="M5" s="495">
        <v>648.523656780755</v>
      </c>
      <c r="N5" s="433">
        <v>648.523656780755</v>
      </c>
      <c r="O5" s="496">
        <v>647.21549035352825</v>
      </c>
      <c r="P5" s="497">
        <v>20.05655853698935</v>
      </c>
      <c r="Q5" s="504" t="s">
        <v>1928</v>
      </c>
    </row>
    <row r="6" spans="1:24">
      <c r="A6" s="475">
        <v>46051</v>
      </c>
      <c r="B6" s="497" t="s">
        <v>1944</v>
      </c>
      <c r="C6" s="488" t="s">
        <v>1945</v>
      </c>
      <c r="D6" s="433" t="s">
        <v>1946</v>
      </c>
      <c r="E6" s="434">
        <v>46129</v>
      </c>
      <c r="F6" s="433" t="s">
        <v>1931</v>
      </c>
      <c r="G6" s="433" t="s">
        <v>194</v>
      </c>
      <c r="H6" s="433" t="s">
        <v>2150</v>
      </c>
      <c r="I6" s="433"/>
      <c r="J6" s="498">
        <v>2.8</v>
      </c>
      <c r="K6" s="433">
        <v>0.25</v>
      </c>
      <c r="L6" s="499">
        <v>0.32588126617099866</v>
      </c>
      <c r="M6" s="500">
        <v>0.32588126617099866</v>
      </c>
      <c r="N6" s="433">
        <v>0.32588126617099866</v>
      </c>
      <c r="O6" s="433">
        <v>0.32588126617099866</v>
      </c>
      <c r="P6" s="497">
        <v>30.718748377119649</v>
      </c>
      <c r="Q6" s="504" t="s">
        <v>1928</v>
      </c>
    </row>
    <row r="7" spans="1:24">
      <c r="A7" s="475">
        <v>46051</v>
      </c>
      <c r="B7" s="497" t="s">
        <v>1947</v>
      </c>
      <c r="C7" s="488" t="s">
        <v>1948</v>
      </c>
      <c r="D7" s="433" t="s">
        <v>1946</v>
      </c>
      <c r="E7" s="434">
        <v>46129</v>
      </c>
      <c r="F7" s="433" t="s">
        <v>1926</v>
      </c>
      <c r="G7" s="433" t="s">
        <v>194</v>
      </c>
      <c r="H7" s="433" t="s">
        <v>2151</v>
      </c>
      <c r="I7" s="433"/>
      <c r="J7" s="498">
        <v>2.8</v>
      </c>
      <c r="K7" s="433">
        <v>0</v>
      </c>
      <c r="L7" s="499">
        <v>5.6983313452556496E-3</v>
      </c>
      <c r="M7" s="500">
        <v>5.6983313452556496E-3</v>
      </c>
      <c r="N7" s="433">
        <v>5.6983313452556496E-3</v>
      </c>
      <c r="O7" s="433">
        <v>5.6983313452556496E-3</v>
      </c>
      <c r="P7" s="497">
        <v>43.172819488484279</v>
      </c>
      <c r="Q7" s="504" t="s">
        <v>1928</v>
      </c>
    </row>
    <row r="8" spans="1:24">
      <c r="A8" s="475">
        <v>46051</v>
      </c>
      <c r="B8" s="497" t="s">
        <v>1949</v>
      </c>
      <c r="C8" s="488" t="s">
        <v>1950</v>
      </c>
      <c r="D8" s="433" t="s">
        <v>1946</v>
      </c>
      <c r="E8" s="434">
        <v>46129</v>
      </c>
      <c r="F8" s="433" t="s">
        <v>1926</v>
      </c>
      <c r="G8" s="433" t="s">
        <v>194</v>
      </c>
      <c r="H8" s="433" t="s">
        <v>2152</v>
      </c>
      <c r="I8" s="433"/>
      <c r="J8" s="498">
        <v>2.8</v>
      </c>
      <c r="K8" s="433">
        <v>0</v>
      </c>
      <c r="L8" s="499">
        <v>1.4944572320860022E-2</v>
      </c>
      <c r="M8" s="500">
        <v>1.4944572320860022E-2</v>
      </c>
      <c r="N8" s="433">
        <v>1.4944572320860022E-2</v>
      </c>
      <c r="O8" s="433">
        <v>1.4944572320860022E-2</v>
      </c>
      <c r="P8" s="497">
        <v>35.223378966688237</v>
      </c>
      <c r="Q8" s="504" t="s">
        <v>1928</v>
      </c>
    </row>
    <row r="9" spans="1:24">
      <c r="A9" s="475">
        <v>46051</v>
      </c>
      <c r="B9" s="497" t="s">
        <v>2017</v>
      </c>
      <c r="C9" s="488" t="s">
        <v>2023</v>
      </c>
      <c r="D9" s="433" t="s">
        <v>1938</v>
      </c>
      <c r="E9" s="434">
        <v>46191</v>
      </c>
      <c r="F9" s="433" t="s">
        <v>1931</v>
      </c>
      <c r="G9" s="433" t="s">
        <v>194</v>
      </c>
      <c r="H9" s="433" t="s">
        <v>2153</v>
      </c>
      <c r="I9" s="433"/>
      <c r="J9" s="498">
        <v>339.55</v>
      </c>
      <c r="K9" s="433">
        <v>39.550000000000011</v>
      </c>
      <c r="L9" s="499">
        <v>56.3</v>
      </c>
      <c r="M9" s="500">
        <v>58.7</v>
      </c>
      <c r="N9" s="433">
        <v>57.5</v>
      </c>
      <c r="O9" s="433">
        <v>57.5</v>
      </c>
      <c r="P9" s="497"/>
      <c r="Q9" s="504" t="s">
        <v>1935</v>
      </c>
    </row>
    <row r="10" spans="1:24">
      <c r="A10" s="475">
        <v>46051</v>
      </c>
      <c r="B10" s="497" t="s">
        <v>2016</v>
      </c>
      <c r="C10" s="488" t="s">
        <v>2024</v>
      </c>
      <c r="D10" s="433" t="s">
        <v>1938</v>
      </c>
      <c r="E10" s="434">
        <v>46191</v>
      </c>
      <c r="F10" s="433" t="s">
        <v>1931</v>
      </c>
      <c r="G10" s="433" t="s">
        <v>194</v>
      </c>
      <c r="H10" s="433" t="s">
        <v>2154</v>
      </c>
      <c r="I10" s="433"/>
      <c r="J10" s="498">
        <v>339.55</v>
      </c>
      <c r="K10" s="433">
        <v>0</v>
      </c>
      <c r="L10" s="499">
        <v>22.25</v>
      </c>
      <c r="M10" s="500">
        <v>23.25</v>
      </c>
      <c r="N10" s="433">
        <v>22.75</v>
      </c>
      <c r="O10" s="433">
        <v>22.75</v>
      </c>
      <c r="P10" s="497"/>
      <c r="Q10" s="504" t="s">
        <v>1935</v>
      </c>
    </row>
    <row r="11" spans="1:24">
      <c r="A11" s="475">
        <v>46051</v>
      </c>
      <c r="B11" s="497" t="s">
        <v>2019</v>
      </c>
      <c r="C11" s="488" t="s">
        <v>2025</v>
      </c>
      <c r="D11" s="433" t="s">
        <v>1938</v>
      </c>
      <c r="E11" s="434">
        <v>46191</v>
      </c>
      <c r="F11" s="433" t="s">
        <v>1926</v>
      </c>
      <c r="G11" s="433" t="s">
        <v>194</v>
      </c>
      <c r="H11" s="433" t="s">
        <v>2155</v>
      </c>
      <c r="I11" s="433"/>
      <c r="J11" s="498">
        <v>339.55</v>
      </c>
      <c r="K11" s="433">
        <v>0</v>
      </c>
      <c r="L11" s="499">
        <v>4.95</v>
      </c>
      <c r="M11" s="500">
        <v>5.55</v>
      </c>
      <c r="N11" s="433">
        <v>5.25</v>
      </c>
      <c r="O11" s="433">
        <v>5.25</v>
      </c>
      <c r="P11" s="497"/>
      <c r="Q11" s="504" t="s">
        <v>1935</v>
      </c>
    </row>
    <row r="12" spans="1:24">
      <c r="A12" s="475">
        <v>46051</v>
      </c>
      <c r="B12" s="497" t="s">
        <v>2018</v>
      </c>
      <c r="C12" s="488" t="s">
        <v>2026</v>
      </c>
      <c r="D12" s="433" t="s">
        <v>1938</v>
      </c>
      <c r="E12" s="434">
        <v>46191</v>
      </c>
      <c r="F12" s="433" t="s">
        <v>1926</v>
      </c>
      <c r="G12" s="433" t="s">
        <v>194</v>
      </c>
      <c r="H12" s="433" t="s">
        <v>2156</v>
      </c>
      <c r="I12" s="433"/>
      <c r="J12" s="498">
        <v>339.55</v>
      </c>
      <c r="K12" s="433">
        <v>0</v>
      </c>
      <c r="L12" s="499">
        <v>1.9</v>
      </c>
      <c r="M12" s="500">
        <v>2.48</v>
      </c>
      <c r="N12" s="433">
        <v>2.19</v>
      </c>
      <c r="O12" s="433">
        <v>2.19</v>
      </c>
      <c r="P12" s="497"/>
      <c r="Q12" s="504" t="s">
        <v>1935</v>
      </c>
    </row>
    <row r="13" spans="1:24">
      <c r="A13" s="475">
        <v>46051</v>
      </c>
      <c r="B13" s="497" t="s">
        <v>2022</v>
      </c>
      <c r="C13" s="488" t="s">
        <v>2027</v>
      </c>
      <c r="D13" s="433" t="s">
        <v>1937</v>
      </c>
      <c r="E13" s="434">
        <v>46191</v>
      </c>
      <c r="F13" s="433" t="s">
        <v>1926</v>
      </c>
      <c r="G13" s="433" t="s">
        <v>194</v>
      </c>
      <c r="H13" s="433" t="s">
        <v>2157</v>
      </c>
      <c r="I13" s="433"/>
      <c r="J13" s="498">
        <v>433.5</v>
      </c>
      <c r="K13" s="433">
        <v>0</v>
      </c>
      <c r="L13" s="499">
        <v>24.3</v>
      </c>
      <c r="M13" s="500">
        <v>24.65</v>
      </c>
      <c r="N13" s="433">
        <v>24.475000000000001</v>
      </c>
      <c r="O13" s="433">
        <v>24.475000000000001</v>
      </c>
      <c r="P13" s="497"/>
      <c r="Q13" s="504" t="s">
        <v>1935</v>
      </c>
    </row>
    <row r="14" spans="1:24">
      <c r="A14" s="475">
        <v>46051</v>
      </c>
      <c r="B14" s="497" t="s">
        <v>2021</v>
      </c>
      <c r="C14" s="488" t="s">
        <v>2028</v>
      </c>
      <c r="D14" s="433" t="s">
        <v>1937</v>
      </c>
      <c r="E14" s="434">
        <v>46191</v>
      </c>
      <c r="F14" s="433" t="s">
        <v>1931</v>
      </c>
      <c r="G14" s="433" t="s">
        <v>194</v>
      </c>
      <c r="H14" s="433" t="s">
        <v>2158</v>
      </c>
      <c r="I14" s="433"/>
      <c r="J14" s="498">
        <v>433.5</v>
      </c>
      <c r="K14" s="433">
        <v>0</v>
      </c>
      <c r="L14" s="499">
        <v>8.1</v>
      </c>
      <c r="M14" s="500">
        <v>8.25</v>
      </c>
      <c r="N14" s="433">
        <v>8.1750000000000007</v>
      </c>
      <c r="O14" s="433">
        <v>8.1750000000000007</v>
      </c>
      <c r="P14" s="497"/>
      <c r="Q14" s="504" t="s">
        <v>1935</v>
      </c>
    </row>
    <row r="15" spans="1:24">
      <c r="A15" s="475">
        <v>46051</v>
      </c>
      <c r="B15" s="497" t="s">
        <v>2020</v>
      </c>
      <c r="C15" s="488" t="s">
        <v>2029</v>
      </c>
      <c r="D15" s="433" t="s">
        <v>1937</v>
      </c>
      <c r="E15" s="434">
        <v>46191</v>
      </c>
      <c r="F15" s="433" t="s">
        <v>1931</v>
      </c>
      <c r="G15" s="433" t="s">
        <v>194</v>
      </c>
      <c r="H15" s="433" t="s">
        <v>2159</v>
      </c>
      <c r="I15" s="433"/>
      <c r="J15" s="498">
        <v>433.5</v>
      </c>
      <c r="K15" s="433">
        <v>0</v>
      </c>
      <c r="L15" s="499">
        <v>2.39</v>
      </c>
      <c r="M15" s="500">
        <v>2.5</v>
      </c>
      <c r="N15" s="433">
        <v>2.4450000000000003</v>
      </c>
      <c r="O15" s="433">
        <v>2.4450000000000003</v>
      </c>
      <c r="P15" s="497"/>
      <c r="Q15" s="504" t="s">
        <v>1935</v>
      </c>
    </row>
    <row r="16" spans="1:24">
      <c r="A16" s="475">
        <v>46051</v>
      </c>
      <c r="B16" s="497" t="s">
        <v>2031</v>
      </c>
      <c r="C16" s="488" t="s">
        <v>2032</v>
      </c>
      <c r="D16" s="433" t="s">
        <v>1951</v>
      </c>
      <c r="E16" s="434">
        <v>46101</v>
      </c>
      <c r="F16" s="433" t="s">
        <v>1926</v>
      </c>
      <c r="G16" s="433" t="s">
        <v>194</v>
      </c>
      <c r="H16" s="433" t="s">
        <v>2160</v>
      </c>
      <c r="I16" s="433"/>
      <c r="J16" s="498">
        <v>629.42999999999995</v>
      </c>
      <c r="K16" s="433">
        <v>0</v>
      </c>
      <c r="L16" s="499">
        <v>2.83</v>
      </c>
      <c r="M16" s="500">
        <v>2.88</v>
      </c>
      <c r="N16" s="433">
        <v>2.855</v>
      </c>
      <c r="O16" s="433">
        <v>2.855</v>
      </c>
      <c r="P16" s="497"/>
      <c r="Q16" s="504" t="s">
        <v>1935</v>
      </c>
    </row>
    <row r="17" spans="1:17">
      <c r="A17" s="475">
        <v>46051</v>
      </c>
      <c r="B17" s="497" t="s">
        <v>2030</v>
      </c>
      <c r="C17" s="488" t="s">
        <v>2034</v>
      </c>
      <c r="D17" s="433" t="s">
        <v>1951</v>
      </c>
      <c r="E17" s="434">
        <v>46101</v>
      </c>
      <c r="F17" s="433" t="s">
        <v>1926</v>
      </c>
      <c r="G17" s="433" t="s">
        <v>194</v>
      </c>
      <c r="H17" s="433" t="s">
        <v>2161</v>
      </c>
      <c r="I17" s="433"/>
      <c r="J17" s="498">
        <v>629.42999999999995</v>
      </c>
      <c r="K17" s="433">
        <v>0</v>
      </c>
      <c r="L17" s="499">
        <v>5.52</v>
      </c>
      <c r="M17" s="500">
        <v>5.61</v>
      </c>
      <c r="N17" s="433">
        <v>5.5649999999999995</v>
      </c>
      <c r="O17" s="433">
        <v>5.5649999999999995</v>
      </c>
      <c r="P17" s="497"/>
      <c r="Q17" s="504" t="s">
        <v>1935</v>
      </c>
    </row>
    <row r="18" spans="1:17">
      <c r="A18" s="475">
        <v>46051</v>
      </c>
      <c r="B18" s="497" t="s">
        <v>2035</v>
      </c>
      <c r="C18" s="488" t="s">
        <v>2038</v>
      </c>
      <c r="D18" s="433" t="s">
        <v>2033</v>
      </c>
      <c r="E18" s="434">
        <v>46191</v>
      </c>
      <c r="F18" s="433" t="s">
        <v>1931</v>
      </c>
      <c r="G18" s="433" t="s">
        <v>194</v>
      </c>
      <c r="H18" s="433" t="s">
        <v>2162</v>
      </c>
      <c r="I18" s="433"/>
      <c r="J18" s="498">
        <v>241.73</v>
      </c>
      <c r="K18" s="433">
        <v>11.72999999999999</v>
      </c>
      <c r="L18" s="499">
        <v>29.5</v>
      </c>
      <c r="M18" s="500">
        <v>30</v>
      </c>
      <c r="N18" s="433">
        <v>29.75</v>
      </c>
      <c r="O18" s="433">
        <v>29.75</v>
      </c>
      <c r="P18" s="497"/>
      <c r="Q18" s="504" t="s">
        <v>1935</v>
      </c>
    </row>
    <row r="19" spans="1:17">
      <c r="A19" s="475">
        <v>46051</v>
      </c>
      <c r="B19" s="497" t="s">
        <v>2036</v>
      </c>
      <c r="C19" s="488" t="s">
        <v>2039</v>
      </c>
      <c r="D19" s="433" t="s">
        <v>2033</v>
      </c>
      <c r="E19" s="434">
        <v>46191</v>
      </c>
      <c r="F19" s="433" t="s">
        <v>1931</v>
      </c>
      <c r="G19" s="433" t="s">
        <v>194</v>
      </c>
      <c r="H19" s="433" t="s">
        <v>2163</v>
      </c>
      <c r="I19" s="433"/>
      <c r="J19" s="498">
        <v>241.73</v>
      </c>
      <c r="K19" s="433">
        <v>0</v>
      </c>
      <c r="L19" s="499">
        <v>15</v>
      </c>
      <c r="M19" s="500">
        <v>15.2</v>
      </c>
      <c r="N19" s="433">
        <v>15.1</v>
      </c>
      <c r="O19" s="433">
        <v>15.1</v>
      </c>
      <c r="P19" s="497"/>
      <c r="Q19" s="504" t="s">
        <v>1935</v>
      </c>
    </row>
    <row r="20" spans="1:17">
      <c r="A20" s="475">
        <v>46051</v>
      </c>
      <c r="B20" s="497" t="s">
        <v>2037</v>
      </c>
      <c r="C20" s="488" t="s">
        <v>2040</v>
      </c>
      <c r="D20" s="433" t="s">
        <v>2033</v>
      </c>
      <c r="E20" s="434">
        <v>46191</v>
      </c>
      <c r="F20" s="433" t="s">
        <v>1926</v>
      </c>
      <c r="G20" s="433" t="s">
        <v>194</v>
      </c>
      <c r="H20" s="433" t="s">
        <v>2164</v>
      </c>
      <c r="I20" s="433"/>
      <c r="J20" s="498">
        <v>241.73</v>
      </c>
      <c r="K20" s="433">
        <v>0</v>
      </c>
      <c r="L20" s="499">
        <v>5.7</v>
      </c>
      <c r="M20" s="500">
        <v>5.8</v>
      </c>
      <c r="N20" s="433">
        <v>5.75</v>
      </c>
      <c r="O20" s="433">
        <v>5.75</v>
      </c>
      <c r="P20" s="497"/>
      <c r="Q20" s="504" t="s">
        <v>1935</v>
      </c>
    </row>
    <row r="21" spans="1:17">
      <c r="A21" s="475">
        <v>46051</v>
      </c>
      <c r="B21" s="497" t="s">
        <v>2048</v>
      </c>
      <c r="C21" s="488" t="s">
        <v>2051</v>
      </c>
      <c r="D21" s="433" t="s">
        <v>1937</v>
      </c>
      <c r="E21" s="434">
        <v>46101</v>
      </c>
      <c r="F21" s="433" t="s">
        <v>1931</v>
      </c>
      <c r="G21" s="433" t="s">
        <v>194</v>
      </c>
      <c r="H21" s="433" t="s">
        <v>2166</v>
      </c>
      <c r="I21" s="433"/>
      <c r="J21" s="498">
        <v>433.5</v>
      </c>
      <c r="K21" s="433">
        <v>0</v>
      </c>
      <c r="L21" s="499">
        <v>3.05</v>
      </c>
      <c r="M21" s="500">
        <v>3.15</v>
      </c>
      <c r="N21" s="433">
        <v>3.0999999999999996</v>
      </c>
      <c r="O21" s="433">
        <v>3.0999999999999996</v>
      </c>
      <c r="P21" s="497"/>
      <c r="Q21" s="504" t="s">
        <v>1935</v>
      </c>
    </row>
    <row r="22" spans="1:17">
      <c r="A22" s="475">
        <v>46051</v>
      </c>
      <c r="B22" s="497" t="s">
        <v>2047</v>
      </c>
      <c r="C22" s="488" t="s">
        <v>2052</v>
      </c>
      <c r="D22" s="433" t="s">
        <v>1937</v>
      </c>
      <c r="E22" s="434">
        <v>46101</v>
      </c>
      <c r="F22" s="433" t="s">
        <v>1931</v>
      </c>
      <c r="G22" s="433" t="s">
        <v>194</v>
      </c>
      <c r="H22" s="433" t="s">
        <v>2158</v>
      </c>
      <c r="I22" s="433"/>
      <c r="J22" s="498">
        <v>433.5</v>
      </c>
      <c r="K22" s="433">
        <v>0</v>
      </c>
      <c r="L22" s="499">
        <v>1.5</v>
      </c>
      <c r="M22" s="500">
        <v>1.57</v>
      </c>
      <c r="N22" s="433">
        <v>1.5350000000000001</v>
      </c>
      <c r="O22" s="433">
        <v>1.5350000000000001</v>
      </c>
      <c r="P22" s="497"/>
      <c r="Q22" s="504" t="s">
        <v>1935</v>
      </c>
    </row>
    <row r="23" spans="1:17" ht="45">
      <c r="A23" s="475">
        <v>46051</v>
      </c>
      <c r="B23" s="477" t="s">
        <v>2050</v>
      </c>
      <c r="C23" s="488" t="s">
        <v>2053</v>
      </c>
      <c r="D23" s="433" t="s">
        <v>1937</v>
      </c>
      <c r="E23" s="434">
        <v>46101</v>
      </c>
      <c r="F23" s="433" t="s">
        <v>1926</v>
      </c>
      <c r="G23" s="433" t="s">
        <v>194</v>
      </c>
      <c r="H23" s="433" t="s">
        <v>2167</v>
      </c>
      <c r="I23" s="433"/>
      <c r="J23" s="498">
        <v>433.5</v>
      </c>
      <c r="K23" s="433">
        <v>21.5</v>
      </c>
      <c r="L23" s="499">
        <v>29.45</v>
      </c>
      <c r="M23" s="500">
        <v>29.85</v>
      </c>
      <c r="N23" s="433">
        <v>29.65</v>
      </c>
      <c r="O23" s="433">
        <v>29.65</v>
      </c>
      <c r="P23" s="497"/>
      <c r="Q23" s="504" t="s">
        <v>1935</v>
      </c>
    </row>
    <row r="24" spans="1:17" ht="45">
      <c r="A24" s="475">
        <v>46051</v>
      </c>
      <c r="B24" s="477" t="s">
        <v>2049</v>
      </c>
      <c r="C24" s="488" t="s">
        <v>2054</v>
      </c>
      <c r="D24" s="433" t="s">
        <v>1937</v>
      </c>
      <c r="E24" s="434">
        <v>46101</v>
      </c>
      <c r="F24" s="433" t="s">
        <v>1926</v>
      </c>
      <c r="G24" s="433" t="s">
        <v>194</v>
      </c>
      <c r="H24" s="433" t="s">
        <v>2168</v>
      </c>
      <c r="I24" s="433"/>
      <c r="J24" s="498">
        <v>433.5</v>
      </c>
      <c r="K24" s="433">
        <v>31.5</v>
      </c>
      <c r="L24" s="499">
        <v>35.85</v>
      </c>
      <c r="M24" s="500">
        <v>37.950000000000003</v>
      </c>
      <c r="N24" s="433">
        <v>36.900000000000006</v>
      </c>
      <c r="O24" s="433">
        <v>36.900000000000006</v>
      </c>
      <c r="P24" s="497"/>
      <c r="Q24" s="504" t="s">
        <v>1935</v>
      </c>
    </row>
    <row r="25" spans="1:17" ht="45">
      <c r="A25" s="475">
        <v>46051</v>
      </c>
      <c r="B25" s="477" t="s">
        <v>2058</v>
      </c>
      <c r="C25" s="488" t="s">
        <v>2060</v>
      </c>
      <c r="D25" s="433" t="s">
        <v>2061</v>
      </c>
      <c r="E25" s="434">
        <v>46101</v>
      </c>
      <c r="F25" s="433" t="s">
        <v>1926</v>
      </c>
      <c r="G25" s="433" t="s">
        <v>194</v>
      </c>
      <c r="H25" s="433" t="s">
        <v>2169</v>
      </c>
      <c r="I25" s="433"/>
      <c r="J25" s="498">
        <v>81.34</v>
      </c>
      <c r="K25" s="433">
        <v>0</v>
      </c>
      <c r="L25" s="499">
        <v>6.25</v>
      </c>
      <c r="M25" s="500">
        <v>6.55</v>
      </c>
      <c r="N25" s="433">
        <v>6.4</v>
      </c>
      <c r="O25" s="433">
        <v>6.4</v>
      </c>
      <c r="P25" s="497"/>
      <c r="Q25" s="504" t="s">
        <v>1935</v>
      </c>
    </row>
    <row r="26" spans="1:17" ht="45">
      <c r="A26" s="475">
        <v>46051</v>
      </c>
      <c r="B26" s="477" t="s">
        <v>2059</v>
      </c>
      <c r="C26" s="488" t="s">
        <v>2062</v>
      </c>
      <c r="D26" s="433" t="s">
        <v>2061</v>
      </c>
      <c r="E26" s="434">
        <v>46101</v>
      </c>
      <c r="F26" s="433" t="s">
        <v>1926</v>
      </c>
      <c r="G26" s="433" t="s">
        <v>194</v>
      </c>
      <c r="H26" s="433" t="s">
        <v>2170</v>
      </c>
      <c r="I26" s="433"/>
      <c r="J26" s="498">
        <v>81.34</v>
      </c>
      <c r="K26" s="433">
        <v>8.6599999999999966</v>
      </c>
      <c r="L26" s="499">
        <v>12.35</v>
      </c>
      <c r="M26" s="500">
        <v>12.65</v>
      </c>
      <c r="N26" s="433">
        <v>12.5</v>
      </c>
      <c r="O26" s="433">
        <v>12.5</v>
      </c>
      <c r="P26" s="497"/>
      <c r="Q26" s="504" t="s">
        <v>1935</v>
      </c>
    </row>
    <row r="27" spans="1:17" ht="45">
      <c r="A27" s="475">
        <v>46051</v>
      </c>
      <c r="B27" s="477" t="s">
        <v>2065</v>
      </c>
      <c r="C27" s="488" t="s">
        <v>2066</v>
      </c>
      <c r="D27" s="433" t="s">
        <v>1936</v>
      </c>
      <c r="E27" s="434">
        <v>46038</v>
      </c>
      <c r="F27" s="433" t="s">
        <v>1926</v>
      </c>
      <c r="G27" s="433" t="s">
        <v>194</v>
      </c>
      <c r="H27" s="433" t="s">
        <v>2171</v>
      </c>
      <c r="I27" s="433"/>
      <c r="J27" s="493">
        <v>38.119999999999997</v>
      </c>
      <c r="K27" s="433">
        <v>0</v>
      </c>
      <c r="L27" s="494">
        <v>0.83499999999999996</v>
      </c>
      <c r="M27" s="495">
        <v>0.83499999999999996</v>
      </c>
      <c r="N27" s="433">
        <v>0.83499999999999996</v>
      </c>
      <c r="O27" s="433">
        <v>0.83499999999999996</v>
      </c>
      <c r="P27" s="497">
        <v>0</v>
      </c>
      <c r="Q27" s="504" t="s">
        <v>1928</v>
      </c>
    </row>
    <row r="28" spans="1:17" ht="45">
      <c r="A28" s="475">
        <v>46051</v>
      </c>
      <c r="B28" s="477" t="s">
        <v>2068</v>
      </c>
      <c r="C28" s="488" t="s">
        <v>2070</v>
      </c>
      <c r="D28" s="433" t="s">
        <v>2071</v>
      </c>
      <c r="E28" s="434">
        <v>46129</v>
      </c>
      <c r="F28" s="433" t="s">
        <v>1931</v>
      </c>
      <c r="G28" s="433" t="s">
        <v>194</v>
      </c>
      <c r="H28" s="433" t="s">
        <v>2172</v>
      </c>
      <c r="I28" s="433"/>
      <c r="J28" s="498">
        <v>738.31</v>
      </c>
      <c r="K28" s="433">
        <v>48.309999999999945</v>
      </c>
      <c r="L28" s="499">
        <v>73.75</v>
      </c>
      <c r="M28" s="500">
        <v>76.75</v>
      </c>
      <c r="N28" s="433">
        <v>75.25</v>
      </c>
      <c r="O28" s="433">
        <v>75.25</v>
      </c>
      <c r="P28" s="497"/>
      <c r="Q28" s="504" t="s">
        <v>1935</v>
      </c>
    </row>
    <row r="29" spans="1:17">
      <c r="A29" s="475">
        <v>46051</v>
      </c>
      <c r="B29" s="487" t="s">
        <v>2067</v>
      </c>
      <c r="C29" s="488" t="s">
        <v>2072</v>
      </c>
      <c r="D29" s="433" t="s">
        <v>2071</v>
      </c>
      <c r="E29" s="434">
        <v>46129</v>
      </c>
      <c r="F29" s="433" t="s">
        <v>1931</v>
      </c>
      <c r="G29" s="433" t="s">
        <v>194</v>
      </c>
      <c r="H29" s="433" t="s">
        <v>2173</v>
      </c>
      <c r="I29" s="433"/>
      <c r="J29" s="498">
        <v>738.31</v>
      </c>
      <c r="K29" s="433">
        <v>0</v>
      </c>
      <c r="L29" s="499">
        <v>39.299999999999997</v>
      </c>
      <c r="M29" s="500">
        <v>39.65</v>
      </c>
      <c r="N29" s="433">
        <v>39.474999999999994</v>
      </c>
      <c r="O29" s="433">
        <v>39.474999999999994</v>
      </c>
      <c r="P29" s="497"/>
      <c r="Q29" s="504" t="s">
        <v>1935</v>
      </c>
    </row>
    <row r="30" spans="1:17" ht="45">
      <c r="A30" s="475">
        <v>46051</v>
      </c>
      <c r="B30" s="477" t="s">
        <v>2069</v>
      </c>
      <c r="C30" s="488" t="s">
        <v>2073</v>
      </c>
      <c r="D30" s="433" t="s">
        <v>2071</v>
      </c>
      <c r="E30" s="434">
        <v>46129</v>
      </c>
      <c r="F30" s="433" t="s">
        <v>1926</v>
      </c>
      <c r="G30" s="433" t="s">
        <v>194</v>
      </c>
      <c r="H30" s="433" t="s">
        <v>2174</v>
      </c>
      <c r="I30" s="433"/>
      <c r="J30" s="498">
        <v>738.31</v>
      </c>
      <c r="K30" s="433">
        <v>0</v>
      </c>
      <c r="L30" s="499">
        <v>4.4000000000000004</v>
      </c>
      <c r="M30" s="500">
        <v>4.55</v>
      </c>
      <c r="N30" s="433">
        <v>4.4749999999999996</v>
      </c>
      <c r="O30" s="433">
        <v>4.4749999999999996</v>
      </c>
      <c r="P30" s="497"/>
      <c r="Q30" s="504" t="s">
        <v>1935</v>
      </c>
    </row>
    <row r="31" spans="1:17" ht="45">
      <c r="A31" s="475">
        <v>46051</v>
      </c>
      <c r="B31" s="477" t="s">
        <v>2075</v>
      </c>
      <c r="C31" s="488" t="s">
        <v>2080</v>
      </c>
      <c r="D31" s="433" t="s">
        <v>2081</v>
      </c>
      <c r="E31" s="434">
        <v>46073</v>
      </c>
      <c r="F31" s="433" t="s">
        <v>1931</v>
      </c>
      <c r="G31" s="433" t="s">
        <v>194</v>
      </c>
      <c r="H31" s="433" t="s">
        <v>2175</v>
      </c>
      <c r="I31" s="433"/>
      <c r="J31" s="498">
        <v>381.44</v>
      </c>
      <c r="K31" s="433">
        <v>0</v>
      </c>
      <c r="L31" s="499">
        <v>19.899999999999999</v>
      </c>
      <c r="M31" s="500">
        <v>23.2</v>
      </c>
      <c r="N31" s="433">
        <v>21.549999999999997</v>
      </c>
      <c r="O31" s="433">
        <v>21.549999999999997</v>
      </c>
      <c r="P31" s="497"/>
      <c r="Q31" s="504" t="s">
        <v>1935</v>
      </c>
    </row>
    <row r="32" spans="1:17" ht="45">
      <c r="A32" s="475">
        <v>46051</v>
      </c>
      <c r="B32" s="477" t="s">
        <v>2074</v>
      </c>
      <c r="C32" s="488" t="s">
        <v>2082</v>
      </c>
      <c r="D32" s="433" t="s">
        <v>2081</v>
      </c>
      <c r="E32" s="434">
        <v>46073</v>
      </c>
      <c r="F32" s="433" t="s">
        <v>1931</v>
      </c>
      <c r="G32" s="433" t="s">
        <v>194</v>
      </c>
      <c r="H32" s="433" t="s">
        <v>2176</v>
      </c>
      <c r="I32" s="433"/>
      <c r="J32" s="498">
        <v>381.44</v>
      </c>
      <c r="K32" s="433">
        <v>0</v>
      </c>
      <c r="L32" s="499">
        <v>35.4</v>
      </c>
      <c r="M32" s="500">
        <v>38.6</v>
      </c>
      <c r="N32" s="433">
        <v>37</v>
      </c>
      <c r="O32" s="433">
        <v>37</v>
      </c>
      <c r="P32" s="497"/>
      <c r="Q32" s="504" t="s">
        <v>1935</v>
      </c>
    </row>
    <row r="33" spans="1:17" ht="45">
      <c r="A33" s="475">
        <v>46051</v>
      </c>
      <c r="B33" s="477" t="s">
        <v>2078</v>
      </c>
      <c r="C33" s="488" t="s">
        <v>2083</v>
      </c>
      <c r="D33" s="433" t="s">
        <v>2084</v>
      </c>
      <c r="E33" s="434">
        <v>46101</v>
      </c>
      <c r="F33" s="433" t="s">
        <v>1931</v>
      </c>
      <c r="G33" s="433" t="s">
        <v>194</v>
      </c>
      <c r="H33" s="433" t="s">
        <v>2156</v>
      </c>
      <c r="I33" s="433"/>
      <c r="J33" s="498">
        <v>215.86</v>
      </c>
      <c r="K33" s="433">
        <v>5.8600000000000136</v>
      </c>
      <c r="L33" s="499">
        <v>29.6</v>
      </c>
      <c r="M33" s="500">
        <v>31.1</v>
      </c>
      <c r="N33" s="433">
        <v>30.35</v>
      </c>
      <c r="O33" s="433">
        <v>30.35</v>
      </c>
      <c r="P33" s="497"/>
      <c r="Q33" s="504" t="s">
        <v>1935</v>
      </c>
    </row>
    <row r="34" spans="1:17" ht="45">
      <c r="A34" s="475">
        <v>46051</v>
      </c>
      <c r="B34" s="477" t="s">
        <v>2079</v>
      </c>
      <c r="C34" s="488" t="s">
        <v>2085</v>
      </c>
      <c r="D34" s="433" t="s">
        <v>2084</v>
      </c>
      <c r="E34" s="434">
        <v>46101</v>
      </c>
      <c r="F34" s="433" t="s">
        <v>1931</v>
      </c>
      <c r="G34" s="433" t="s">
        <v>194</v>
      </c>
      <c r="H34" s="433" t="s">
        <v>2155</v>
      </c>
      <c r="I34" s="433"/>
      <c r="J34" s="498">
        <v>215.86</v>
      </c>
      <c r="K34" s="433">
        <v>0</v>
      </c>
      <c r="L34" s="499">
        <v>14.2</v>
      </c>
      <c r="M34" s="500">
        <v>16.8</v>
      </c>
      <c r="N34" s="433">
        <v>15.5</v>
      </c>
      <c r="O34" s="433">
        <v>15.5</v>
      </c>
      <c r="P34" s="497"/>
      <c r="Q34" s="504" t="s">
        <v>1935</v>
      </c>
    </row>
    <row r="35" spans="1:17" ht="45">
      <c r="A35" s="475">
        <v>46051</v>
      </c>
      <c r="B35" s="477" t="s">
        <v>2088</v>
      </c>
      <c r="C35" s="488" t="s">
        <v>2090</v>
      </c>
      <c r="D35" s="433" t="s">
        <v>2091</v>
      </c>
      <c r="E35" s="434">
        <v>46101</v>
      </c>
      <c r="F35" s="433" t="s">
        <v>1931</v>
      </c>
      <c r="G35" s="433" t="s">
        <v>194</v>
      </c>
      <c r="H35" s="433" t="s">
        <v>2146</v>
      </c>
      <c r="I35" s="433"/>
      <c r="J35" s="498">
        <v>83.16</v>
      </c>
      <c r="K35" s="433">
        <v>0</v>
      </c>
      <c r="L35" s="499">
        <v>0.28999999999999998</v>
      </c>
      <c r="M35" s="500">
        <v>0.31</v>
      </c>
      <c r="N35" s="433">
        <v>0.3</v>
      </c>
      <c r="O35" s="433">
        <v>0.3</v>
      </c>
      <c r="P35" s="497"/>
      <c r="Q35" s="504" t="s">
        <v>1935</v>
      </c>
    </row>
    <row r="36" spans="1:17" ht="45">
      <c r="A36" s="475">
        <v>46051</v>
      </c>
      <c r="B36" s="477" t="s">
        <v>2089</v>
      </c>
      <c r="C36" s="488" t="s">
        <v>2092</v>
      </c>
      <c r="D36" s="433" t="s">
        <v>2091</v>
      </c>
      <c r="E36" s="434">
        <v>46101</v>
      </c>
      <c r="F36" s="433" t="s">
        <v>1926</v>
      </c>
      <c r="G36" s="433" t="s">
        <v>194</v>
      </c>
      <c r="H36" s="433" t="s">
        <v>2177</v>
      </c>
      <c r="I36" s="433"/>
      <c r="J36" s="498">
        <v>83.16</v>
      </c>
      <c r="K36" s="433">
        <v>0</v>
      </c>
      <c r="L36" s="499">
        <v>3.6</v>
      </c>
      <c r="M36" s="500">
        <v>3.75</v>
      </c>
      <c r="N36" s="433">
        <v>3.6749999999999998</v>
      </c>
      <c r="O36" s="433">
        <v>3.6749999999999998</v>
      </c>
      <c r="P36" s="497"/>
      <c r="Q36" s="504" t="s">
        <v>1935</v>
      </c>
    </row>
    <row r="37" spans="1:17" ht="45">
      <c r="A37" s="475">
        <v>46051</v>
      </c>
      <c r="B37" s="477" t="s">
        <v>2087</v>
      </c>
      <c r="C37" s="488" t="s">
        <v>2093</v>
      </c>
      <c r="D37" s="433" t="s">
        <v>2091</v>
      </c>
      <c r="E37" s="434">
        <v>46101</v>
      </c>
      <c r="F37" s="433" t="s">
        <v>1926</v>
      </c>
      <c r="G37" s="433" t="s">
        <v>194</v>
      </c>
      <c r="H37" s="433" t="s">
        <v>2178</v>
      </c>
      <c r="I37" s="433"/>
      <c r="J37" s="498">
        <v>83.16</v>
      </c>
      <c r="K37" s="433">
        <v>8.8400000000000034</v>
      </c>
      <c r="L37" s="499">
        <v>9.5500000000000007</v>
      </c>
      <c r="M37" s="500">
        <v>9.9499999999999993</v>
      </c>
      <c r="N37" s="433">
        <v>9.75</v>
      </c>
      <c r="O37" s="433">
        <v>9.75</v>
      </c>
      <c r="P37" s="497"/>
      <c r="Q37" s="504" t="s">
        <v>1935</v>
      </c>
    </row>
    <row r="38" spans="1:17" ht="45">
      <c r="A38" s="475">
        <v>46051</v>
      </c>
      <c r="B38" s="477" t="s">
        <v>2095</v>
      </c>
      <c r="C38" s="488" t="s">
        <v>2098</v>
      </c>
      <c r="D38" s="433" t="s">
        <v>2061</v>
      </c>
      <c r="E38" s="434">
        <v>46101</v>
      </c>
      <c r="F38" s="433" t="s">
        <v>1926</v>
      </c>
      <c r="G38" s="433" t="s">
        <v>194</v>
      </c>
      <c r="H38" s="433" t="s">
        <v>2179</v>
      </c>
      <c r="I38" s="433"/>
      <c r="J38" s="498">
        <v>81.34</v>
      </c>
      <c r="K38" s="433">
        <v>0</v>
      </c>
      <c r="L38" s="499">
        <v>4.0999999999999996</v>
      </c>
      <c r="M38" s="500">
        <v>4.3</v>
      </c>
      <c r="N38" s="433">
        <v>4.1999999999999993</v>
      </c>
      <c r="O38" s="433">
        <v>4.1999999999999993</v>
      </c>
      <c r="P38" s="497"/>
      <c r="Q38" s="504" t="s">
        <v>1935</v>
      </c>
    </row>
    <row r="39" spans="1:17" ht="45">
      <c r="A39" s="475">
        <v>46051</v>
      </c>
      <c r="B39" s="477" t="s">
        <v>2094</v>
      </c>
      <c r="C39" s="488" t="s">
        <v>2099</v>
      </c>
      <c r="D39" s="433" t="s">
        <v>2061</v>
      </c>
      <c r="E39" s="434">
        <v>46101</v>
      </c>
      <c r="F39" s="433" t="s">
        <v>1926</v>
      </c>
      <c r="G39" s="433" t="s">
        <v>194</v>
      </c>
      <c r="H39" s="433" t="s">
        <v>2180</v>
      </c>
      <c r="I39" s="433"/>
      <c r="J39" s="498">
        <v>81.34</v>
      </c>
      <c r="K39" s="433">
        <v>3.6599999999999966</v>
      </c>
      <c r="L39" s="499">
        <v>9.1</v>
      </c>
      <c r="M39" s="500">
        <v>9.35</v>
      </c>
      <c r="N39" s="433">
        <v>9.2249999999999996</v>
      </c>
      <c r="O39" s="433">
        <v>9.2249999999999996</v>
      </c>
      <c r="P39" s="497"/>
      <c r="Q39" s="504" t="s">
        <v>1935</v>
      </c>
    </row>
    <row r="40" spans="1:17" ht="45">
      <c r="A40" s="475">
        <v>46051</v>
      </c>
      <c r="B40" s="477" t="s">
        <v>2102</v>
      </c>
      <c r="C40" s="488" t="s">
        <v>2108</v>
      </c>
      <c r="D40" s="433" t="s">
        <v>2109</v>
      </c>
      <c r="E40" s="434">
        <v>46191</v>
      </c>
      <c r="F40" s="433" t="s">
        <v>1931</v>
      </c>
      <c r="G40" s="433" t="s">
        <v>194</v>
      </c>
      <c r="H40" s="433" t="s">
        <v>2181</v>
      </c>
      <c r="I40" s="433"/>
      <c r="J40" s="498">
        <v>330.73</v>
      </c>
      <c r="K40" s="433">
        <v>0</v>
      </c>
      <c r="L40" s="499">
        <v>34.950000000000003</v>
      </c>
      <c r="M40" s="500">
        <v>35.299999999999997</v>
      </c>
      <c r="N40" s="433">
        <v>35.125</v>
      </c>
      <c r="O40" s="433">
        <v>35.125</v>
      </c>
      <c r="P40" s="497"/>
      <c r="Q40" s="504" t="s">
        <v>1935</v>
      </c>
    </row>
    <row r="41" spans="1:17" ht="45">
      <c r="A41" s="475">
        <v>46051</v>
      </c>
      <c r="B41" s="477" t="s">
        <v>2104</v>
      </c>
      <c r="C41" s="488" t="s">
        <v>2110</v>
      </c>
      <c r="D41" s="433" t="s">
        <v>2109</v>
      </c>
      <c r="E41" s="434">
        <v>46191</v>
      </c>
      <c r="F41" s="433" t="s">
        <v>1931</v>
      </c>
      <c r="G41" s="433" t="s">
        <v>194</v>
      </c>
      <c r="H41" s="433" t="s">
        <v>2182</v>
      </c>
      <c r="I41" s="433"/>
      <c r="J41" s="498">
        <v>330.73</v>
      </c>
      <c r="K41" s="433">
        <v>0</v>
      </c>
      <c r="L41" s="499">
        <v>17.100000000000001</v>
      </c>
      <c r="M41" s="500">
        <v>18.350000000000001</v>
      </c>
      <c r="N41" s="433">
        <v>17.725000000000001</v>
      </c>
      <c r="O41" s="433">
        <v>17.725000000000001</v>
      </c>
      <c r="P41" s="497"/>
      <c r="Q41" s="504" t="s">
        <v>1935</v>
      </c>
    </row>
    <row r="42" spans="1:17" ht="45">
      <c r="A42" s="475">
        <v>46051</v>
      </c>
      <c r="B42" s="477" t="s">
        <v>2103</v>
      </c>
      <c r="C42" s="488" t="s">
        <v>2111</v>
      </c>
      <c r="D42" s="433" t="s">
        <v>2109</v>
      </c>
      <c r="E42" s="434">
        <v>46191</v>
      </c>
      <c r="F42" s="433" t="s">
        <v>1926</v>
      </c>
      <c r="G42" s="433" t="s">
        <v>194</v>
      </c>
      <c r="H42" s="433" t="s">
        <v>2183</v>
      </c>
      <c r="I42" s="433"/>
      <c r="J42" s="498">
        <v>330.73</v>
      </c>
      <c r="K42" s="433">
        <v>0</v>
      </c>
      <c r="L42" s="499">
        <v>15.05</v>
      </c>
      <c r="M42" s="500">
        <v>15.45</v>
      </c>
      <c r="N42" s="433">
        <v>15.25</v>
      </c>
      <c r="O42" s="433">
        <v>15.25</v>
      </c>
      <c r="P42" s="497"/>
      <c r="Q42" s="504" t="s">
        <v>1935</v>
      </c>
    </row>
    <row r="43" spans="1:17" ht="45">
      <c r="A43" s="475">
        <v>46051</v>
      </c>
      <c r="B43" s="477" t="s">
        <v>2101</v>
      </c>
      <c r="C43" s="488" t="s">
        <v>2112</v>
      </c>
      <c r="D43" s="433" t="s">
        <v>2109</v>
      </c>
      <c r="E43" s="434">
        <v>46191</v>
      </c>
      <c r="F43" s="433" t="s">
        <v>1926</v>
      </c>
      <c r="G43" s="433" t="s">
        <v>194</v>
      </c>
      <c r="H43" s="433" t="s">
        <v>2153</v>
      </c>
      <c r="I43" s="433"/>
      <c r="J43" s="498">
        <v>330.73</v>
      </c>
      <c r="K43" s="433">
        <v>0</v>
      </c>
      <c r="L43" s="499">
        <v>25</v>
      </c>
      <c r="M43" s="500">
        <v>25.35</v>
      </c>
      <c r="N43" s="433">
        <v>25.175000000000001</v>
      </c>
      <c r="O43" s="433">
        <v>25.175000000000001</v>
      </c>
      <c r="P43" s="497"/>
      <c r="Q43" s="504" t="s">
        <v>1935</v>
      </c>
    </row>
    <row r="44" spans="1:17" ht="45">
      <c r="A44" s="475">
        <v>46051</v>
      </c>
      <c r="B44" s="477" t="s">
        <v>2105</v>
      </c>
      <c r="C44" s="488" t="s">
        <v>2113</v>
      </c>
      <c r="D44" s="433" t="s">
        <v>2071</v>
      </c>
      <c r="E44" s="434">
        <v>46129</v>
      </c>
      <c r="F44" s="433" t="s">
        <v>1926</v>
      </c>
      <c r="G44" s="433" t="s">
        <v>194</v>
      </c>
      <c r="H44" s="433" t="s">
        <v>2184</v>
      </c>
      <c r="I44" s="433"/>
      <c r="J44" s="498">
        <v>738.31</v>
      </c>
      <c r="K44" s="433">
        <v>0</v>
      </c>
      <c r="L44" s="499">
        <v>5.2</v>
      </c>
      <c r="M44" s="500">
        <v>5.4</v>
      </c>
      <c r="N44" s="433">
        <v>5.3000000000000007</v>
      </c>
      <c r="O44" s="433">
        <v>5.3000000000000007</v>
      </c>
      <c r="P44" s="497"/>
      <c r="Q44" s="504" t="s">
        <v>1935</v>
      </c>
    </row>
    <row r="45" spans="1:17" ht="45">
      <c r="A45" s="475">
        <v>46051</v>
      </c>
      <c r="B45" s="477" t="s">
        <v>2097</v>
      </c>
      <c r="C45" s="488" t="s">
        <v>2114</v>
      </c>
      <c r="D45" s="433" t="s">
        <v>1938</v>
      </c>
      <c r="E45" s="434">
        <v>46101</v>
      </c>
      <c r="F45" s="433" t="s">
        <v>1931</v>
      </c>
      <c r="G45" s="433" t="s">
        <v>194</v>
      </c>
      <c r="H45" s="433" t="s">
        <v>2165</v>
      </c>
      <c r="I45" s="433"/>
      <c r="J45" s="498">
        <v>339.55</v>
      </c>
      <c r="K45" s="433">
        <v>9.5500000000000114</v>
      </c>
      <c r="L45" s="499">
        <v>23.6</v>
      </c>
      <c r="M45" s="500">
        <v>24.75</v>
      </c>
      <c r="N45" s="433">
        <v>24.175000000000001</v>
      </c>
      <c r="O45" s="433">
        <v>24.175000000000001</v>
      </c>
      <c r="P45" s="497"/>
      <c r="Q45" s="504" t="s">
        <v>1935</v>
      </c>
    </row>
    <row r="46" spans="1:17" ht="45">
      <c r="A46" s="475">
        <v>46051</v>
      </c>
      <c r="B46" s="477" t="s">
        <v>2096</v>
      </c>
      <c r="C46" s="488" t="s">
        <v>2115</v>
      </c>
      <c r="D46" s="433" t="s">
        <v>1938</v>
      </c>
      <c r="E46" s="434">
        <v>46101</v>
      </c>
      <c r="F46" s="433" t="s">
        <v>1931</v>
      </c>
      <c r="G46" s="433" t="s">
        <v>194</v>
      </c>
      <c r="H46" s="433" t="s">
        <v>2153</v>
      </c>
      <c r="I46" s="433"/>
      <c r="J46" s="498">
        <v>339.55</v>
      </c>
      <c r="K46" s="433">
        <v>39.550000000000011</v>
      </c>
      <c r="L46" s="499">
        <v>43.9</v>
      </c>
      <c r="M46" s="500">
        <v>46.9</v>
      </c>
      <c r="N46" s="433">
        <v>45.4</v>
      </c>
      <c r="O46" s="433">
        <v>45.4</v>
      </c>
      <c r="P46" s="497"/>
      <c r="Q46" s="504" t="s">
        <v>1935</v>
      </c>
    </row>
    <row r="47" spans="1:17" ht="45">
      <c r="A47" s="475">
        <v>46051</v>
      </c>
      <c r="B47" s="477" t="s">
        <v>2106</v>
      </c>
      <c r="C47" s="488" t="s">
        <v>2116</v>
      </c>
      <c r="D47" s="433" t="s">
        <v>2071</v>
      </c>
      <c r="E47" s="434">
        <v>46129</v>
      </c>
      <c r="F47" s="433" t="s">
        <v>1926</v>
      </c>
      <c r="G47" s="433" t="s">
        <v>194</v>
      </c>
      <c r="H47" s="433" t="s">
        <v>2185</v>
      </c>
      <c r="I47" s="433"/>
      <c r="J47" s="498">
        <v>738.31</v>
      </c>
      <c r="K47" s="433">
        <v>0</v>
      </c>
      <c r="L47" s="499">
        <v>3.15</v>
      </c>
      <c r="M47" s="500">
        <v>3.3</v>
      </c>
      <c r="N47" s="433">
        <v>3.2249999999999996</v>
      </c>
      <c r="O47" s="433">
        <v>3.2249999999999996</v>
      </c>
      <c r="P47" s="497"/>
      <c r="Q47" s="504" t="s">
        <v>1935</v>
      </c>
    </row>
    <row r="48" spans="1:17">
      <c r="A48" s="475">
        <v>46051</v>
      </c>
      <c r="B48" s="501" t="s">
        <v>2225</v>
      </c>
      <c r="C48" s="488" t="s">
        <v>2229</v>
      </c>
      <c r="D48" s="433" t="s">
        <v>1938</v>
      </c>
      <c r="E48" s="434">
        <v>46191</v>
      </c>
      <c r="F48" s="433" t="s">
        <v>1931</v>
      </c>
      <c r="G48" s="433" t="s">
        <v>194</v>
      </c>
      <c r="H48" s="433" t="s">
        <v>2230</v>
      </c>
      <c r="I48" s="433"/>
      <c r="J48" s="498">
        <v>339.55</v>
      </c>
      <c r="K48" s="433">
        <v>0</v>
      </c>
      <c r="L48" s="499">
        <v>32.950000000000003</v>
      </c>
      <c r="M48" s="500">
        <v>35</v>
      </c>
      <c r="N48" s="433">
        <v>33.975000000000001</v>
      </c>
      <c r="O48" s="433">
        <v>33.975000000000001</v>
      </c>
      <c r="P48" s="497"/>
      <c r="Q48" s="504" t="s">
        <v>1935</v>
      </c>
    </row>
    <row r="49" spans="1:17">
      <c r="A49" s="475">
        <v>46051</v>
      </c>
      <c r="B49" s="501" t="s">
        <v>2226</v>
      </c>
      <c r="C49" s="488" t="s">
        <v>2231</v>
      </c>
      <c r="D49" s="433" t="s">
        <v>1938</v>
      </c>
      <c r="E49" s="434">
        <v>46191</v>
      </c>
      <c r="F49" s="433" t="s">
        <v>1931</v>
      </c>
      <c r="G49" s="433" t="s">
        <v>194</v>
      </c>
      <c r="H49" s="433" t="s">
        <v>2232</v>
      </c>
      <c r="I49" s="433"/>
      <c r="J49" s="498">
        <v>339.55</v>
      </c>
      <c r="K49" s="433">
        <v>0</v>
      </c>
      <c r="L49" s="499">
        <v>18.2</v>
      </c>
      <c r="M49" s="500">
        <v>20.05</v>
      </c>
      <c r="N49" s="433">
        <v>19.125</v>
      </c>
      <c r="O49" s="433">
        <v>19.125</v>
      </c>
      <c r="P49" s="497"/>
      <c r="Q49" s="504" t="s">
        <v>1935</v>
      </c>
    </row>
    <row r="50" spans="1:17">
      <c r="A50" s="475">
        <v>46051</v>
      </c>
      <c r="B50" s="501" t="s">
        <v>2224</v>
      </c>
      <c r="C50" s="488" t="s">
        <v>2233</v>
      </c>
      <c r="D50" s="433" t="s">
        <v>2234</v>
      </c>
      <c r="E50" s="434">
        <v>46073</v>
      </c>
      <c r="F50" s="433" t="s">
        <v>1931</v>
      </c>
      <c r="G50" s="433" t="s">
        <v>194</v>
      </c>
      <c r="H50" s="433" t="s">
        <v>2235</v>
      </c>
      <c r="I50" s="433"/>
      <c r="J50" s="493">
        <v>33.96</v>
      </c>
      <c r="K50" s="433">
        <v>0</v>
      </c>
      <c r="L50" s="494">
        <v>0.27174779696577916</v>
      </c>
      <c r="M50" s="495">
        <v>0.27174779696577916</v>
      </c>
      <c r="N50" s="433">
        <v>0.27174779696577916</v>
      </c>
      <c r="O50" s="433">
        <v>0.27418999883347839</v>
      </c>
      <c r="P50" s="497">
        <v>19.227045881587092</v>
      </c>
      <c r="Q50" s="504" t="s">
        <v>1928</v>
      </c>
    </row>
    <row r="51" spans="1:17">
      <c r="A51" s="475">
        <v>46051</v>
      </c>
      <c r="B51" s="501" t="s">
        <v>2260</v>
      </c>
      <c r="C51" s="488" t="s">
        <v>2262</v>
      </c>
      <c r="D51" s="433" t="s">
        <v>2263</v>
      </c>
      <c r="E51" s="434">
        <v>46283</v>
      </c>
      <c r="F51" s="433" t="s">
        <v>1931</v>
      </c>
      <c r="G51" s="433" t="s">
        <v>194</v>
      </c>
      <c r="H51" s="433" t="s">
        <v>2264</v>
      </c>
      <c r="I51" s="433"/>
      <c r="J51" s="498">
        <v>107.98</v>
      </c>
      <c r="K51" s="433">
        <v>0</v>
      </c>
      <c r="L51" s="499">
        <v>14.45</v>
      </c>
      <c r="M51" s="500">
        <v>15.6</v>
      </c>
      <c r="N51" s="433">
        <v>15.024999999999999</v>
      </c>
      <c r="O51" s="433">
        <v>15.024999999999999</v>
      </c>
      <c r="P51" s="497"/>
      <c r="Q51" s="504" t="s">
        <v>1935</v>
      </c>
    </row>
    <row r="52" spans="1:17">
      <c r="A52" s="475">
        <v>46051</v>
      </c>
      <c r="B52" s="501" t="s">
        <v>2259</v>
      </c>
      <c r="C52" s="488" t="s">
        <v>2265</v>
      </c>
      <c r="D52" s="433" t="s">
        <v>2263</v>
      </c>
      <c r="E52" s="434">
        <v>46283</v>
      </c>
      <c r="F52" s="433" t="s">
        <v>1931</v>
      </c>
      <c r="G52" s="433" t="s">
        <v>194</v>
      </c>
      <c r="H52" s="433" t="s">
        <v>2266</v>
      </c>
      <c r="I52" s="433"/>
      <c r="J52" s="498">
        <v>107.98</v>
      </c>
      <c r="K52" s="433">
        <v>2.980000000000004</v>
      </c>
      <c r="L52" s="499">
        <v>17.45</v>
      </c>
      <c r="M52" s="500">
        <v>19.600000000000001</v>
      </c>
      <c r="N52" s="433">
        <v>18.524999999999999</v>
      </c>
      <c r="O52" s="433">
        <v>18.524999999999999</v>
      </c>
      <c r="P52" s="497"/>
      <c r="Q52" s="504" t="s">
        <v>1935</v>
      </c>
    </row>
    <row r="53" spans="1:17">
      <c r="A53" s="475">
        <v>46051</v>
      </c>
      <c r="B53" s="501" t="s">
        <v>2270</v>
      </c>
      <c r="C53" s="488" t="s">
        <v>2276</v>
      </c>
      <c r="D53" s="433" t="s">
        <v>2277</v>
      </c>
      <c r="E53" s="434">
        <v>46073</v>
      </c>
      <c r="F53" s="433" t="s">
        <v>1931</v>
      </c>
      <c r="G53" s="433" t="s">
        <v>194</v>
      </c>
      <c r="H53" s="433" t="s">
        <v>2278</v>
      </c>
      <c r="I53" s="433"/>
      <c r="J53" s="498">
        <v>539.29999999999995</v>
      </c>
      <c r="K53" s="433">
        <v>39.299999999999955</v>
      </c>
      <c r="L53" s="499">
        <v>78.3</v>
      </c>
      <c r="M53" s="500">
        <v>82.2</v>
      </c>
      <c r="N53" s="433">
        <v>80.25</v>
      </c>
      <c r="O53" s="433">
        <v>80.25</v>
      </c>
      <c r="P53" s="497"/>
      <c r="Q53" s="504" t="s">
        <v>1935</v>
      </c>
    </row>
    <row r="54" spans="1:17">
      <c r="A54" s="475">
        <v>46051</v>
      </c>
      <c r="B54" s="501" t="s">
        <v>2279</v>
      </c>
      <c r="C54" s="488" t="s">
        <v>2280</v>
      </c>
      <c r="D54" s="433" t="s">
        <v>1936</v>
      </c>
      <c r="E54" s="434">
        <v>46073</v>
      </c>
      <c r="F54" s="433" t="s">
        <v>1931</v>
      </c>
      <c r="G54" s="433" t="s">
        <v>194</v>
      </c>
      <c r="H54" s="433" t="s">
        <v>2235</v>
      </c>
      <c r="I54" s="433"/>
      <c r="J54" s="498">
        <v>38.119999999999997</v>
      </c>
      <c r="K54" s="433">
        <v>3.1199999999999974</v>
      </c>
      <c r="L54" s="499">
        <v>3.3</v>
      </c>
      <c r="M54" s="500">
        <v>3.75</v>
      </c>
      <c r="N54" s="433">
        <v>3.5249999999999999</v>
      </c>
      <c r="O54" s="433">
        <v>3.5249999999999999</v>
      </c>
      <c r="P54" s="497"/>
      <c r="Q54" s="504" t="s">
        <v>1935</v>
      </c>
    </row>
    <row r="55" spans="1:17">
      <c r="A55" s="475">
        <v>46051</v>
      </c>
      <c r="B55" t="s">
        <v>2271</v>
      </c>
      <c r="C55" s="488" t="s">
        <v>2281</v>
      </c>
      <c r="D55" s="433" t="s">
        <v>2061</v>
      </c>
      <c r="E55" s="434">
        <v>46101</v>
      </c>
      <c r="F55" s="433" t="s">
        <v>1926</v>
      </c>
      <c r="G55" s="433" t="s">
        <v>194</v>
      </c>
      <c r="H55" s="433" t="s">
        <v>2282</v>
      </c>
      <c r="I55" s="433"/>
      <c r="J55" s="498">
        <v>81.34</v>
      </c>
      <c r="K55" s="433">
        <v>0</v>
      </c>
      <c r="L55" s="499">
        <v>2.5499999999999998</v>
      </c>
      <c r="M55" s="500">
        <v>2.74</v>
      </c>
      <c r="N55" s="433">
        <v>2.645</v>
      </c>
      <c r="O55" s="433">
        <v>2.645</v>
      </c>
      <c r="P55" s="497"/>
      <c r="Q55" s="504" t="s">
        <v>1935</v>
      </c>
    </row>
    <row r="56" spans="1:17">
      <c r="A56" s="475">
        <v>46051</v>
      </c>
      <c r="B56" t="s">
        <v>2284</v>
      </c>
      <c r="C56" s="488" t="s">
        <v>2296</v>
      </c>
      <c r="D56" s="433" t="s">
        <v>2277</v>
      </c>
      <c r="E56" s="434">
        <v>46073</v>
      </c>
      <c r="F56" s="433" t="s">
        <v>1931</v>
      </c>
      <c r="G56" s="433" t="s">
        <v>194</v>
      </c>
      <c r="H56" s="433" t="s">
        <v>2160</v>
      </c>
      <c r="I56" s="433"/>
      <c r="J56" s="498">
        <v>539.29999999999995</v>
      </c>
      <c r="K56" s="433">
        <v>0</v>
      </c>
      <c r="L56" s="499">
        <v>53.2</v>
      </c>
      <c r="M56" s="500">
        <v>56.4</v>
      </c>
      <c r="N56" s="433">
        <v>54.8</v>
      </c>
      <c r="O56" s="433">
        <v>54.8</v>
      </c>
      <c r="P56" s="497"/>
      <c r="Q56" s="504" t="s">
        <v>1935</v>
      </c>
    </row>
    <row r="57" spans="1:17">
      <c r="A57" s="475">
        <v>46051</v>
      </c>
      <c r="B57" t="s">
        <v>2288</v>
      </c>
      <c r="C57" s="488" t="s">
        <v>2297</v>
      </c>
      <c r="D57" s="433" t="s">
        <v>2071</v>
      </c>
      <c r="E57" s="434">
        <v>46220</v>
      </c>
      <c r="F57" s="433" t="s">
        <v>1931</v>
      </c>
      <c r="G57" s="433" t="s">
        <v>194</v>
      </c>
      <c r="H57" s="433" t="s">
        <v>2298</v>
      </c>
      <c r="I57" s="433"/>
      <c r="J57" s="498">
        <v>738.31</v>
      </c>
      <c r="K57" s="433">
        <v>68.309999999999945</v>
      </c>
      <c r="L57" s="499">
        <v>113</v>
      </c>
      <c r="M57" s="500">
        <v>115.9</v>
      </c>
      <c r="N57" s="433">
        <v>114.45</v>
      </c>
      <c r="O57" s="433">
        <v>114.45</v>
      </c>
      <c r="P57" s="497"/>
      <c r="Q57" s="504" t="s">
        <v>1935</v>
      </c>
    </row>
    <row r="58" spans="1:17">
      <c r="A58" s="475">
        <v>46051</v>
      </c>
      <c r="B58" t="s">
        <v>2287</v>
      </c>
      <c r="C58" s="488" t="s">
        <v>2299</v>
      </c>
      <c r="D58" s="433" t="s">
        <v>2033</v>
      </c>
      <c r="E58" s="434">
        <v>46220</v>
      </c>
      <c r="F58" s="433" t="s">
        <v>1931</v>
      </c>
      <c r="G58" s="433" t="s">
        <v>194</v>
      </c>
      <c r="H58" s="433" t="s">
        <v>2300</v>
      </c>
      <c r="I58" s="433"/>
      <c r="J58" s="498">
        <v>241.73</v>
      </c>
      <c r="K58" s="433">
        <v>0</v>
      </c>
      <c r="L58" s="499">
        <v>23.35</v>
      </c>
      <c r="M58" s="500">
        <v>23.6</v>
      </c>
      <c r="N58" s="433">
        <v>23.475000000000001</v>
      </c>
      <c r="O58" s="433">
        <v>23.475000000000001</v>
      </c>
      <c r="P58" s="497"/>
      <c r="Q58" s="504" t="s">
        <v>1935</v>
      </c>
    </row>
    <row r="59" spans="1:17">
      <c r="A59" s="475">
        <v>46051</v>
      </c>
      <c r="B59" s="497" t="s">
        <v>2301</v>
      </c>
      <c r="C59" s="488" t="s">
        <v>2302</v>
      </c>
      <c r="D59" s="433" t="s">
        <v>2303</v>
      </c>
      <c r="E59" s="434">
        <v>46366</v>
      </c>
      <c r="F59" s="433" t="s">
        <v>1931</v>
      </c>
      <c r="G59" s="433" t="s">
        <v>2107</v>
      </c>
      <c r="H59" s="433" t="s">
        <v>2304</v>
      </c>
      <c r="I59" s="433"/>
      <c r="J59" s="493">
        <v>765.59</v>
      </c>
      <c r="K59" s="433">
        <v>0</v>
      </c>
      <c r="L59" s="493">
        <v>21.627674220689819</v>
      </c>
      <c r="M59" s="493">
        <v>21.627674220689819</v>
      </c>
      <c r="N59" s="493">
        <v>21.627674220689819</v>
      </c>
      <c r="O59" s="493">
        <v>21.66869474916674</v>
      </c>
      <c r="P59" s="433">
        <v>29.054717099017243</v>
      </c>
      <c r="Q59" s="504" t="s">
        <v>1928</v>
      </c>
    </row>
    <row r="60" spans="1:17">
      <c r="A60" s="475">
        <v>46051</v>
      </c>
      <c r="B60" t="s">
        <v>2285</v>
      </c>
      <c r="C60" s="488" t="s">
        <v>2305</v>
      </c>
      <c r="D60" s="433" t="s">
        <v>2081</v>
      </c>
      <c r="E60" s="434">
        <v>46101</v>
      </c>
      <c r="F60" s="433" t="s">
        <v>1931</v>
      </c>
      <c r="G60" s="433" t="s">
        <v>194</v>
      </c>
      <c r="H60" s="433" t="s">
        <v>2306</v>
      </c>
      <c r="I60" s="433"/>
      <c r="J60" s="498">
        <v>381.44</v>
      </c>
      <c r="K60" s="433">
        <v>0</v>
      </c>
      <c r="L60" s="499">
        <v>44.2</v>
      </c>
      <c r="M60" s="500">
        <v>47.5</v>
      </c>
      <c r="N60" s="433">
        <v>45.85</v>
      </c>
      <c r="O60" s="433">
        <v>45.85</v>
      </c>
      <c r="P60" s="497"/>
      <c r="Q60" s="504" t="s">
        <v>1935</v>
      </c>
    </row>
    <row r="61" spans="1:17">
      <c r="A61" s="475">
        <v>46051</v>
      </c>
      <c r="B61" t="s">
        <v>2290</v>
      </c>
      <c r="C61" s="488" t="s">
        <v>2307</v>
      </c>
      <c r="D61" s="433" t="s">
        <v>1937</v>
      </c>
      <c r="E61" s="434">
        <v>46220</v>
      </c>
      <c r="F61" s="433" t="s">
        <v>1931</v>
      </c>
      <c r="G61" s="433" t="s">
        <v>194</v>
      </c>
      <c r="H61" s="433" t="s">
        <v>2168</v>
      </c>
      <c r="I61" s="433"/>
      <c r="J61" s="498">
        <v>433.5</v>
      </c>
      <c r="K61" s="433">
        <v>0</v>
      </c>
      <c r="L61" s="499">
        <v>22.85</v>
      </c>
      <c r="M61" s="500">
        <v>23.15</v>
      </c>
      <c r="N61" s="433">
        <v>23</v>
      </c>
      <c r="O61" s="433">
        <v>23</v>
      </c>
      <c r="P61" s="497"/>
      <c r="Q61" s="504" t="s">
        <v>1935</v>
      </c>
    </row>
    <row r="62" spans="1:17">
      <c r="A62" s="475">
        <v>46051</v>
      </c>
      <c r="B62" t="s">
        <v>2294</v>
      </c>
      <c r="C62" s="488" t="s">
        <v>2308</v>
      </c>
      <c r="D62" s="433" t="s">
        <v>1951</v>
      </c>
      <c r="E62" s="434">
        <v>46059</v>
      </c>
      <c r="F62" s="433" t="s">
        <v>1931</v>
      </c>
      <c r="G62" s="433" t="s">
        <v>194</v>
      </c>
      <c r="H62" s="433" t="s">
        <v>2309</v>
      </c>
      <c r="I62" s="433"/>
      <c r="J62" s="498">
        <v>629.42999999999995</v>
      </c>
      <c r="K62" s="433">
        <v>0</v>
      </c>
      <c r="L62" s="499">
        <v>6.92</v>
      </c>
      <c r="M62" s="500">
        <v>6.98</v>
      </c>
      <c r="N62" s="433">
        <v>6.95</v>
      </c>
      <c r="O62" s="433">
        <v>6.95</v>
      </c>
      <c r="P62" s="497"/>
      <c r="Q62" s="504" t="s">
        <v>1935</v>
      </c>
    </row>
    <row r="63" spans="1:17">
      <c r="A63" s="475">
        <v>46051</v>
      </c>
      <c r="B63" s="487" t="s">
        <v>2330</v>
      </c>
      <c r="C63" s="488" t="s">
        <v>2331</v>
      </c>
      <c r="D63" s="433" t="s">
        <v>1936</v>
      </c>
      <c r="E63" s="434">
        <v>46073</v>
      </c>
      <c r="F63" s="433" t="s">
        <v>1931</v>
      </c>
      <c r="G63" s="433" t="s">
        <v>194</v>
      </c>
      <c r="H63" s="433" t="s">
        <v>2332</v>
      </c>
      <c r="I63" s="433"/>
      <c r="J63" s="498">
        <v>38.119999999999997</v>
      </c>
      <c r="K63" s="433">
        <v>1.1199999999999974</v>
      </c>
      <c r="L63" s="499">
        <v>1.74</v>
      </c>
      <c r="M63" s="500">
        <v>1.93</v>
      </c>
      <c r="N63" s="433">
        <v>1.835</v>
      </c>
      <c r="O63" s="433">
        <v>1.835</v>
      </c>
      <c r="P63" s="497"/>
      <c r="Q63" s="504" t="s">
        <v>1935</v>
      </c>
    </row>
    <row r="64" spans="1:17">
      <c r="A64" s="475">
        <v>46051</v>
      </c>
      <c r="B64" s="487" t="s">
        <v>2327</v>
      </c>
      <c r="C64" s="488" t="s">
        <v>2333</v>
      </c>
      <c r="D64" s="433" t="s">
        <v>2334</v>
      </c>
      <c r="E64" s="434">
        <v>46220</v>
      </c>
      <c r="F64" s="433" t="s">
        <v>1931</v>
      </c>
      <c r="G64" s="433" t="s">
        <v>194</v>
      </c>
      <c r="H64" s="433" t="s">
        <v>2335</v>
      </c>
      <c r="I64" s="433"/>
      <c r="J64" s="498">
        <v>48.66</v>
      </c>
      <c r="K64" s="433">
        <v>0</v>
      </c>
      <c r="L64" s="499">
        <v>7.1</v>
      </c>
      <c r="M64" s="500">
        <v>8.1999999999999993</v>
      </c>
      <c r="N64" s="433">
        <v>7.6499999999999995</v>
      </c>
      <c r="O64" s="433">
        <v>7.6499999999999995</v>
      </c>
      <c r="P64" s="497"/>
      <c r="Q64" s="504" t="s">
        <v>1935</v>
      </c>
    </row>
    <row r="65" spans="1:17">
      <c r="A65" s="475">
        <v>46051</v>
      </c>
      <c r="B65" s="487" t="s">
        <v>2328</v>
      </c>
      <c r="C65" s="488" t="s">
        <v>2336</v>
      </c>
      <c r="D65" s="433" t="s">
        <v>2334</v>
      </c>
      <c r="E65" s="434">
        <v>46220</v>
      </c>
      <c r="F65" s="433" t="s">
        <v>1931</v>
      </c>
      <c r="G65" s="433" t="s">
        <v>194</v>
      </c>
      <c r="H65" s="433" t="s">
        <v>2337</v>
      </c>
      <c r="I65" s="433"/>
      <c r="J65" s="498">
        <v>48.66</v>
      </c>
      <c r="K65" s="433">
        <v>0</v>
      </c>
      <c r="L65" s="499">
        <v>4.4000000000000004</v>
      </c>
      <c r="M65" s="500">
        <v>4.8499999999999996</v>
      </c>
      <c r="N65" s="433">
        <v>4.625</v>
      </c>
      <c r="O65" s="433">
        <v>4.625</v>
      </c>
      <c r="P65" s="497"/>
      <c r="Q65" s="504" t="s">
        <v>1935</v>
      </c>
    </row>
    <row r="66" spans="1:17">
      <c r="A66" s="475">
        <v>46051</v>
      </c>
      <c r="B66" s="487" t="s">
        <v>2326</v>
      </c>
      <c r="C66" s="488" t="s">
        <v>2338</v>
      </c>
      <c r="D66" s="433" t="s">
        <v>2334</v>
      </c>
      <c r="E66" s="434">
        <v>46220</v>
      </c>
      <c r="F66" s="433" t="s">
        <v>1926</v>
      </c>
      <c r="G66" s="433" t="s">
        <v>194</v>
      </c>
      <c r="H66" s="433" t="s">
        <v>2339</v>
      </c>
      <c r="I66" s="433"/>
      <c r="J66" s="498">
        <v>48.66</v>
      </c>
      <c r="K66" s="433">
        <v>0</v>
      </c>
      <c r="L66" s="499">
        <v>2.99</v>
      </c>
      <c r="M66" s="500">
        <v>3.3</v>
      </c>
      <c r="N66" s="433">
        <v>3.145</v>
      </c>
      <c r="O66" s="433">
        <v>3.145</v>
      </c>
      <c r="P66" s="497"/>
      <c r="Q66" s="504" t="s">
        <v>1935</v>
      </c>
    </row>
    <row r="67" spans="1:17">
      <c r="A67" s="475">
        <v>46051</v>
      </c>
      <c r="B67" s="487" t="s">
        <v>2329</v>
      </c>
      <c r="C67" s="488" t="s">
        <v>2340</v>
      </c>
      <c r="D67" s="433" t="s">
        <v>1937</v>
      </c>
      <c r="E67" s="434">
        <v>46220</v>
      </c>
      <c r="F67" s="433" t="s">
        <v>1931</v>
      </c>
      <c r="G67" s="433" t="s">
        <v>194</v>
      </c>
      <c r="H67" s="433" t="s">
        <v>2341</v>
      </c>
      <c r="I67" s="433"/>
      <c r="J67" s="498">
        <v>433.5</v>
      </c>
      <c r="K67" s="433">
        <v>0</v>
      </c>
      <c r="L67" s="499">
        <v>19.45</v>
      </c>
      <c r="M67" s="500">
        <v>19.75</v>
      </c>
      <c r="N67" s="433">
        <v>19.600000000000001</v>
      </c>
      <c r="O67" s="433">
        <v>19.600000000000001</v>
      </c>
      <c r="P67" s="497"/>
      <c r="Q67" s="504" t="s">
        <v>1935</v>
      </c>
    </row>
    <row r="68" spans="1:17">
      <c r="A68" s="475">
        <v>46051</v>
      </c>
      <c r="B68" s="501" t="s">
        <v>2357</v>
      </c>
      <c r="C68" s="488" t="s">
        <v>2372</v>
      </c>
      <c r="D68" s="433" t="s">
        <v>1937</v>
      </c>
      <c r="E68" s="434">
        <v>46220</v>
      </c>
      <c r="F68" s="433" t="s">
        <v>1931</v>
      </c>
      <c r="G68" s="433" t="s">
        <v>194</v>
      </c>
      <c r="H68" s="433" t="s">
        <v>2278</v>
      </c>
      <c r="I68" s="433"/>
      <c r="J68" s="498">
        <v>433.5</v>
      </c>
      <c r="K68" s="433">
        <v>0</v>
      </c>
      <c r="L68" s="499">
        <v>12.85</v>
      </c>
      <c r="M68" s="500">
        <v>13.05</v>
      </c>
      <c r="N68" s="433">
        <v>12.95</v>
      </c>
      <c r="O68" s="433">
        <v>12.95</v>
      </c>
      <c r="P68" s="497"/>
      <c r="Q68" s="504" t="s">
        <v>1935</v>
      </c>
    </row>
    <row r="69" spans="1:17">
      <c r="A69" s="475">
        <v>46051</v>
      </c>
      <c r="B69" s="501" t="s">
        <v>2373</v>
      </c>
      <c r="C69" s="488" t="s">
        <v>2374</v>
      </c>
      <c r="D69" s="433" t="s">
        <v>2375</v>
      </c>
      <c r="E69" s="434">
        <v>46129</v>
      </c>
      <c r="F69" s="433" t="s">
        <v>1931</v>
      </c>
      <c r="G69" s="433" t="s">
        <v>194</v>
      </c>
      <c r="H69" s="433" t="s">
        <v>2376</v>
      </c>
      <c r="I69" s="433"/>
      <c r="J69" s="498">
        <v>60.44</v>
      </c>
      <c r="K69" s="433">
        <v>0</v>
      </c>
      <c r="L69" s="499">
        <v>1.98</v>
      </c>
      <c r="M69" s="500">
        <v>2.16</v>
      </c>
      <c r="N69" s="433">
        <v>2.0700000000000003</v>
      </c>
      <c r="O69" s="433">
        <v>2.0700000000000003</v>
      </c>
      <c r="P69" s="497"/>
      <c r="Q69" s="504" t="s">
        <v>1935</v>
      </c>
    </row>
    <row r="70" spans="1:17">
      <c r="A70" s="475">
        <v>46051</v>
      </c>
      <c r="B70" s="501" t="s">
        <v>2377</v>
      </c>
      <c r="C70" s="488" t="s">
        <v>2378</v>
      </c>
      <c r="D70" s="433" t="s">
        <v>2375</v>
      </c>
      <c r="E70" s="434">
        <v>46129</v>
      </c>
      <c r="F70" s="433" t="s">
        <v>1931</v>
      </c>
      <c r="G70" s="433" t="s">
        <v>194</v>
      </c>
      <c r="H70" s="433" t="s">
        <v>2379</v>
      </c>
      <c r="I70" s="433"/>
      <c r="J70" s="498">
        <v>60.44</v>
      </c>
      <c r="K70" s="433">
        <v>0</v>
      </c>
      <c r="L70" s="499">
        <v>0.59</v>
      </c>
      <c r="M70" s="500">
        <v>0.64</v>
      </c>
      <c r="N70" s="433">
        <v>0.61499999999999999</v>
      </c>
      <c r="O70" s="433">
        <v>0.61499999999999999</v>
      </c>
      <c r="P70" s="497"/>
      <c r="Q70" s="504" t="s">
        <v>1935</v>
      </c>
    </row>
    <row r="71" spans="1:17">
      <c r="A71" s="475">
        <v>46051</v>
      </c>
      <c r="B71" t="s">
        <v>2359</v>
      </c>
      <c r="C71" s="488" t="s">
        <v>2380</v>
      </c>
      <c r="D71" s="433" t="s">
        <v>1951</v>
      </c>
      <c r="E71" s="434">
        <v>46051</v>
      </c>
      <c r="F71" s="433" t="s">
        <v>1926</v>
      </c>
      <c r="G71" s="433" t="s">
        <v>194</v>
      </c>
      <c r="H71" s="433" t="s">
        <v>2381</v>
      </c>
      <c r="I71" s="433"/>
      <c r="J71" s="498">
        <v>629.42999999999995</v>
      </c>
      <c r="K71" s="433">
        <v>0</v>
      </c>
      <c r="L71" s="499">
        <v>0.25</v>
      </c>
      <c r="M71" s="500">
        <v>0.27</v>
      </c>
      <c r="N71" s="433">
        <v>0.26</v>
      </c>
      <c r="O71" s="433">
        <v>0</v>
      </c>
      <c r="P71" s="497"/>
      <c r="Q71" s="504" t="s">
        <v>1935</v>
      </c>
    </row>
    <row r="72" spans="1:17">
      <c r="A72" s="475">
        <v>46051</v>
      </c>
      <c r="B72" t="s">
        <v>2382</v>
      </c>
      <c r="C72" s="488" t="s">
        <v>2383</v>
      </c>
      <c r="D72" s="433" t="s">
        <v>2375</v>
      </c>
      <c r="E72" s="434">
        <v>46073</v>
      </c>
      <c r="F72" s="433" t="s">
        <v>1931</v>
      </c>
      <c r="G72" s="433" t="s">
        <v>194</v>
      </c>
      <c r="H72" s="433" t="s">
        <v>2376</v>
      </c>
      <c r="I72" s="433"/>
      <c r="J72" s="498">
        <v>60.44</v>
      </c>
      <c r="K72" s="433">
        <v>0</v>
      </c>
      <c r="L72" s="499">
        <v>0.82</v>
      </c>
      <c r="M72" s="500">
        <v>1</v>
      </c>
      <c r="N72" s="433">
        <v>0.90999999999999992</v>
      </c>
      <c r="O72" s="433">
        <v>0.90999999999999992</v>
      </c>
      <c r="P72" s="497"/>
      <c r="Q72" s="504" t="s">
        <v>1935</v>
      </c>
    </row>
    <row r="73" spans="1:17">
      <c r="A73" s="475">
        <v>46051</v>
      </c>
      <c r="B73" t="s">
        <v>2392</v>
      </c>
      <c r="C73" s="488" t="s">
        <v>2412</v>
      </c>
      <c r="D73" s="433" t="s">
        <v>2413</v>
      </c>
      <c r="E73" s="434">
        <v>46059</v>
      </c>
      <c r="F73" s="433" t="s">
        <v>1931</v>
      </c>
      <c r="G73" s="433" t="s">
        <v>194</v>
      </c>
      <c r="H73" s="433" t="s">
        <v>2414</v>
      </c>
      <c r="I73" s="433"/>
      <c r="J73" s="498">
        <v>192.51</v>
      </c>
      <c r="K73" s="433">
        <v>0</v>
      </c>
      <c r="L73" s="499">
        <v>2.2200000000000002</v>
      </c>
      <c r="M73" s="500">
        <v>2.2599999999999998</v>
      </c>
      <c r="N73" s="433">
        <v>2.2400000000000002</v>
      </c>
      <c r="O73" s="433">
        <v>2.2400000000000002</v>
      </c>
      <c r="P73" s="497"/>
      <c r="Q73" s="504" t="s">
        <v>1935</v>
      </c>
    </row>
    <row r="74" spans="1:17">
      <c r="A74" s="475">
        <v>46051</v>
      </c>
      <c r="B74" t="s">
        <v>2393</v>
      </c>
      <c r="C74" s="488" t="s">
        <v>2415</v>
      </c>
      <c r="D74" s="433" t="s">
        <v>2413</v>
      </c>
      <c r="E74" s="434">
        <v>46066</v>
      </c>
      <c r="F74" s="433" t="s">
        <v>1931</v>
      </c>
      <c r="G74" s="433" t="s">
        <v>194</v>
      </c>
      <c r="H74" s="433" t="s">
        <v>2416</v>
      </c>
      <c r="I74" s="433"/>
      <c r="J74" s="498">
        <v>192.51</v>
      </c>
      <c r="K74" s="433">
        <v>0</v>
      </c>
      <c r="L74" s="499">
        <v>2.15</v>
      </c>
      <c r="M74" s="500">
        <v>2.19</v>
      </c>
      <c r="N74" s="433">
        <v>2.17</v>
      </c>
      <c r="O74" s="433">
        <v>2.17</v>
      </c>
      <c r="P74" s="497"/>
      <c r="Q74" s="504" t="s">
        <v>1935</v>
      </c>
    </row>
    <row r="75" spans="1:17">
      <c r="A75" s="475">
        <v>46051</v>
      </c>
      <c r="B75" t="s">
        <v>2390</v>
      </c>
      <c r="C75" s="488" t="s">
        <v>2417</v>
      </c>
      <c r="D75" s="433" t="s">
        <v>2413</v>
      </c>
      <c r="E75" s="434">
        <v>46157</v>
      </c>
      <c r="F75" s="433" t="s">
        <v>1931</v>
      </c>
      <c r="G75" s="433" t="s">
        <v>194</v>
      </c>
      <c r="H75" s="433" t="s">
        <v>2164</v>
      </c>
      <c r="I75" s="433"/>
      <c r="J75" s="498">
        <v>192.51</v>
      </c>
      <c r="K75" s="433">
        <v>0</v>
      </c>
      <c r="L75" s="499">
        <v>15.45</v>
      </c>
      <c r="M75" s="500">
        <v>15.6</v>
      </c>
      <c r="N75" s="433">
        <v>15.524999999999999</v>
      </c>
      <c r="O75" s="433">
        <v>15.524999999999999</v>
      </c>
      <c r="P75" s="497"/>
      <c r="Q75" s="504" t="s">
        <v>1935</v>
      </c>
    </row>
    <row r="76" spans="1:17">
      <c r="A76" s="475">
        <v>46051</v>
      </c>
      <c r="B76" t="s">
        <v>2404</v>
      </c>
      <c r="C76" s="488" t="s">
        <v>2418</v>
      </c>
      <c r="D76" s="433" t="s">
        <v>2071</v>
      </c>
      <c r="E76" s="434">
        <v>46220</v>
      </c>
      <c r="F76" s="433" t="s">
        <v>1931</v>
      </c>
      <c r="G76" s="433" t="s">
        <v>194</v>
      </c>
      <c r="H76" s="433" t="s">
        <v>2419</v>
      </c>
      <c r="I76" s="433"/>
      <c r="J76" s="498">
        <v>738.31</v>
      </c>
      <c r="K76" s="433">
        <v>38.309999999999945</v>
      </c>
      <c r="L76" s="499">
        <v>94.7</v>
      </c>
      <c r="M76" s="500">
        <v>96.85</v>
      </c>
      <c r="N76" s="433">
        <v>95.775000000000006</v>
      </c>
      <c r="O76" s="433">
        <v>95.775000000000006</v>
      </c>
      <c r="P76" s="497"/>
      <c r="Q76" s="504" t="s">
        <v>1935</v>
      </c>
    </row>
    <row r="77" spans="1:17">
      <c r="A77" s="475">
        <v>46051</v>
      </c>
      <c r="B77" t="s">
        <v>2420</v>
      </c>
      <c r="C77" s="488" t="s">
        <v>2421</v>
      </c>
      <c r="D77" s="433" t="s">
        <v>1937</v>
      </c>
      <c r="E77" s="434">
        <v>46052</v>
      </c>
      <c r="F77" s="433" t="s">
        <v>1931</v>
      </c>
      <c r="G77" s="433" t="s">
        <v>194</v>
      </c>
      <c r="H77" s="433" t="s">
        <v>2166</v>
      </c>
      <c r="I77" s="433"/>
      <c r="J77" s="493">
        <v>433.5</v>
      </c>
      <c r="K77" s="433">
        <v>0</v>
      </c>
      <c r="L77" s="493">
        <v>2.5333898405189241E-4</v>
      </c>
      <c r="M77" s="493">
        <v>2.5333898405189241E-4</v>
      </c>
      <c r="N77" s="493">
        <v>2.5333898405189241E-4</v>
      </c>
      <c r="O77" s="493">
        <v>9.9924254135826942E-4</v>
      </c>
      <c r="P77" s="433">
        <v>61.603295575793268</v>
      </c>
      <c r="Q77" s="504" t="s">
        <v>1928</v>
      </c>
    </row>
    <row r="78" spans="1:17">
      <c r="A78" s="475">
        <v>46051</v>
      </c>
      <c r="B78" t="s">
        <v>2422</v>
      </c>
      <c r="C78" s="488" t="s">
        <v>2423</v>
      </c>
      <c r="D78" s="433" t="s">
        <v>2413</v>
      </c>
      <c r="E78" s="434">
        <v>46052</v>
      </c>
      <c r="F78" s="433" t="s">
        <v>1931</v>
      </c>
      <c r="G78" s="433" t="s">
        <v>194</v>
      </c>
      <c r="H78" s="433" t="s">
        <v>2424</v>
      </c>
      <c r="I78" s="433"/>
      <c r="J78" s="498">
        <v>192.51</v>
      </c>
      <c r="K78" s="433">
        <v>0</v>
      </c>
      <c r="L78" s="499">
        <v>0.55000000000000004</v>
      </c>
      <c r="M78" s="500">
        <v>0.56999999999999995</v>
      </c>
      <c r="N78" s="433">
        <v>0.56000000000000005</v>
      </c>
      <c r="O78" s="433">
        <v>0.56000000000000005</v>
      </c>
      <c r="P78" s="497"/>
      <c r="Q78" s="504" t="s">
        <v>1935</v>
      </c>
    </row>
    <row r="79" spans="1:17">
      <c r="A79" s="475">
        <v>46051</v>
      </c>
      <c r="B79" t="s">
        <v>2446</v>
      </c>
      <c r="C79" s="488" t="s">
        <v>2457</v>
      </c>
      <c r="D79" s="433" t="s">
        <v>1951</v>
      </c>
      <c r="E79" s="434">
        <v>46052</v>
      </c>
      <c r="F79" s="433" t="s">
        <v>1926</v>
      </c>
      <c r="G79" s="433" t="s">
        <v>194</v>
      </c>
      <c r="H79" s="433" t="s">
        <v>2458</v>
      </c>
      <c r="I79" s="433"/>
      <c r="J79" s="498">
        <v>629.42999999999995</v>
      </c>
      <c r="K79" s="433">
        <v>0</v>
      </c>
      <c r="L79" s="499">
        <v>0.53</v>
      </c>
      <c r="M79" s="500">
        <v>0.55000000000000004</v>
      </c>
      <c r="N79" s="433">
        <v>0.54</v>
      </c>
      <c r="O79" s="433">
        <v>0.54</v>
      </c>
      <c r="P79" s="497"/>
      <c r="Q79" s="504" t="s">
        <v>1935</v>
      </c>
    </row>
    <row r="80" spans="1:17">
      <c r="A80" s="475">
        <v>46051</v>
      </c>
      <c r="B80" s="497" t="s">
        <v>2041</v>
      </c>
      <c r="C80" s="488" t="s">
        <v>2041</v>
      </c>
      <c r="D80" s="433" t="s">
        <v>1952</v>
      </c>
      <c r="E80" s="434">
        <v>46073</v>
      </c>
      <c r="F80" s="433" t="s">
        <v>1931</v>
      </c>
      <c r="G80" s="433" t="s">
        <v>194</v>
      </c>
      <c r="H80" s="433" t="s">
        <v>2186</v>
      </c>
      <c r="I80" s="433" t="s">
        <v>1927</v>
      </c>
      <c r="J80" s="498">
        <v>0.05</v>
      </c>
      <c r="K80" s="433">
        <v>0</v>
      </c>
      <c r="L80" s="499">
        <v>0</v>
      </c>
      <c r="M80" s="500">
        <v>0</v>
      </c>
      <c r="N80" s="433">
        <v>0</v>
      </c>
      <c r="O80" s="433">
        <v>4.6747448797817041E-4</v>
      </c>
      <c r="P80" s="497">
        <v>27.334459610884199</v>
      </c>
      <c r="Q80" s="504" t="s">
        <v>1953</v>
      </c>
    </row>
    <row r="81" spans="1:17">
      <c r="A81" s="475">
        <v>46051</v>
      </c>
      <c r="B81" s="497" t="s">
        <v>2042</v>
      </c>
      <c r="C81" s="488" t="s">
        <v>2042</v>
      </c>
      <c r="D81" s="433" t="s">
        <v>1952</v>
      </c>
      <c r="E81" s="434">
        <v>46073</v>
      </c>
      <c r="F81" s="433" t="s">
        <v>1926</v>
      </c>
      <c r="G81" s="433" t="s">
        <v>194</v>
      </c>
      <c r="H81" s="433" t="s">
        <v>2187</v>
      </c>
      <c r="I81" s="433" t="s">
        <v>1927</v>
      </c>
      <c r="J81" s="498">
        <v>0.18</v>
      </c>
      <c r="K81" s="433">
        <v>21.39</v>
      </c>
      <c r="L81" s="499">
        <v>0</v>
      </c>
      <c r="M81" s="500">
        <v>0</v>
      </c>
      <c r="N81" s="433">
        <v>0</v>
      </c>
      <c r="O81" s="433">
        <v>2.9563169196708757E-2</v>
      </c>
      <c r="P81" s="497">
        <v>36.976368977213099</v>
      </c>
      <c r="Q81" s="504" t="s">
        <v>1953</v>
      </c>
    </row>
    <row r="82" spans="1:17">
      <c r="A82" s="475">
        <v>46051</v>
      </c>
      <c r="B82" s="497" t="s">
        <v>2043</v>
      </c>
      <c r="C82" s="488" t="s">
        <v>2043</v>
      </c>
      <c r="D82" s="433" t="s">
        <v>1952</v>
      </c>
      <c r="E82" s="434">
        <v>46073</v>
      </c>
      <c r="F82" s="433" t="s">
        <v>1926</v>
      </c>
      <c r="G82" s="433" t="s">
        <v>194</v>
      </c>
      <c r="H82" s="433" t="s">
        <v>2188</v>
      </c>
      <c r="I82" s="433" t="s">
        <v>1927</v>
      </c>
      <c r="J82" s="498">
        <v>1.36</v>
      </c>
      <c r="K82" s="433">
        <v>22.71</v>
      </c>
      <c r="L82" s="499">
        <v>0</v>
      </c>
      <c r="M82" s="500">
        <v>0</v>
      </c>
      <c r="N82" s="433">
        <v>0</v>
      </c>
      <c r="O82" s="433">
        <v>0.19771031248881332</v>
      </c>
      <c r="P82" s="497">
        <v>32.275873851892698</v>
      </c>
      <c r="Q82" s="504" t="s">
        <v>1953</v>
      </c>
    </row>
    <row r="83" spans="1:17">
      <c r="A83" s="475">
        <v>46051</v>
      </c>
      <c r="B83" s="497" t="s">
        <v>2044</v>
      </c>
      <c r="C83" s="488" t="s">
        <v>2044</v>
      </c>
      <c r="D83" s="433" t="s">
        <v>1952</v>
      </c>
      <c r="E83" s="434">
        <v>46073</v>
      </c>
      <c r="F83" s="433" t="s">
        <v>1931</v>
      </c>
      <c r="G83" s="433" t="s">
        <v>194</v>
      </c>
      <c r="H83" s="433" t="s">
        <v>2189</v>
      </c>
      <c r="I83" s="433" t="s">
        <v>1927</v>
      </c>
      <c r="J83" s="498">
        <v>0.04</v>
      </c>
      <c r="K83" s="433">
        <v>0</v>
      </c>
      <c r="L83" s="499">
        <v>0</v>
      </c>
      <c r="M83" s="500">
        <v>0</v>
      </c>
      <c r="N83" s="433">
        <v>0</v>
      </c>
      <c r="O83" s="433">
        <v>7.7752139483584442E-5</v>
      </c>
      <c r="P83" s="497">
        <v>26.616272752848499</v>
      </c>
      <c r="Q83" s="504" t="s">
        <v>1953</v>
      </c>
    </row>
    <row r="84" spans="1:17">
      <c r="A84" s="475">
        <v>46051</v>
      </c>
      <c r="B84" s="497" t="s">
        <v>2045</v>
      </c>
      <c r="C84" s="488" t="s">
        <v>2045</v>
      </c>
      <c r="D84" s="433" t="s">
        <v>1952</v>
      </c>
      <c r="E84" s="434">
        <v>46073</v>
      </c>
      <c r="F84" s="433" t="s">
        <v>1926</v>
      </c>
      <c r="G84" s="433" t="s">
        <v>194</v>
      </c>
      <c r="H84" s="433" t="s">
        <v>2190</v>
      </c>
      <c r="I84" s="433" t="s">
        <v>1927</v>
      </c>
      <c r="J84" s="498">
        <v>1</v>
      </c>
      <c r="K84" s="433">
        <v>22.82</v>
      </c>
      <c r="L84" s="499">
        <v>0</v>
      </c>
      <c r="M84" s="500">
        <v>0</v>
      </c>
      <c r="N84" s="433">
        <v>0</v>
      </c>
      <c r="O84" s="433">
        <v>0.16983088092203869</v>
      </c>
      <c r="P84" s="497">
        <v>32.728532407555299</v>
      </c>
      <c r="Q84" s="504" t="s">
        <v>1953</v>
      </c>
    </row>
    <row r="85" spans="1:17">
      <c r="A85" s="475">
        <v>46051</v>
      </c>
      <c r="B85" s="497" t="s">
        <v>2046</v>
      </c>
      <c r="C85" s="488" t="s">
        <v>2046</v>
      </c>
      <c r="D85" s="433" t="s">
        <v>1952</v>
      </c>
      <c r="E85" s="434">
        <v>46073</v>
      </c>
      <c r="F85" s="433" t="s">
        <v>1926</v>
      </c>
      <c r="G85" s="433" t="s">
        <v>194</v>
      </c>
      <c r="H85" s="433" t="s">
        <v>2191</v>
      </c>
      <c r="I85" s="433" t="s">
        <v>1927</v>
      </c>
      <c r="J85" s="498">
        <v>2.61</v>
      </c>
      <c r="K85" s="433">
        <v>23.71</v>
      </c>
      <c r="L85" s="499">
        <v>0</v>
      </c>
      <c r="M85" s="500">
        <v>0</v>
      </c>
      <c r="N85" s="433">
        <v>0</v>
      </c>
      <c r="O85" s="433">
        <v>0.54931403162613235</v>
      </c>
      <c r="P85" s="497">
        <v>28.780823599635397</v>
      </c>
      <c r="Q85" s="504" t="s">
        <v>1953</v>
      </c>
    </row>
    <row r="86" spans="1:17">
      <c r="A86" s="475">
        <v>46051</v>
      </c>
      <c r="B86" s="497" t="s">
        <v>2055</v>
      </c>
      <c r="C86" s="488" t="s">
        <v>2055</v>
      </c>
      <c r="D86" s="433" t="s">
        <v>2056</v>
      </c>
      <c r="E86" s="434">
        <v>46073</v>
      </c>
      <c r="F86" s="433" t="s">
        <v>1926</v>
      </c>
      <c r="G86" s="433" t="s">
        <v>194</v>
      </c>
      <c r="H86" s="433" t="s">
        <v>2192</v>
      </c>
      <c r="I86" s="433" t="s">
        <v>1927</v>
      </c>
      <c r="J86" s="498">
        <v>0.12</v>
      </c>
      <c r="K86" s="433">
        <v>18.88</v>
      </c>
      <c r="L86" s="499">
        <v>0</v>
      </c>
      <c r="M86" s="500">
        <v>0</v>
      </c>
      <c r="N86" s="433">
        <v>0</v>
      </c>
      <c r="O86" s="433">
        <v>4.9810158035854084E-2</v>
      </c>
      <c r="P86" s="497">
        <v>54.612924710075703</v>
      </c>
      <c r="Q86" s="504" t="s">
        <v>1953</v>
      </c>
    </row>
    <row r="87" spans="1:17">
      <c r="A87" s="475">
        <v>46051</v>
      </c>
      <c r="B87" s="497" t="s">
        <v>2057</v>
      </c>
      <c r="C87" s="488" t="s">
        <v>2057</v>
      </c>
      <c r="D87" s="433" t="s">
        <v>2056</v>
      </c>
      <c r="E87" s="434">
        <v>46073</v>
      </c>
      <c r="F87" s="433" t="s">
        <v>1926</v>
      </c>
      <c r="G87" s="433" t="s">
        <v>194</v>
      </c>
      <c r="H87" s="433" t="s">
        <v>2193</v>
      </c>
      <c r="I87" s="433" t="s">
        <v>1927</v>
      </c>
      <c r="J87" s="498">
        <v>0.4</v>
      </c>
      <c r="K87" s="433">
        <v>20.100000000000001</v>
      </c>
      <c r="L87" s="499">
        <v>0</v>
      </c>
      <c r="M87" s="500">
        <v>0</v>
      </c>
      <c r="N87" s="433">
        <v>0</v>
      </c>
      <c r="O87" s="433">
        <v>0.1249958107210425</v>
      </c>
      <c r="P87" s="497">
        <v>51.667306728942698</v>
      </c>
      <c r="Q87" s="504" t="s">
        <v>1953</v>
      </c>
    </row>
    <row r="88" spans="1:17">
      <c r="A88" s="475">
        <v>46051</v>
      </c>
      <c r="B88" s="497" t="s">
        <v>2076</v>
      </c>
      <c r="C88" s="488" t="s">
        <v>2076</v>
      </c>
      <c r="D88" s="433" t="s">
        <v>1954</v>
      </c>
      <c r="E88" s="434">
        <v>46073</v>
      </c>
      <c r="F88" s="433" t="s">
        <v>1926</v>
      </c>
      <c r="G88" s="433" t="s">
        <v>194</v>
      </c>
      <c r="H88" s="433" t="s">
        <v>2194</v>
      </c>
      <c r="I88" s="433" t="s">
        <v>1927</v>
      </c>
      <c r="J88" s="498">
        <v>0.01</v>
      </c>
      <c r="K88" s="433">
        <v>12.1</v>
      </c>
      <c r="L88" s="499">
        <v>0</v>
      </c>
      <c r="M88" s="500">
        <v>0</v>
      </c>
      <c r="N88" s="433">
        <v>0</v>
      </c>
      <c r="O88" s="433">
        <v>7.9977451860390735E-5</v>
      </c>
      <c r="P88" s="497">
        <v>36.869462027137601</v>
      </c>
      <c r="Q88" s="504" t="s">
        <v>1953</v>
      </c>
    </row>
    <row r="89" spans="1:17">
      <c r="A89" s="475">
        <v>46051</v>
      </c>
      <c r="B89" s="497" t="s">
        <v>2077</v>
      </c>
      <c r="C89" s="488" t="s">
        <v>2077</v>
      </c>
      <c r="D89" s="433" t="s">
        <v>1954</v>
      </c>
      <c r="E89" s="434">
        <v>46073</v>
      </c>
      <c r="F89" s="433" t="s">
        <v>1926</v>
      </c>
      <c r="G89" s="433" t="s">
        <v>194</v>
      </c>
      <c r="H89" s="433" t="s">
        <v>2195</v>
      </c>
      <c r="I89" s="433" t="s">
        <v>1927</v>
      </c>
      <c r="J89" s="498">
        <v>0.04</v>
      </c>
      <c r="K89" s="433">
        <v>13.32</v>
      </c>
      <c r="L89" s="499">
        <v>0</v>
      </c>
      <c r="M89" s="500">
        <v>0</v>
      </c>
      <c r="N89" s="433">
        <v>0</v>
      </c>
      <c r="O89" s="433">
        <v>2.7296565330593233E-3</v>
      </c>
      <c r="P89" s="497">
        <v>35.973949638065001</v>
      </c>
      <c r="Q89" s="504" t="s">
        <v>1953</v>
      </c>
    </row>
    <row r="90" spans="1:17">
      <c r="A90" s="475">
        <v>46051</v>
      </c>
      <c r="B90" s="497" t="s">
        <v>2117</v>
      </c>
      <c r="C90" s="488" t="s">
        <v>2117</v>
      </c>
      <c r="D90" s="433" t="s">
        <v>2118</v>
      </c>
      <c r="E90" s="434">
        <v>46073</v>
      </c>
      <c r="F90" s="433" t="s">
        <v>1931</v>
      </c>
      <c r="G90" s="433" t="s">
        <v>194</v>
      </c>
      <c r="H90" s="433" t="s">
        <v>2196</v>
      </c>
      <c r="I90" s="433" t="s">
        <v>1927</v>
      </c>
      <c r="J90" s="498">
        <v>4.78</v>
      </c>
      <c r="K90" s="433">
        <v>0</v>
      </c>
      <c r="L90" s="499">
        <v>0</v>
      </c>
      <c r="M90" s="500">
        <v>0</v>
      </c>
      <c r="N90" s="433">
        <v>0</v>
      </c>
      <c r="O90" s="433">
        <v>0.94826557695586533</v>
      </c>
      <c r="P90" s="497">
        <v>39.753780046317402</v>
      </c>
      <c r="Q90" s="504" t="s">
        <v>1953</v>
      </c>
    </row>
    <row r="91" spans="1:17">
      <c r="A91" s="475">
        <v>46051</v>
      </c>
      <c r="B91" s="497" t="s">
        <v>2119</v>
      </c>
      <c r="C91" s="488" t="s">
        <v>2119</v>
      </c>
      <c r="D91" s="433" t="s">
        <v>2118</v>
      </c>
      <c r="E91" s="434">
        <v>46073</v>
      </c>
      <c r="F91" s="433" t="s">
        <v>1926</v>
      </c>
      <c r="G91" s="433" t="s">
        <v>194</v>
      </c>
      <c r="H91" s="433" t="s">
        <v>2197</v>
      </c>
      <c r="I91" s="433" t="s">
        <v>1927</v>
      </c>
      <c r="J91" s="498">
        <v>0.1</v>
      </c>
      <c r="K91" s="433">
        <v>47.72</v>
      </c>
      <c r="L91" s="499">
        <v>0</v>
      </c>
      <c r="M91" s="500">
        <v>0</v>
      </c>
      <c r="N91" s="433">
        <v>0</v>
      </c>
      <c r="O91" s="433">
        <v>5.6441811175650261E-3</v>
      </c>
      <c r="P91" s="497">
        <v>48.655924078380906</v>
      </c>
      <c r="Q91" s="504" t="s">
        <v>1953</v>
      </c>
    </row>
    <row r="92" spans="1:17">
      <c r="A92" s="475">
        <v>46051</v>
      </c>
      <c r="B92" s="497" t="s">
        <v>2120</v>
      </c>
      <c r="C92" s="488" t="s">
        <v>2120</v>
      </c>
      <c r="D92" s="433" t="s">
        <v>2118</v>
      </c>
      <c r="E92" s="434">
        <v>46073</v>
      </c>
      <c r="F92" s="433" t="s">
        <v>1926</v>
      </c>
      <c r="G92" s="433" t="s">
        <v>194</v>
      </c>
      <c r="H92" s="433" t="s">
        <v>2198</v>
      </c>
      <c r="I92" s="433" t="s">
        <v>1927</v>
      </c>
      <c r="J92" s="498">
        <v>0.15</v>
      </c>
      <c r="K92" s="433">
        <v>51.67</v>
      </c>
      <c r="L92" s="499">
        <v>0</v>
      </c>
      <c r="M92" s="500">
        <v>0</v>
      </c>
      <c r="N92" s="433">
        <v>0</v>
      </c>
      <c r="O92" s="433">
        <v>2.479995193450316E-2</v>
      </c>
      <c r="P92" s="497">
        <v>45.015451414485597</v>
      </c>
      <c r="Q92" s="504" t="s">
        <v>1953</v>
      </c>
    </row>
    <row r="93" spans="1:17">
      <c r="A93" s="475">
        <v>46051</v>
      </c>
      <c r="B93" s="497" t="s">
        <v>2126</v>
      </c>
      <c r="C93" s="488" t="s">
        <v>2126</v>
      </c>
      <c r="D93" s="433" t="s">
        <v>2086</v>
      </c>
      <c r="E93" s="434">
        <v>46073</v>
      </c>
      <c r="F93" s="433" t="s">
        <v>1926</v>
      </c>
      <c r="G93" s="433" t="s">
        <v>194</v>
      </c>
      <c r="H93" s="433" t="s">
        <v>2199</v>
      </c>
      <c r="I93" s="433" t="s">
        <v>1927</v>
      </c>
      <c r="J93" s="498">
        <v>0.1</v>
      </c>
      <c r="K93" s="433">
        <v>42.9</v>
      </c>
      <c r="L93" s="499">
        <v>0</v>
      </c>
      <c r="M93" s="500">
        <v>0</v>
      </c>
      <c r="N93" s="433">
        <v>0</v>
      </c>
      <c r="O93" s="433">
        <v>1.8885276081526725E-4</v>
      </c>
      <c r="P93" s="497">
        <v>33.980846127968398</v>
      </c>
      <c r="Q93" s="504" t="s">
        <v>1953</v>
      </c>
    </row>
    <row r="94" spans="1:17">
      <c r="A94" s="475">
        <v>46051</v>
      </c>
      <c r="B94" s="497" t="s">
        <v>2127</v>
      </c>
      <c r="C94" s="488" t="s">
        <v>2127</v>
      </c>
      <c r="D94" s="433" t="s">
        <v>2086</v>
      </c>
      <c r="E94" s="434">
        <v>46073</v>
      </c>
      <c r="F94" s="433" t="s">
        <v>1926</v>
      </c>
      <c r="G94" s="433" t="s">
        <v>194</v>
      </c>
      <c r="H94" s="433" t="s">
        <v>2200</v>
      </c>
      <c r="I94" s="433" t="s">
        <v>1927</v>
      </c>
      <c r="J94" s="498">
        <v>0.12</v>
      </c>
      <c r="K94" s="433">
        <v>47.88</v>
      </c>
      <c r="L94" s="499">
        <v>0</v>
      </c>
      <c r="M94" s="500">
        <v>0</v>
      </c>
      <c r="N94" s="433">
        <v>0</v>
      </c>
      <c r="O94" s="433">
        <v>7.9111846440318486E-3</v>
      </c>
      <c r="P94" s="497">
        <v>31.097313400679898</v>
      </c>
      <c r="Q94" s="504" t="s">
        <v>1953</v>
      </c>
    </row>
    <row r="95" spans="1:17">
      <c r="A95" s="475">
        <v>46051</v>
      </c>
      <c r="B95" s="487" t="s">
        <v>2132</v>
      </c>
      <c r="C95" s="487" t="s">
        <v>2132</v>
      </c>
      <c r="D95" s="433" t="s">
        <v>2133</v>
      </c>
      <c r="E95" s="434">
        <v>46073</v>
      </c>
      <c r="F95" s="433" t="s">
        <v>1926</v>
      </c>
      <c r="G95" s="433" t="s">
        <v>194</v>
      </c>
      <c r="H95" s="433" t="s">
        <v>2201</v>
      </c>
      <c r="I95" s="433" t="s">
        <v>1927</v>
      </c>
      <c r="J95" s="498">
        <v>1.7</v>
      </c>
      <c r="K95" s="433">
        <v>48.68</v>
      </c>
      <c r="L95" s="499">
        <v>0</v>
      </c>
      <c r="M95" s="500">
        <v>0</v>
      </c>
      <c r="N95" s="433">
        <v>0</v>
      </c>
      <c r="O95" s="433">
        <v>0.32856548407997044</v>
      </c>
      <c r="P95" s="497">
        <v>29.228741562219003</v>
      </c>
      <c r="Q95" s="504" t="s">
        <v>1953</v>
      </c>
    </row>
    <row r="96" spans="1:17">
      <c r="A96" s="475">
        <v>46051</v>
      </c>
      <c r="B96" s="487" t="s">
        <v>2139</v>
      </c>
      <c r="C96" s="487" t="s">
        <v>2139</v>
      </c>
      <c r="D96" s="433" t="s">
        <v>1954</v>
      </c>
      <c r="E96" s="434">
        <v>46073</v>
      </c>
      <c r="F96" s="433" t="s">
        <v>1926</v>
      </c>
      <c r="G96" s="433" t="s">
        <v>194</v>
      </c>
      <c r="H96" s="433" t="s">
        <v>2202</v>
      </c>
      <c r="I96" s="433" t="s">
        <v>1927</v>
      </c>
      <c r="J96" s="498">
        <v>0.01</v>
      </c>
      <c r="K96" s="433">
        <v>11.41</v>
      </c>
      <c r="L96" s="499">
        <v>0</v>
      </c>
      <c r="M96" s="500">
        <v>0</v>
      </c>
      <c r="N96" s="433">
        <v>0</v>
      </c>
      <c r="O96" s="433">
        <v>7.9977451860390735E-5</v>
      </c>
      <c r="P96" s="497">
        <v>36.869462027137601</v>
      </c>
      <c r="Q96" s="504" t="s">
        <v>1953</v>
      </c>
    </row>
    <row r="97" spans="1:17">
      <c r="A97" s="475">
        <v>46051</v>
      </c>
      <c r="B97" s="487" t="s">
        <v>2140</v>
      </c>
      <c r="C97" s="487" t="s">
        <v>2140</v>
      </c>
      <c r="D97" s="433" t="s">
        <v>1954</v>
      </c>
      <c r="E97" s="434">
        <v>46073</v>
      </c>
      <c r="F97" s="433" t="s">
        <v>1926</v>
      </c>
      <c r="G97" s="433" t="s">
        <v>194</v>
      </c>
      <c r="H97" s="433" t="s">
        <v>2203</v>
      </c>
      <c r="I97" s="433" t="s">
        <v>1927</v>
      </c>
      <c r="J97" s="498">
        <v>0.04</v>
      </c>
      <c r="K97" s="433">
        <v>12.63</v>
      </c>
      <c r="L97" s="499">
        <v>0</v>
      </c>
      <c r="M97" s="500">
        <v>0</v>
      </c>
      <c r="N97" s="433">
        <v>0</v>
      </c>
      <c r="O97" s="433">
        <v>2.7296565330593233E-3</v>
      </c>
      <c r="P97" s="497">
        <v>35.973949638065001</v>
      </c>
      <c r="Q97" s="504" t="s">
        <v>1953</v>
      </c>
    </row>
    <row r="98" spans="1:17">
      <c r="A98" s="475">
        <v>46051</v>
      </c>
      <c r="B98" s="487" t="s">
        <v>2141</v>
      </c>
      <c r="C98" s="487" t="s">
        <v>2141</v>
      </c>
      <c r="D98" s="433" t="s">
        <v>1954</v>
      </c>
      <c r="E98" s="434">
        <v>46073</v>
      </c>
      <c r="F98" s="433" t="s">
        <v>1926</v>
      </c>
      <c r="G98" s="433" t="s">
        <v>194</v>
      </c>
      <c r="H98" s="433" t="s">
        <v>2204</v>
      </c>
      <c r="I98" s="433" t="s">
        <v>1927</v>
      </c>
      <c r="J98" s="498">
        <v>0.11</v>
      </c>
      <c r="K98" s="433">
        <v>13.56</v>
      </c>
      <c r="L98" s="499">
        <v>0</v>
      </c>
      <c r="M98" s="500">
        <v>0</v>
      </c>
      <c r="N98" s="433">
        <v>0</v>
      </c>
      <c r="O98" s="433">
        <v>1.8549308090121459E-2</v>
      </c>
      <c r="P98" s="497">
        <v>34.667147663186398</v>
      </c>
      <c r="Q98" s="504" t="s">
        <v>1953</v>
      </c>
    </row>
    <row r="99" spans="1:17">
      <c r="A99" s="475">
        <v>46051</v>
      </c>
      <c r="B99" s="487" t="s">
        <v>2142</v>
      </c>
      <c r="C99" s="487" t="s">
        <v>2142</v>
      </c>
      <c r="D99" s="433" t="s">
        <v>2143</v>
      </c>
      <c r="E99" s="434">
        <v>46073</v>
      </c>
      <c r="F99" s="433" t="s">
        <v>1926</v>
      </c>
      <c r="G99" s="433" t="s">
        <v>194</v>
      </c>
      <c r="H99" s="433" t="s">
        <v>2205</v>
      </c>
      <c r="I99" s="433" t="s">
        <v>1927</v>
      </c>
      <c r="J99" s="498">
        <v>0.01</v>
      </c>
      <c r="K99" s="433">
        <v>12.03</v>
      </c>
      <c r="L99" s="499">
        <v>0</v>
      </c>
      <c r="M99" s="500">
        <v>0</v>
      </c>
      <c r="N99" s="433">
        <v>0</v>
      </c>
      <c r="O99" s="433">
        <v>3.2074655645972219E-3</v>
      </c>
      <c r="P99" s="497">
        <v>53.834206656627003</v>
      </c>
      <c r="Q99" s="504" t="s">
        <v>1953</v>
      </c>
    </row>
    <row r="100" spans="1:17">
      <c r="A100" s="475">
        <v>46051</v>
      </c>
      <c r="B100" s="487" t="s">
        <v>2144</v>
      </c>
      <c r="C100" s="487" t="s">
        <v>2144</v>
      </c>
      <c r="D100" s="433" t="s">
        <v>2143</v>
      </c>
      <c r="E100" s="434">
        <v>46073</v>
      </c>
      <c r="F100" s="433" t="s">
        <v>1926</v>
      </c>
      <c r="G100" s="433" t="s">
        <v>194</v>
      </c>
      <c r="H100" s="433" t="s">
        <v>2206</v>
      </c>
      <c r="I100" s="433" t="s">
        <v>1927</v>
      </c>
      <c r="J100" s="498">
        <v>0.06</v>
      </c>
      <c r="K100" s="433">
        <v>12.979999999999999</v>
      </c>
      <c r="L100" s="499">
        <v>0</v>
      </c>
      <c r="M100" s="500">
        <v>0</v>
      </c>
      <c r="N100" s="433">
        <v>0</v>
      </c>
      <c r="O100" s="433">
        <v>1.1681733975329024E-2</v>
      </c>
      <c r="P100" s="497">
        <v>50.563020868376903</v>
      </c>
      <c r="Q100" s="504" t="s">
        <v>1953</v>
      </c>
    </row>
    <row r="101" spans="1:17">
      <c r="A101" s="475">
        <v>46051</v>
      </c>
      <c r="B101" s="488" t="s">
        <v>2207</v>
      </c>
      <c r="C101" s="488" t="s">
        <v>2207</v>
      </c>
      <c r="D101" s="433" t="s">
        <v>2086</v>
      </c>
      <c r="E101" s="434">
        <v>46073</v>
      </c>
      <c r="F101" s="433" t="s">
        <v>1931</v>
      </c>
      <c r="G101" s="433" t="s">
        <v>194</v>
      </c>
      <c r="H101" s="433" t="s">
        <v>2208</v>
      </c>
      <c r="I101" s="433" t="s">
        <v>1927</v>
      </c>
      <c r="J101" s="498">
        <v>1.98</v>
      </c>
      <c r="K101" s="433">
        <v>0</v>
      </c>
      <c r="L101" s="499">
        <v>0</v>
      </c>
      <c r="M101" s="500">
        <v>0</v>
      </c>
      <c r="N101" s="433">
        <v>0</v>
      </c>
      <c r="O101" s="433">
        <v>0.32890545823848177</v>
      </c>
      <c r="P101" s="497">
        <v>26.201892509904098</v>
      </c>
      <c r="Q101" s="504" t="s">
        <v>1953</v>
      </c>
    </row>
    <row r="102" spans="1:17">
      <c r="A102" s="475">
        <v>46051</v>
      </c>
      <c r="B102" s="488" t="s">
        <v>2209</v>
      </c>
      <c r="C102" s="488" t="s">
        <v>2209</v>
      </c>
      <c r="D102" s="433" t="s">
        <v>2086</v>
      </c>
      <c r="E102" s="434">
        <v>46073</v>
      </c>
      <c r="F102" s="433" t="s">
        <v>1926</v>
      </c>
      <c r="G102" s="433" t="s">
        <v>194</v>
      </c>
      <c r="H102" s="433" t="s">
        <v>2210</v>
      </c>
      <c r="I102" s="433" t="s">
        <v>1927</v>
      </c>
      <c r="J102" s="498">
        <v>0.17</v>
      </c>
      <c r="K102" s="433">
        <v>46.83</v>
      </c>
      <c r="L102" s="499">
        <v>0</v>
      </c>
      <c r="M102" s="500">
        <v>0</v>
      </c>
      <c r="N102" s="433">
        <v>0</v>
      </c>
      <c r="O102" s="433">
        <v>4.1584079732827827E-3</v>
      </c>
      <c r="P102" s="497">
        <v>31.751989975983399</v>
      </c>
      <c r="Q102" s="504" t="s">
        <v>1953</v>
      </c>
    </row>
    <row r="103" spans="1:17">
      <c r="A103" s="475">
        <v>46051</v>
      </c>
      <c r="B103" s="488" t="s">
        <v>2211</v>
      </c>
      <c r="C103" s="488" t="s">
        <v>2211</v>
      </c>
      <c r="D103" s="433" t="s">
        <v>2086</v>
      </c>
      <c r="E103" s="434">
        <v>46073</v>
      </c>
      <c r="F103" s="433" t="s">
        <v>1926</v>
      </c>
      <c r="G103" s="433" t="s">
        <v>194</v>
      </c>
      <c r="H103" s="433" t="s">
        <v>2212</v>
      </c>
      <c r="I103" s="433" t="s">
        <v>1927</v>
      </c>
      <c r="J103" s="498">
        <v>0.28999999999999998</v>
      </c>
      <c r="K103" s="433">
        <v>50.21</v>
      </c>
      <c r="L103" s="499">
        <v>0</v>
      </c>
      <c r="M103" s="500">
        <v>0</v>
      </c>
      <c r="N103" s="433">
        <v>0</v>
      </c>
      <c r="O103" s="433">
        <v>3.2833121458745812E-2</v>
      </c>
      <c r="P103" s="497">
        <v>29.3095952180906</v>
      </c>
      <c r="Q103" s="504" t="s">
        <v>1953</v>
      </c>
    </row>
    <row r="104" spans="1:17">
      <c r="A104" s="475">
        <v>46051</v>
      </c>
      <c r="B104" s="487" t="s">
        <v>2213</v>
      </c>
      <c r="C104" s="487" t="s">
        <v>2213</v>
      </c>
      <c r="D104" s="433" t="s">
        <v>1952</v>
      </c>
      <c r="E104" s="434">
        <v>46101</v>
      </c>
      <c r="F104" s="433" t="s">
        <v>1931</v>
      </c>
      <c r="G104" s="433" t="s">
        <v>194</v>
      </c>
      <c r="H104" s="433" t="s">
        <v>2214</v>
      </c>
      <c r="I104" s="433" t="s">
        <v>1927</v>
      </c>
      <c r="J104" s="498">
        <v>0.82</v>
      </c>
      <c r="K104" s="433">
        <v>0</v>
      </c>
      <c r="L104" s="499">
        <v>0</v>
      </c>
      <c r="M104" s="500">
        <v>0</v>
      </c>
      <c r="N104" s="433">
        <v>0</v>
      </c>
      <c r="O104" s="433">
        <v>5.1022026932267539E-2</v>
      </c>
      <c r="P104" s="497">
        <v>30.541590730796901</v>
      </c>
      <c r="Q104" s="504" t="s">
        <v>1953</v>
      </c>
    </row>
    <row r="105" spans="1:17">
      <c r="A105" s="475">
        <v>46051</v>
      </c>
      <c r="B105" s="487" t="s">
        <v>2215</v>
      </c>
      <c r="C105" s="487" t="s">
        <v>2215</v>
      </c>
      <c r="D105" s="433" t="s">
        <v>1952</v>
      </c>
      <c r="E105" s="434">
        <v>46101</v>
      </c>
      <c r="F105" s="433" t="s">
        <v>1926</v>
      </c>
      <c r="G105" s="433" t="s">
        <v>194</v>
      </c>
      <c r="H105" s="433" t="s">
        <v>2216</v>
      </c>
      <c r="I105" s="433" t="s">
        <v>1927</v>
      </c>
      <c r="J105" s="498">
        <v>0.64</v>
      </c>
      <c r="K105" s="433">
        <v>20.669999999999998</v>
      </c>
      <c r="L105" s="499">
        <v>0</v>
      </c>
      <c r="M105" s="500">
        <v>0</v>
      </c>
      <c r="N105" s="433">
        <v>0</v>
      </c>
      <c r="O105" s="433">
        <v>9.8533410308541E-2</v>
      </c>
      <c r="P105" s="497">
        <v>35.106368831409</v>
      </c>
      <c r="Q105" s="504" t="s">
        <v>1953</v>
      </c>
    </row>
    <row r="106" spans="1:17">
      <c r="A106" s="475">
        <v>46051</v>
      </c>
      <c r="B106" s="487" t="s">
        <v>2217</v>
      </c>
      <c r="C106" s="487" t="s">
        <v>2217</v>
      </c>
      <c r="D106" s="433" t="s">
        <v>1952</v>
      </c>
      <c r="E106" s="434">
        <v>46101</v>
      </c>
      <c r="F106" s="433" t="s">
        <v>1926</v>
      </c>
      <c r="G106" s="433" t="s">
        <v>194</v>
      </c>
      <c r="H106" s="433" t="s">
        <v>2218</v>
      </c>
      <c r="I106" s="433" t="s">
        <v>1927</v>
      </c>
      <c r="J106" s="498">
        <v>1.5</v>
      </c>
      <c r="K106" s="433">
        <v>21.81</v>
      </c>
      <c r="L106" s="499">
        <v>0</v>
      </c>
      <c r="M106" s="500">
        <v>0</v>
      </c>
      <c r="N106" s="433">
        <v>0</v>
      </c>
      <c r="O106" s="433">
        <v>0.25297985695190534</v>
      </c>
      <c r="P106" s="497">
        <v>32.677119839672301</v>
      </c>
      <c r="Q106" s="504" t="s">
        <v>1953</v>
      </c>
    </row>
    <row r="107" spans="1:17">
      <c r="A107" s="475">
        <v>46051</v>
      </c>
      <c r="B107" s="487" t="s">
        <v>2219</v>
      </c>
      <c r="C107" s="487" t="s">
        <v>2219</v>
      </c>
      <c r="D107" s="433" t="s">
        <v>2220</v>
      </c>
      <c r="E107" s="434">
        <v>46073</v>
      </c>
      <c r="F107" s="433" t="s">
        <v>1931</v>
      </c>
      <c r="G107" s="433" t="s">
        <v>194</v>
      </c>
      <c r="H107" s="433" t="s">
        <v>2221</v>
      </c>
      <c r="I107" s="433" t="s">
        <v>1927</v>
      </c>
      <c r="J107" s="498">
        <v>12.9</v>
      </c>
      <c r="K107" s="433">
        <v>0</v>
      </c>
      <c r="L107" s="499">
        <v>0</v>
      </c>
      <c r="M107" s="500">
        <v>0</v>
      </c>
      <c r="N107" s="433">
        <v>0</v>
      </c>
      <c r="O107" s="433">
        <v>2.4003513793187596</v>
      </c>
      <c r="P107" s="497">
        <v>46.943427486277798</v>
      </c>
      <c r="Q107" s="504" t="s">
        <v>1953</v>
      </c>
    </row>
    <row r="108" spans="1:17">
      <c r="A108" s="475">
        <v>46051</v>
      </c>
      <c r="B108" s="487" t="s">
        <v>2222</v>
      </c>
      <c r="C108" s="487" t="s">
        <v>2222</v>
      </c>
      <c r="D108" s="433" t="s">
        <v>2220</v>
      </c>
      <c r="E108" s="434">
        <v>46073</v>
      </c>
      <c r="F108" s="433" t="s">
        <v>1931</v>
      </c>
      <c r="G108" s="433" t="s">
        <v>194</v>
      </c>
      <c r="H108" s="433" t="s">
        <v>2223</v>
      </c>
      <c r="I108" s="433" t="s">
        <v>1927</v>
      </c>
      <c r="J108" s="498">
        <v>7.9</v>
      </c>
      <c r="K108" s="433">
        <v>0</v>
      </c>
      <c r="L108" s="499">
        <v>0</v>
      </c>
      <c r="M108" s="500">
        <v>0</v>
      </c>
      <c r="N108" s="433">
        <v>0</v>
      </c>
      <c r="O108" s="433">
        <v>1.5116649744648369</v>
      </c>
      <c r="P108" s="497">
        <v>38.658350765247199</v>
      </c>
      <c r="Q108" s="504" t="s">
        <v>1953</v>
      </c>
    </row>
    <row r="109" spans="1:17">
      <c r="A109" s="475">
        <v>46051</v>
      </c>
      <c r="B109" s="502" t="s">
        <v>2236</v>
      </c>
      <c r="C109" s="502" t="s">
        <v>2236</v>
      </c>
      <c r="D109" s="433" t="s">
        <v>1954</v>
      </c>
      <c r="E109" s="434">
        <v>46073</v>
      </c>
      <c r="F109" s="433" t="s">
        <v>1931</v>
      </c>
      <c r="G109" s="433" t="s">
        <v>194</v>
      </c>
      <c r="H109" s="433" t="s">
        <v>2237</v>
      </c>
      <c r="I109" s="433" t="s">
        <v>1927</v>
      </c>
      <c r="J109" s="498">
        <v>0.39</v>
      </c>
      <c r="K109" s="433">
        <v>0</v>
      </c>
      <c r="L109" s="499">
        <v>0</v>
      </c>
      <c r="M109" s="500">
        <v>0</v>
      </c>
      <c r="N109" s="433">
        <v>0</v>
      </c>
      <c r="O109" s="433">
        <v>8.2290498968476108E-2</v>
      </c>
      <c r="P109" s="497">
        <v>33.824097320665899</v>
      </c>
      <c r="Q109" s="504" t="s">
        <v>1953</v>
      </c>
    </row>
    <row r="110" spans="1:17">
      <c r="A110" s="475">
        <v>46051</v>
      </c>
      <c r="B110" s="502" t="s">
        <v>2238</v>
      </c>
      <c r="C110" s="502" t="s">
        <v>2238</v>
      </c>
      <c r="D110" s="433" t="s">
        <v>2015</v>
      </c>
      <c r="E110" s="434">
        <v>46071</v>
      </c>
      <c r="F110" s="433" t="s">
        <v>1926</v>
      </c>
      <c r="G110" s="433" t="s">
        <v>194</v>
      </c>
      <c r="H110" s="433" t="s">
        <v>2239</v>
      </c>
      <c r="I110" s="433" t="s">
        <v>1927</v>
      </c>
      <c r="J110" s="498">
        <v>240</v>
      </c>
      <c r="K110" s="433">
        <v>160760</v>
      </c>
      <c r="L110" s="499">
        <v>0</v>
      </c>
      <c r="M110" s="500">
        <v>0</v>
      </c>
      <c r="N110" s="433">
        <v>0</v>
      </c>
      <c r="O110" s="433">
        <v>7.9631442962794843</v>
      </c>
      <c r="P110" s="497">
        <v>27.354805944670399</v>
      </c>
      <c r="Q110" s="504" t="s">
        <v>1953</v>
      </c>
    </row>
    <row r="111" spans="1:17">
      <c r="A111" s="475">
        <v>46051</v>
      </c>
      <c r="B111" s="502" t="s">
        <v>2240</v>
      </c>
      <c r="C111" s="502" t="s">
        <v>2240</v>
      </c>
      <c r="D111" s="433" t="s">
        <v>2100</v>
      </c>
      <c r="E111" s="434">
        <v>46073</v>
      </c>
      <c r="F111" s="433" t="s">
        <v>1926</v>
      </c>
      <c r="G111" s="433" t="s">
        <v>194</v>
      </c>
      <c r="H111" s="433" t="s">
        <v>2241</v>
      </c>
      <c r="I111" s="433" t="s">
        <v>1927</v>
      </c>
      <c r="J111" s="498">
        <v>0.28999999999999998</v>
      </c>
      <c r="K111" s="433">
        <v>107.71</v>
      </c>
      <c r="L111" s="499">
        <v>0</v>
      </c>
      <c r="M111" s="500">
        <v>0</v>
      </c>
      <c r="N111" s="433">
        <v>0</v>
      </c>
      <c r="O111" s="433">
        <v>4.3784589194718643E-2</v>
      </c>
      <c r="P111" s="497">
        <v>38.781062419074601</v>
      </c>
      <c r="Q111" s="504" t="s">
        <v>1953</v>
      </c>
    </row>
    <row r="112" spans="1:17">
      <c r="A112" s="475">
        <v>46051</v>
      </c>
      <c r="B112" s="502" t="s">
        <v>2242</v>
      </c>
      <c r="C112" s="502" t="s">
        <v>2242</v>
      </c>
      <c r="D112" s="433" t="s">
        <v>2100</v>
      </c>
      <c r="E112" s="434">
        <v>46073</v>
      </c>
      <c r="F112" s="433" t="s">
        <v>1926</v>
      </c>
      <c r="G112" s="433" t="s">
        <v>194</v>
      </c>
      <c r="H112" s="433" t="s">
        <v>2243</v>
      </c>
      <c r="I112" s="433" t="s">
        <v>1927</v>
      </c>
      <c r="J112" s="498">
        <v>0.44</v>
      </c>
      <c r="K112" s="433">
        <v>112.56</v>
      </c>
      <c r="L112" s="499">
        <v>0</v>
      </c>
      <c r="M112" s="500">
        <v>0</v>
      </c>
      <c r="N112" s="433">
        <v>0</v>
      </c>
      <c r="O112" s="433">
        <v>0.11111318495893029</v>
      </c>
      <c r="P112" s="497">
        <v>36.799689241608696</v>
      </c>
      <c r="Q112" s="504" t="s">
        <v>1953</v>
      </c>
    </row>
    <row r="113" spans="1:17">
      <c r="A113" s="475">
        <v>46051</v>
      </c>
      <c r="B113" s="487" t="s">
        <v>2250</v>
      </c>
      <c r="C113" s="487" t="s">
        <v>2250</v>
      </c>
      <c r="D113" s="433" t="s">
        <v>2100</v>
      </c>
      <c r="E113" s="434">
        <v>46073</v>
      </c>
      <c r="F113" s="433" t="s">
        <v>1926</v>
      </c>
      <c r="G113" s="433" t="s">
        <v>194</v>
      </c>
      <c r="H113" s="433" t="s">
        <v>2251</v>
      </c>
      <c r="I113" s="433" t="s">
        <v>1927</v>
      </c>
      <c r="J113" s="498">
        <v>0.5</v>
      </c>
      <c r="K113" s="433">
        <v>113.5</v>
      </c>
      <c r="L113" s="499">
        <v>0</v>
      </c>
      <c r="M113" s="500">
        <v>0</v>
      </c>
      <c r="N113" s="433">
        <v>0</v>
      </c>
      <c r="O113" s="433">
        <v>0.131111708402911</v>
      </c>
      <c r="P113" s="497">
        <v>36.302844348199798</v>
      </c>
      <c r="Q113" s="504" t="s">
        <v>1953</v>
      </c>
    </row>
    <row r="114" spans="1:17">
      <c r="A114" s="475">
        <v>46051</v>
      </c>
      <c r="B114" s="487" t="s">
        <v>2252</v>
      </c>
      <c r="C114" s="487" t="s">
        <v>2252</v>
      </c>
      <c r="D114" s="433" t="s">
        <v>2253</v>
      </c>
      <c r="E114" s="434">
        <v>46073</v>
      </c>
      <c r="F114" s="433" t="s">
        <v>1931</v>
      </c>
      <c r="G114" s="433" t="s">
        <v>194</v>
      </c>
      <c r="H114" s="433" t="s">
        <v>2254</v>
      </c>
      <c r="I114" s="433" t="s">
        <v>1927</v>
      </c>
      <c r="J114" s="498">
        <v>0.43</v>
      </c>
      <c r="K114" s="433">
        <v>0</v>
      </c>
      <c r="L114" s="499">
        <v>0</v>
      </c>
      <c r="M114" s="500">
        <v>0</v>
      </c>
      <c r="N114" s="433">
        <v>0</v>
      </c>
      <c r="O114" s="433">
        <v>1.2067485416812494E-2</v>
      </c>
      <c r="P114" s="497">
        <v>26.886625556942001</v>
      </c>
      <c r="Q114" s="504" t="s">
        <v>1953</v>
      </c>
    </row>
    <row r="115" spans="1:17">
      <c r="A115" s="475">
        <v>46051</v>
      </c>
      <c r="B115" s="487" t="s">
        <v>2255</v>
      </c>
      <c r="C115" s="487" t="s">
        <v>2255</v>
      </c>
      <c r="D115" s="433" t="s">
        <v>2253</v>
      </c>
      <c r="E115" s="434">
        <v>46073</v>
      </c>
      <c r="F115" s="433" t="s">
        <v>1926</v>
      </c>
      <c r="G115" s="433" t="s">
        <v>194</v>
      </c>
      <c r="H115" s="433" t="s">
        <v>2256</v>
      </c>
      <c r="I115" s="433" t="s">
        <v>1927</v>
      </c>
      <c r="J115" s="498">
        <v>0.5</v>
      </c>
      <c r="K115" s="433">
        <v>25.39</v>
      </c>
      <c r="L115" s="499">
        <v>0</v>
      </c>
      <c r="M115" s="500">
        <v>0</v>
      </c>
      <c r="N115" s="433">
        <v>0</v>
      </c>
      <c r="O115" s="433">
        <v>4.8459483019049822E-2</v>
      </c>
      <c r="P115" s="497">
        <v>33.079526715550294</v>
      </c>
      <c r="Q115" s="504" t="s">
        <v>1953</v>
      </c>
    </row>
    <row r="116" spans="1:17">
      <c r="A116" s="475">
        <v>46051</v>
      </c>
      <c r="B116" s="487" t="s">
        <v>2257</v>
      </c>
      <c r="C116" s="487" t="s">
        <v>2257</v>
      </c>
      <c r="D116" s="433" t="s">
        <v>2253</v>
      </c>
      <c r="E116" s="434">
        <v>46073</v>
      </c>
      <c r="F116" s="433" t="s">
        <v>1926</v>
      </c>
      <c r="G116" s="433" t="s">
        <v>194</v>
      </c>
      <c r="H116" s="433" t="s">
        <v>2258</v>
      </c>
      <c r="I116" s="433" t="s">
        <v>1927</v>
      </c>
      <c r="J116" s="498">
        <v>1.18</v>
      </c>
      <c r="K116" s="433">
        <v>26.96</v>
      </c>
      <c r="L116" s="499">
        <v>0</v>
      </c>
      <c r="M116" s="500">
        <v>0</v>
      </c>
      <c r="N116" s="433">
        <v>0</v>
      </c>
      <c r="O116" s="433">
        <v>0.2123993413001441</v>
      </c>
      <c r="P116" s="497">
        <v>29.589334502358202</v>
      </c>
      <c r="Q116" s="504" t="s">
        <v>1953</v>
      </c>
    </row>
    <row r="117" spans="1:17">
      <c r="A117" s="475">
        <v>46051</v>
      </c>
      <c r="B117" s="502" t="s">
        <v>2267</v>
      </c>
      <c r="C117" s="502" t="s">
        <v>2267</v>
      </c>
      <c r="D117" s="433" t="s">
        <v>2015</v>
      </c>
      <c r="E117" s="434">
        <v>46071</v>
      </c>
      <c r="F117" s="433" t="s">
        <v>1926</v>
      </c>
      <c r="G117" s="433" t="s">
        <v>194</v>
      </c>
      <c r="H117" s="433" t="s">
        <v>2283</v>
      </c>
      <c r="I117" s="433" t="s">
        <v>1927</v>
      </c>
      <c r="J117" s="498">
        <v>200</v>
      </c>
      <c r="K117" s="433">
        <v>162800</v>
      </c>
      <c r="L117" s="499">
        <v>0</v>
      </c>
      <c r="M117" s="500">
        <v>0</v>
      </c>
      <c r="N117" s="433">
        <v>0</v>
      </c>
      <c r="O117" s="433">
        <v>13.487067313205797</v>
      </c>
      <c r="P117" s="497">
        <v>27.104538401524501</v>
      </c>
      <c r="Q117" s="504" t="s">
        <v>1953</v>
      </c>
    </row>
    <row r="118" spans="1:17">
      <c r="A118" s="475">
        <v>46051</v>
      </c>
      <c r="B118" s="487" t="s">
        <v>2310</v>
      </c>
      <c r="C118" s="487" t="s">
        <v>2310</v>
      </c>
      <c r="D118" s="433" t="s">
        <v>2137</v>
      </c>
      <c r="E118" s="434">
        <v>46073</v>
      </c>
      <c r="F118" s="433" t="s">
        <v>1926</v>
      </c>
      <c r="G118" s="433" t="s">
        <v>194</v>
      </c>
      <c r="H118" s="433" t="s">
        <v>2311</v>
      </c>
      <c r="I118" s="433" t="s">
        <v>1927</v>
      </c>
      <c r="J118" s="498">
        <v>0.17</v>
      </c>
      <c r="K118" s="433">
        <v>33.979999999999997</v>
      </c>
      <c r="L118" s="499">
        <v>0</v>
      </c>
      <c r="M118" s="500">
        <v>0</v>
      </c>
      <c r="N118" s="433">
        <v>0</v>
      </c>
      <c r="O118" s="433">
        <v>4.3442667333123484E-2</v>
      </c>
      <c r="P118" s="497">
        <v>40.451563458879399</v>
      </c>
      <c r="Q118" s="504" t="s">
        <v>1953</v>
      </c>
    </row>
    <row r="119" spans="1:17">
      <c r="A119" s="475">
        <v>46051</v>
      </c>
      <c r="B119" s="487" t="s">
        <v>2312</v>
      </c>
      <c r="C119" s="487" t="s">
        <v>2312</v>
      </c>
      <c r="D119" s="433" t="s">
        <v>2313</v>
      </c>
      <c r="E119" s="434">
        <v>46073</v>
      </c>
      <c r="F119" s="433" t="s">
        <v>1926</v>
      </c>
      <c r="G119" s="433" t="s">
        <v>194</v>
      </c>
      <c r="H119" s="433" t="s">
        <v>2314</v>
      </c>
      <c r="I119" s="433" t="s">
        <v>1927</v>
      </c>
      <c r="J119" s="498">
        <v>0.1</v>
      </c>
      <c r="K119" s="433">
        <v>43.15</v>
      </c>
      <c r="L119" s="499">
        <v>0</v>
      </c>
      <c r="M119" s="500">
        <v>0</v>
      </c>
      <c r="N119" s="433">
        <v>0</v>
      </c>
      <c r="O119" s="433">
        <v>1.3448641698734885E-2</v>
      </c>
      <c r="P119" s="497">
        <v>43.217414380622003</v>
      </c>
      <c r="Q119" s="504" t="s">
        <v>1953</v>
      </c>
    </row>
    <row r="120" spans="1:17">
      <c r="A120" s="475">
        <v>46051</v>
      </c>
      <c r="B120" s="487" t="s">
        <v>2315</v>
      </c>
      <c r="C120" s="487" t="s">
        <v>2315</v>
      </c>
      <c r="D120" s="433" t="s">
        <v>2313</v>
      </c>
      <c r="E120" s="434">
        <v>46073</v>
      </c>
      <c r="F120" s="433" t="s">
        <v>1926</v>
      </c>
      <c r="G120" s="433" t="s">
        <v>194</v>
      </c>
      <c r="H120" s="433" t="s">
        <v>2316</v>
      </c>
      <c r="I120" s="433" t="s">
        <v>1927</v>
      </c>
      <c r="J120" s="498">
        <v>0.23</v>
      </c>
      <c r="K120" s="433">
        <v>46.02</v>
      </c>
      <c r="L120" s="499">
        <v>0</v>
      </c>
      <c r="M120" s="500">
        <v>0</v>
      </c>
      <c r="N120" s="433">
        <v>0</v>
      </c>
      <c r="O120" s="433">
        <v>4.7776761649862567E-2</v>
      </c>
      <c r="P120" s="497">
        <v>40.159679284683101</v>
      </c>
      <c r="Q120" s="504" t="s">
        <v>1953</v>
      </c>
    </row>
    <row r="121" spans="1:17">
      <c r="A121" s="475">
        <v>46051</v>
      </c>
      <c r="B121" s="487" t="s">
        <v>2317</v>
      </c>
      <c r="C121" s="487" t="s">
        <v>2317</v>
      </c>
      <c r="D121" s="433" t="s">
        <v>2313</v>
      </c>
      <c r="E121" s="434">
        <v>46101</v>
      </c>
      <c r="F121" s="433" t="s">
        <v>1931</v>
      </c>
      <c r="G121" s="433" t="s">
        <v>194</v>
      </c>
      <c r="H121" s="433" t="s">
        <v>2212</v>
      </c>
      <c r="I121" s="433" t="s">
        <v>1927</v>
      </c>
      <c r="J121" s="498">
        <v>3.65</v>
      </c>
      <c r="K121" s="433">
        <v>0</v>
      </c>
      <c r="L121" s="499">
        <v>0</v>
      </c>
      <c r="M121" s="500">
        <v>0</v>
      </c>
      <c r="N121" s="433">
        <v>0</v>
      </c>
      <c r="O121" s="433">
        <v>0.71601180345673143</v>
      </c>
      <c r="P121" s="497">
        <v>35.568902567684695</v>
      </c>
      <c r="Q121" s="504" t="s">
        <v>1953</v>
      </c>
    </row>
    <row r="122" spans="1:17">
      <c r="A122" s="475">
        <v>46051</v>
      </c>
      <c r="B122" s="487" t="s">
        <v>2318</v>
      </c>
      <c r="C122" s="487" t="s">
        <v>2318</v>
      </c>
      <c r="D122" s="433" t="s">
        <v>2313</v>
      </c>
      <c r="E122" s="434">
        <v>46101</v>
      </c>
      <c r="F122" s="433" t="s">
        <v>1926</v>
      </c>
      <c r="G122" s="433" t="s">
        <v>194</v>
      </c>
      <c r="H122" s="433" t="s">
        <v>2319</v>
      </c>
      <c r="I122" s="433" t="s">
        <v>1927</v>
      </c>
      <c r="J122" s="498">
        <v>0.27</v>
      </c>
      <c r="K122" s="433">
        <v>42.23</v>
      </c>
      <c r="L122" s="499">
        <v>0</v>
      </c>
      <c r="M122" s="500">
        <v>0</v>
      </c>
      <c r="N122" s="433">
        <v>0</v>
      </c>
      <c r="O122" s="433">
        <v>4.2912054129340522E-2</v>
      </c>
      <c r="P122" s="497">
        <v>39.679712463535303</v>
      </c>
      <c r="Q122" s="504" t="s">
        <v>1953</v>
      </c>
    </row>
    <row r="123" spans="1:17">
      <c r="A123" s="475">
        <v>46051</v>
      </c>
      <c r="B123" s="487" t="s">
        <v>2320</v>
      </c>
      <c r="C123" s="487" t="s">
        <v>2320</v>
      </c>
      <c r="D123" s="433" t="s">
        <v>2313</v>
      </c>
      <c r="E123" s="434">
        <v>46101</v>
      </c>
      <c r="F123" s="433" t="s">
        <v>1926</v>
      </c>
      <c r="G123" s="433" t="s">
        <v>194</v>
      </c>
      <c r="H123" s="433" t="s">
        <v>2321</v>
      </c>
      <c r="I123" s="433" t="s">
        <v>1927</v>
      </c>
      <c r="J123" s="498">
        <v>0.71</v>
      </c>
      <c r="K123" s="433">
        <v>45.79</v>
      </c>
      <c r="L123" s="499">
        <v>0</v>
      </c>
      <c r="M123" s="500">
        <v>0</v>
      </c>
      <c r="N123" s="433">
        <v>0</v>
      </c>
      <c r="O123" s="433">
        <v>0.12956153817695668</v>
      </c>
      <c r="P123" s="497">
        <v>36.988134152614698</v>
      </c>
      <c r="Q123" s="504" t="s">
        <v>1953</v>
      </c>
    </row>
    <row r="124" spans="1:17">
      <c r="A124" s="475">
        <v>46051</v>
      </c>
      <c r="B124" s="487" t="s">
        <v>2342</v>
      </c>
      <c r="C124" s="487" t="s">
        <v>2342</v>
      </c>
      <c r="D124" s="433" t="s">
        <v>2343</v>
      </c>
      <c r="E124" s="434">
        <v>46073</v>
      </c>
      <c r="F124" s="433" t="s">
        <v>1926</v>
      </c>
      <c r="G124" s="433" t="s">
        <v>194</v>
      </c>
      <c r="H124" s="433" t="s">
        <v>2344</v>
      </c>
      <c r="I124" s="433" t="s">
        <v>1927</v>
      </c>
      <c r="J124" s="498">
        <v>0.11</v>
      </c>
      <c r="K124" s="433">
        <v>40.83</v>
      </c>
      <c r="L124" s="499">
        <v>0</v>
      </c>
      <c r="M124" s="500">
        <v>0</v>
      </c>
      <c r="N124" s="433">
        <v>0</v>
      </c>
      <c r="O124" s="433">
        <v>1.631474082573631E-2</v>
      </c>
      <c r="P124" s="497">
        <v>34.202840614094505</v>
      </c>
      <c r="Q124" s="504" t="s">
        <v>1953</v>
      </c>
    </row>
    <row r="125" spans="1:17">
      <c r="A125" s="475">
        <v>46051</v>
      </c>
      <c r="B125" s="487" t="s">
        <v>2345</v>
      </c>
      <c r="C125" s="487" t="s">
        <v>2345</v>
      </c>
      <c r="D125" s="433" t="s">
        <v>2343</v>
      </c>
      <c r="E125" s="434">
        <v>46073</v>
      </c>
      <c r="F125" s="433" t="s">
        <v>1926</v>
      </c>
      <c r="G125" s="433" t="s">
        <v>194</v>
      </c>
      <c r="H125" s="433" t="s">
        <v>2346</v>
      </c>
      <c r="I125" s="433" t="s">
        <v>1927</v>
      </c>
      <c r="J125" s="498">
        <v>0.27</v>
      </c>
      <c r="K125" s="433">
        <v>42.61</v>
      </c>
      <c r="L125" s="499">
        <v>0</v>
      </c>
      <c r="M125" s="500">
        <v>0</v>
      </c>
      <c r="N125" s="433">
        <v>0</v>
      </c>
      <c r="O125" s="433">
        <v>4.6657817938478868E-2</v>
      </c>
      <c r="P125" s="497">
        <v>32.090145130496801</v>
      </c>
      <c r="Q125" s="504" t="s">
        <v>1953</v>
      </c>
    </row>
    <row r="126" spans="1:17">
      <c r="A126" s="475">
        <v>46051</v>
      </c>
      <c r="B126" s="502" t="s">
        <v>2350</v>
      </c>
      <c r="C126" s="502" t="s">
        <v>2350</v>
      </c>
      <c r="D126" s="433" t="s">
        <v>2100</v>
      </c>
      <c r="E126" s="434">
        <v>46073</v>
      </c>
      <c r="F126" s="433" t="s">
        <v>1926</v>
      </c>
      <c r="G126" s="433" t="s">
        <v>194</v>
      </c>
      <c r="H126" s="433" t="s">
        <v>2351</v>
      </c>
      <c r="I126" s="433" t="s">
        <v>1927</v>
      </c>
      <c r="J126" s="498">
        <v>1.28</v>
      </c>
      <c r="K126" s="433">
        <v>118.72</v>
      </c>
      <c r="L126" s="499">
        <v>0</v>
      </c>
      <c r="M126" s="500">
        <v>0</v>
      </c>
      <c r="N126" s="433">
        <v>0</v>
      </c>
      <c r="O126" s="433">
        <v>0.31824543397858324</v>
      </c>
      <c r="P126" s="497">
        <v>32.569212192864995</v>
      </c>
      <c r="Q126" s="504" t="s">
        <v>1953</v>
      </c>
    </row>
    <row r="127" spans="1:17">
      <c r="A127" s="475">
        <v>46051</v>
      </c>
      <c r="B127" s="502" t="s">
        <v>2352</v>
      </c>
      <c r="C127" s="502" t="s">
        <v>2352</v>
      </c>
      <c r="D127" s="433" t="s">
        <v>2220</v>
      </c>
      <c r="E127" s="434">
        <v>46073</v>
      </c>
      <c r="F127" s="433" t="s">
        <v>1926</v>
      </c>
      <c r="G127" s="433" t="s">
        <v>194</v>
      </c>
      <c r="H127" s="433" t="s">
        <v>2353</v>
      </c>
      <c r="I127" s="433" t="s">
        <v>1927</v>
      </c>
      <c r="J127" s="498">
        <v>0.41</v>
      </c>
      <c r="K127" s="433">
        <v>77.490000000000009</v>
      </c>
      <c r="L127" s="499">
        <v>0</v>
      </c>
      <c r="M127" s="500">
        <v>0</v>
      </c>
      <c r="N127" s="433">
        <v>0</v>
      </c>
      <c r="O127" s="433">
        <v>9.0021808815881774E-2</v>
      </c>
      <c r="P127" s="497">
        <v>43.319001299281801</v>
      </c>
      <c r="Q127" s="504" t="s">
        <v>1953</v>
      </c>
    </row>
    <row r="128" spans="1:17">
      <c r="A128" s="475">
        <v>46051</v>
      </c>
      <c r="B128" s="502" t="s">
        <v>2354</v>
      </c>
      <c r="C128" s="502" t="s">
        <v>2354</v>
      </c>
      <c r="D128" s="433" t="s">
        <v>2220</v>
      </c>
      <c r="E128" s="434">
        <v>46073</v>
      </c>
      <c r="F128" s="433" t="s">
        <v>1926</v>
      </c>
      <c r="G128" s="433" t="s">
        <v>194</v>
      </c>
      <c r="H128" s="433" t="s">
        <v>2355</v>
      </c>
      <c r="I128" s="433" t="s">
        <v>1927</v>
      </c>
      <c r="J128" s="498">
        <v>1</v>
      </c>
      <c r="K128" s="433">
        <v>81.900000000000006</v>
      </c>
      <c r="L128" s="499">
        <v>0</v>
      </c>
      <c r="M128" s="500">
        <v>0</v>
      </c>
      <c r="N128" s="433">
        <v>0</v>
      </c>
      <c r="O128" s="433">
        <v>0.19652843603255574</v>
      </c>
      <c r="P128" s="497">
        <v>36.292589171231697</v>
      </c>
      <c r="Q128" s="504" t="s">
        <v>1953</v>
      </c>
    </row>
    <row r="129" spans="1:17">
      <c r="A129" s="475">
        <v>46051</v>
      </c>
      <c r="B129" s="487" t="s">
        <v>2384</v>
      </c>
      <c r="C129" s="487" t="s">
        <v>2384</v>
      </c>
      <c r="D129" s="433" t="s">
        <v>1954</v>
      </c>
      <c r="E129" s="434">
        <v>46073</v>
      </c>
      <c r="F129" s="433" t="s">
        <v>1926</v>
      </c>
      <c r="G129" s="433" t="s">
        <v>194</v>
      </c>
      <c r="H129" s="433" t="s">
        <v>2385</v>
      </c>
      <c r="I129" s="433" t="s">
        <v>1927</v>
      </c>
      <c r="J129" s="498">
        <v>0.42</v>
      </c>
      <c r="K129" s="433">
        <v>14.25</v>
      </c>
      <c r="L129" s="499">
        <v>0</v>
      </c>
      <c r="M129" s="500">
        <v>0</v>
      </c>
      <c r="N129" s="433">
        <v>0</v>
      </c>
      <c r="O129" s="433">
        <v>7.4291523225634218E-2</v>
      </c>
      <c r="P129" s="497">
        <v>33.572284115600802</v>
      </c>
      <c r="Q129" s="504" t="s">
        <v>1953</v>
      </c>
    </row>
    <row r="130" spans="1:17">
      <c r="A130" s="475">
        <v>46051</v>
      </c>
      <c r="B130" s="487" t="s">
        <v>2386</v>
      </c>
      <c r="C130" s="487" t="s">
        <v>2386</v>
      </c>
      <c r="D130" s="433" t="s">
        <v>2387</v>
      </c>
      <c r="E130" s="434">
        <v>46101</v>
      </c>
      <c r="F130" s="433" t="s">
        <v>1926</v>
      </c>
      <c r="G130" s="433" t="s">
        <v>194</v>
      </c>
      <c r="H130" s="433" t="s">
        <v>2216</v>
      </c>
      <c r="I130" s="433" t="s">
        <v>1927</v>
      </c>
      <c r="J130" s="498">
        <v>0.5</v>
      </c>
      <c r="K130" s="433">
        <v>20.81</v>
      </c>
      <c r="L130" s="499">
        <v>0</v>
      </c>
      <c r="M130" s="500">
        <v>0</v>
      </c>
      <c r="N130" s="433">
        <v>0</v>
      </c>
      <c r="O130" s="433">
        <v>9.2928111628367963E-2</v>
      </c>
      <c r="P130" s="497">
        <v>36.796991301385205</v>
      </c>
      <c r="Q130" s="504" t="s">
        <v>1953</v>
      </c>
    </row>
    <row r="131" spans="1:17">
      <c r="A131" s="475">
        <v>46051</v>
      </c>
      <c r="B131" s="487" t="s">
        <v>2388</v>
      </c>
      <c r="C131" s="487" t="s">
        <v>2388</v>
      </c>
      <c r="D131" s="433" t="s">
        <v>2387</v>
      </c>
      <c r="E131" s="434">
        <v>46101</v>
      </c>
      <c r="F131" s="433" t="s">
        <v>1926</v>
      </c>
      <c r="G131" s="433" t="s">
        <v>194</v>
      </c>
      <c r="H131" s="433" t="s">
        <v>2389</v>
      </c>
      <c r="I131" s="433" t="s">
        <v>1927</v>
      </c>
      <c r="J131" s="498">
        <v>1.04</v>
      </c>
      <c r="K131" s="433">
        <v>21.77</v>
      </c>
      <c r="L131" s="499">
        <v>0</v>
      </c>
      <c r="M131" s="500">
        <v>0</v>
      </c>
      <c r="N131" s="433">
        <v>0</v>
      </c>
      <c r="O131" s="433">
        <v>0.19467838070289309</v>
      </c>
      <c r="P131" s="497">
        <v>35.620426227886703</v>
      </c>
      <c r="Q131" s="504" t="s">
        <v>1953</v>
      </c>
    </row>
    <row r="132" spans="1:17">
      <c r="A132" s="475">
        <v>46051</v>
      </c>
      <c r="B132" s="487" t="s">
        <v>2425</v>
      </c>
      <c r="C132" s="487" t="s">
        <v>2425</v>
      </c>
      <c r="D132" s="433" t="s">
        <v>2426</v>
      </c>
      <c r="E132" s="434">
        <v>46073</v>
      </c>
      <c r="F132" s="433" t="s">
        <v>1926</v>
      </c>
      <c r="G132" s="433" t="s">
        <v>194</v>
      </c>
      <c r="H132" s="433" t="s">
        <v>2427</v>
      </c>
      <c r="I132" s="433" t="s">
        <v>1927</v>
      </c>
      <c r="J132" s="498">
        <v>0.13</v>
      </c>
      <c r="K132" s="433">
        <v>12.35</v>
      </c>
      <c r="L132" s="499">
        <v>0</v>
      </c>
      <c r="M132" s="500">
        <v>0</v>
      </c>
      <c r="N132" s="433">
        <v>0</v>
      </c>
      <c r="O132" s="433">
        <v>1.0923227780723209E-2</v>
      </c>
      <c r="P132" s="497">
        <v>23.2273066546752</v>
      </c>
      <c r="Q132" s="504" t="s">
        <v>1953</v>
      </c>
    </row>
    <row r="133" spans="1:17">
      <c r="A133" s="475">
        <v>46051</v>
      </c>
      <c r="B133" s="487" t="s">
        <v>2428</v>
      </c>
      <c r="C133" s="487" t="s">
        <v>2428</v>
      </c>
      <c r="D133" s="433" t="s">
        <v>2426</v>
      </c>
      <c r="E133" s="434">
        <v>46073</v>
      </c>
      <c r="F133" s="433" t="s">
        <v>1926</v>
      </c>
      <c r="G133" s="433" t="s">
        <v>194</v>
      </c>
      <c r="H133" s="433" t="s">
        <v>2429</v>
      </c>
      <c r="I133" s="433" t="s">
        <v>1927</v>
      </c>
      <c r="J133" s="498">
        <v>0.4</v>
      </c>
      <c r="K133" s="433">
        <v>12.83</v>
      </c>
      <c r="L133" s="499">
        <v>0</v>
      </c>
      <c r="M133" s="500">
        <v>0</v>
      </c>
      <c r="N133" s="433">
        <v>0</v>
      </c>
      <c r="O133" s="433">
        <v>5.3131070421921257E-2</v>
      </c>
      <c r="P133" s="497">
        <v>20.778627341964899</v>
      </c>
      <c r="Q133" s="504" t="s">
        <v>1953</v>
      </c>
    </row>
    <row r="134" spans="1:17">
      <c r="A134" s="475">
        <v>46051</v>
      </c>
      <c r="B134" s="487" t="s">
        <v>2430</v>
      </c>
      <c r="C134" s="487" t="s">
        <v>2430</v>
      </c>
      <c r="D134" s="433" t="s">
        <v>2431</v>
      </c>
      <c r="E134" s="434">
        <v>46101</v>
      </c>
      <c r="F134" s="433" t="s">
        <v>1931</v>
      </c>
      <c r="G134" s="433" t="s">
        <v>194</v>
      </c>
      <c r="H134" s="433" t="s">
        <v>2432</v>
      </c>
      <c r="I134" s="433" t="s">
        <v>1927</v>
      </c>
      <c r="J134" s="498">
        <v>0.98</v>
      </c>
      <c r="K134" s="433">
        <v>0</v>
      </c>
      <c r="L134" s="499">
        <v>0</v>
      </c>
      <c r="M134" s="500">
        <v>0</v>
      </c>
      <c r="N134" s="433">
        <v>0</v>
      </c>
      <c r="O134" s="433">
        <v>8.5083048530442018E-2</v>
      </c>
      <c r="P134" s="497">
        <v>20.122516061703003</v>
      </c>
      <c r="Q134" s="504" t="s">
        <v>1953</v>
      </c>
    </row>
    <row r="135" spans="1:17">
      <c r="A135" s="475">
        <v>46051</v>
      </c>
      <c r="B135" s="487" t="s">
        <v>2433</v>
      </c>
      <c r="C135" s="487" t="s">
        <v>2433</v>
      </c>
      <c r="D135" s="433" t="s">
        <v>2434</v>
      </c>
      <c r="E135" s="434">
        <v>46101</v>
      </c>
      <c r="F135" s="433" t="s">
        <v>1931</v>
      </c>
      <c r="G135" s="433" t="s">
        <v>194</v>
      </c>
      <c r="H135" s="433" t="s">
        <v>2435</v>
      </c>
      <c r="I135" s="433" t="s">
        <v>1927</v>
      </c>
      <c r="J135" s="498">
        <v>0.77</v>
      </c>
      <c r="K135" s="433">
        <v>0</v>
      </c>
      <c r="L135" s="499">
        <v>0</v>
      </c>
      <c r="M135" s="500">
        <v>0</v>
      </c>
      <c r="N135" s="433">
        <v>0</v>
      </c>
      <c r="O135" s="433">
        <v>0.11947110150666916</v>
      </c>
      <c r="P135" s="497">
        <v>38.372801292120904</v>
      </c>
      <c r="Q135" s="504" t="s">
        <v>1953</v>
      </c>
    </row>
    <row r="136" spans="1:17">
      <c r="A136" s="475">
        <v>46051</v>
      </c>
      <c r="B136" s="487" t="s">
        <v>2436</v>
      </c>
      <c r="C136" s="487" t="s">
        <v>2436</v>
      </c>
      <c r="D136" s="433" t="s">
        <v>2434</v>
      </c>
      <c r="E136" s="434">
        <v>46101</v>
      </c>
      <c r="F136" s="433" t="s">
        <v>1926</v>
      </c>
      <c r="G136" s="433" t="s">
        <v>194</v>
      </c>
      <c r="H136" s="433" t="s">
        <v>2437</v>
      </c>
      <c r="I136" s="433" t="s">
        <v>1927</v>
      </c>
      <c r="J136" s="498">
        <v>0.49</v>
      </c>
      <c r="K136" s="433">
        <v>21.900000000000002</v>
      </c>
      <c r="L136" s="499">
        <v>0</v>
      </c>
      <c r="M136" s="500">
        <v>0</v>
      </c>
      <c r="N136" s="433">
        <v>0</v>
      </c>
      <c r="O136" s="433">
        <v>0.10676508026202816</v>
      </c>
      <c r="P136" s="497">
        <v>43.409937058805603</v>
      </c>
      <c r="Q136" s="504" t="s">
        <v>1953</v>
      </c>
    </row>
    <row r="137" spans="1:17">
      <c r="A137" s="475">
        <v>46051</v>
      </c>
      <c r="B137" s="487" t="s">
        <v>2438</v>
      </c>
      <c r="C137" s="487" t="s">
        <v>2438</v>
      </c>
      <c r="D137" s="433" t="s">
        <v>2434</v>
      </c>
      <c r="E137" s="434">
        <v>46101</v>
      </c>
      <c r="F137" s="433" t="s">
        <v>1926</v>
      </c>
      <c r="G137" s="433" t="s">
        <v>194</v>
      </c>
      <c r="H137" s="433" t="s">
        <v>2439</v>
      </c>
      <c r="I137" s="433" t="s">
        <v>1927</v>
      </c>
      <c r="J137" s="498">
        <v>1.35</v>
      </c>
      <c r="K137" s="433">
        <v>23.49</v>
      </c>
      <c r="L137" s="499">
        <v>0</v>
      </c>
      <c r="M137" s="500">
        <v>0</v>
      </c>
      <c r="N137" s="433">
        <v>0</v>
      </c>
      <c r="O137" s="433">
        <v>0.2727028470635251</v>
      </c>
      <c r="P137" s="497">
        <v>40.629305437882294</v>
      </c>
      <c r="Q137" s="504" t="s">
        <v>1953</v>
      </c>
    </row>
    <row r="138" spans="1:17">
      <c r="A138" s="475">
        <v>46051</v>
      </c>
      <c r="B138" s="487" t="s">
        <v>2440</v>
      </c>
      <c r="C138" s="487" t="s">
        <v>2440</v>
      </c>
      <c r="D138" s="433" t="s">
        <v>2441</v>
      </c>
      <c r="E138" s="434">
        <v>46073</v>
      </c>
      <c r="F138" s="433" t="s">
        <v>1931</v>
      </c>
      <c r="G138" s="433" t="s">
        <v>194</v>
      </c>
      <c r="H138" s="433" t="s">
        <v>2442</v>
      </c>
      <c r="I138" s="433" t="s">
        <v>1927</v>
      </c>
      <c r="J138" s="498">
        <v>0.2</v>
      </c>
      <c r="K138" s="433">
        <v>0</v>
      </c>
      <c r="L138" s="499">
        <v>0</v>
      </c>
      <c r="M138" s="500">
        <v>0</v>
      </c>
      <c r="N138" s="433">
        <v>0</v>
      </c>
      <c r="O138" s="433">
        <v>3.4905511542694737E-2</v>
      </c>
      <c r="P138" s="497">
        <v>50.847804466763897</v>
      </c>
      <c r="Q138" s="504" t="s">
        <v>1953</v>
      </c>
    </row>
    <row r="139" spans="1:17">
      <c r="A139" s="475">
        <v>46051</v>
      </c>
      <c r="B139" s="487" t="s">
        <v>2443</v>
      </c>
      <c r="C139" s="487" t="s">
        <v>2443</v>
      </c>
      <c r="D139" s="433" t="s">
        <v>2441</v>
      </c>
      <c r="E139" s="434">
        <v>46073</v>
      </c>
      <c r="F139" s="433" t="s">
        <v>1931</v>
      </c>
      <c r="G139" s="433" t="s">
        <v>194</v>
      </c>
      <c r="H139" s="433" t="s">
        <v>2444</v>
      </c>
      <c r="I139" s="433" t="s">
        <v>1927</v>
      </c>
      <c r="J139" s="498">
        <v>0.06</v>
      </c>
      <c r="K139" s="433">
        <v>0</v>
      </c>
      <c r="L139" s="499">
        <v>0</v>
      </c>
      <c r="M139" s="500">
        <v>0</v>
      </c>
      <c r="N139" s="433">
        <v>0</v>
      </c>
      <c r="O139" s="433">
        <v>9.3977365582010326E-3</v>
      </c>
      <c r="P139" s="497">
        <v>54.7944937553372</v>
      </c>
      <c r="Q139" s="504" t="s">
        <v>1953</v>
      </c>
    </row>
  </sheetData>
  <conditionalFormatting sqref="T2:T3">
    <cfRule type="cellIs" dxfId="40" priority="41" operator="equal">
      <formula>0</formula>
    </cfRule>
  </conditionalFormatting>
  <conditionalFormatting sqref="W2:W3">
    <cfRule type="cellIs" dxfId="39" priority="40" operator="equal">
      <formula>0</formula>
    </cfRule>
  </conditionalFormatting>
  <conditionalFormatting sqref="B71:B85">
    <cfRule type="duplicateValues" dxfId="38" priority="38" stopIfTrue="1"/>
    <cfRule type="duplicateValues" dxfId="37" priority="38"/>
  </conditionalFormatting>
  <conditionalFormatting sqref="B92:B94">
    <cfRule type="duplicateValues" dxfId="36" priority="37"/>
  </conditionalFormatting>
  <conditionalFormatting sqref="B95:B99 B1 B104:B107 B109:B116 B48:B65 B71:B91">
    <cfRule type="duplicateValues" dxfId="35" priority="35" stopIfTrue="1"/>
    <cfRule type="duplicateValues" dxfId="34" priority="35"/>
  </conditionalFormatting>
  <conditionalFormatting sqref="B95:B99 B1:B17 B104:B107 B109:B116 B48:B65 B71:B91">
    <cfRule type="duplicateValues" dxfId="33" priority="34"/>
  </conditionalFormatting>
  <conditionalFormatting sqref="B95:B99 B104:B107 B109:B116 B1:B65 B71:B91">
    <cfRule type="duplicateValues" dxfId="32" priority="33"/>
  </conditionalFormatting>
  <conditionalFormatting sqref="C2:C85">
    <cfRule type="duplicateValues" dxfId="31" priority="39"/>
  </conditionalFormatting>
  <conditionalFormatting sqref="C6:C70">
    <cfRule type="duplicateValues" dxfId="30" priority="42"/>
  </conditionalFormatting>
  <conditionalFormatting sqref="C71:C85">
    <cfRule type="duplicateValues" dxfId="29" priority="36" stopIfTrue="1"/>
    <cfRule type="duplicateValues" dxfId="28" priority="43"/>
  </conditionalFormatting>
  <conditionalFormatting sqref="C74:C76">
    <cfRule type="duplicateValues" dxfId="27" priority="32" stopIfTrue="1"/>
    <cfRule type="duplicateValues" dxfId="26" priority="44"/>
  </conditionalFormatting>
  <conditionalFormatting sqref="C77:C80">
    <cfRule type="duplicateValues" dxfId="25" priority="30"/>
    <cfRule type="duplicateValues" dxfId="24" priority="31" stopIfTrue="1"/>
  </conditionalFormatting>
  <conditionalFormatting sqref="C86">
    <cfRule type="duplicateValues" dxfId="23" priority="28"/>
    <cfRule type="duplicateValues" dxfId="22" priority="29" stopIfTrue="1"/>
  </conditionalFormatting>
  <conditionalFormatting sqref="C87:C91">
    <cfRule type="duplicateValues" dxfId="21" priority="19"/>
    <cfRule type="duplicateValues" dxfId="20" priority="20" stopIfTrue="1"/>
    <cfRule type="duplicateValues" dxfId="19" priority="21"/>
    <cfRule type="duplicateValues" dxfId="18" priority="22"/>
  </conditionalFormatting>
  <conditionalFormatting sqref="C92:C94 C1:C85">
    <cfRule type="duplicateValues" dxfId="17" priority="24"/>
  </conditionalFormatting>
  <conditionalFormatting sqref="C95:C99">
    <cfRule type="duplicateValues" dxfId="16" priority="14"/>
    <cfRule type="duplicateValues" dxfId="15" priority="15" stopIfTrue="1"/>
    <cfRule type="duplicateValues" dxfId="14" priority="16"/>
    <cfRule type="duplicateValues" dxfId="13" priority="17"/>
  </conditionalFormatting>
  <conditionalFormatting sqref="C104:C107">
    <cfRule type="duplicateValues" dxfId="12" priority="10"/>
    <cfRule type="duplicateValues" dxfId="11" priority="11" stopIfTrue="1"/>
    <cfRule type="duplicateValues" dxfId="10" priority="12"/>
    <cfRule type="duplicateValues" dxfId="9" priority="13"/>
  </conditionalFormatting>
  <conditionalFormatting sqref="C109:C114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15:C116">
    <cfRule type="duplicateValues" dxfId="4" priority="2"/>
    <cfRule type="duplicateValues" dxfId="3" priority="2" stopIfTrue="1"/>
    <cfRule type="duplicateValues" dxfId="2" priority="3"/>
    <cfRule type="duplicateValues" dxfId="1" priority="4"/>
  </conditionalFormatting>
  <conditionalFormatting sqref="L1:M116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Sheet3</vt:lpstr>
      <vt:lpstr>CDS</vt:lpstr>
      <vt:lpstr>Check</vt:lpstr>
      <vt:lpstr>Input_APM</vt:lpstr>
      <vt:lpstr>Input_APM (Zenith)</vt:lpstr>
      <vt:lpstr>Check (Zenith)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2026-01-30T22:02:21Z</dcterms:modified>
  <cp:category/>
  <cp:contentStatus/>
</cp:coreProperties>
</file>