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0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06EFFFB3-1484-45A2-AD21-B65DA1D05DA4}" xr6:coauthVersionLast="47" xr6:coauthVersionMax="47" xr10:uidLastSave="{00000000-0000-0000-0000-000000000000}"/>
  <bookViews>
    <workbookView xWindow="28680" yWindow="-120" windowWidth="29040" windowHeight="15720" tabRatio="881" firstSheet="3" activeTab="8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3" sheetId="531" r:id="rId5"/>
    <sheet name="Sheet2" sheetId="529" r:id="rId6"/>
    <sheet name="Sheet1" sheetId="528" r:id="rId7"/>
    <sheet name="P&amp;L Pivot" sheetId="24" r:id="rId8"/>
    <sheet name="Master P&amp;L" sheetId="1" r:id="rId9"/>
    <sheet name="Options" sheetId="2" r:id="rId10"/>
    <sheet name="Options Price" sheetId="89" r:id="rId11"/>
    <sheet name="Check" sheetId="385" r:id="rId12"/>
    <sheet name="Input_APM" sheetId="384" r:id="rId13"/>
    <sheet name="Input_APM (Zenith)" sheetId="414" r:id="rId14"/>
    <sheet name="Check (Zenith)" sheetId="415" state="hidden" r:id="rId15"/>
    <sheet name="Auxiliar" sheetId="383" r:id="rId16"/>
    <sheet name="CDS" sheetId="54" r:id="rId17"/>
    <sheet name="Posições Custódia" sheetId="425" r:id="rId18"/>
    <sheet name="Check result" sheetId="444" r:id="rId19"/>
    <sheet name="Precificação" sheetId="527" r:id="rId20"/>
  </sheets>
  <functionGroups builtInGroupCount="19"/>
  <definedNames>
    <definedName name="_xlnm._FilterDatabase" localSheetId="11" hidden="1">Check!$A$4:$V$190</definedName>
    <definedName name="_xlnm._FilterDatabase" localSheetId="14" hidden="1">'Check (Zenith)'!$B$4:$E$151</definedName>
    <definedName name="_xlnm._FilterDatabase" localSheetId="12" hidden="1">Input_APM!$K$1:$O$397</definedName>
    <definedName name="_xlnm._FilterDatabase" localSheetId="8" hidden="1">'Master P&amp;L'!$A$11:$AD$56</definedName>
    <definedName name="_xlnm._FilterDatabase" localSheetId="9" hidden="1">Options!$A$3:$BD$29</definedName>
    <definedName name="_xlnm._FilterDatabase" localSheetId="17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8">'Master P&amp;L'!$B$2:$AC$56</definedName>
    <definedName name="_xlnm.Print_Area" localSheetId="7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iterate="1" iterateCount="10000"/>
  <pivotCaches>
    <pivotCache cacheId="77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K22" i="1"/>
  <c r="AG18" i="1"/>
  <c r="AC18" i="1"/>
  <c r="AI18" i="1"/>
  <c r="I18" i="1" a="1"/>
  <c r="I18" i="1" l="1"/>
  <c r="AF18" i="1"/>
  <c r="L18" i="1" a="1"/>
  <c r="AB18" i="1"/>
  <c r="F17" i="2" a="1"/>
  <c r="L18" i="1" l="1"/>
  <c r="F17" i="2"/>
  <c r="E17" i="2" a="1"/>
  <c r="N18" i="1" l="1"/>
  <c r="J18" i="1"/>
  <c r="E17" i="2"/>
  <c r="C17" i="2" a="1"/>
  <c r="P18" i="1" l="1"/>
  <c r="O18" i="1"/>
  <c r="C17" i="2"/>
  <c r="AR17" i="2" a="1"/>
  <c r="AD18" i="1" l="1"/>
  <c r="AR17" i="2"/>
  <c r="C18" i="2" a="1"/>
  <c r="C18" i="2" l="1"/>
  <c r="AR18" i="2" a="1"/>
  <c r="AR18" i="2"/>
  <c r="AC18" i="2" a="1"/>
  <c r="AC18" i="2"/>
  <c r="AC17" i="2" a="1"/>
  <c r="AC17" i="2"/>
  <c r="AN17" i="2" a="1"/>
  <c r="AN17" i="2"/>
  <c r="AN18" i="2" a="1"/>
  <c r="AN18" i="2"/>
  <c r="L17" i="2" a="1"/>
  <c r="L17" i="2"/>
  <c r="L18" i="2" a="1"/>
  <c r="L18" i="2"/>
  <c r="G18" i="2" a="1"/>
  <c r="G18" i="2"/>
  <c r="BA18" i="2"/>
  <c r="BB18" i="2"/>
  <c r="BA17" i="2"/>
  <c r="BB17" i="2"/>
  <c r="T18" i="2" a="1"/>
  <c r="AF18" i="2" a="1"/>
  <c r="T17" i="2" a="1"/>
  <c r="AA18" i="2" a="1"/>
  <c r="AA17" i="2" a="1"/>
  <c r="E18" i="2" a="1"/>
  <c r="Q18" i="2" a="1"/>
  <c r="D17" i="2" a="1"/>
  <c r="Q17" i="2" a="1"/>
  <c r="F18" i="2" a="1"/>
  <c r="G17" i="2" a="1"/>
  <c r="AD18" i="2" a="1"/>
  <c r="P18" i="2" a="1"/>
  <c r="AF17" i="2" a="1"/>
  <c r="AD17" i="2" a="1"/>
  <c r="P17" i="2" a="1"/>
  <c r="D18" i="2" a="1"/>
  <c r="D76" i="89" a="1"/>
  <c r="BC17" i="2" l="1"/>
  <c r="BC18" i="2"/>
  <c r="D18" i="2"/>
  <c r="P17" i="2"/>
  <c r="AD17" i="2"/>
  <c r="AF17" i="2"/>
  <c r="P18" i="2"/>
  <c r="AD18" i="2"/>
  <c r="G17" i="2"/>
  <c r="F18" i="2"/>
  <c r="Q17" i="2"/>
  <c r="D17" i="2"/>
  <c r="Q18" i="2"/>
  <c r="E18" i="2"/>
  <c r="AA17" i="2"/>
  <c r="AA18" i="2"/>
  <c r="T17" i="2"/>
  <c r="AF18" i="2"/>
  <c r="T18" i="2"/>
  <c r="D76" i="89"/>
  <c r="S18" i="2" a="1"/>
  <c r="S17" i="2" a="1"/>
  <c r="E76" i="89" a="1"/>
  <c r="R17" i="2" l="1"/>
  <c r="R18" i="2"/>
  <c r="S17" i="2"/>
  <c r="S18" i="2"/>
  <c r="AP18" i="2"/>
  <c r="O18" i="2"/>
  <c r="U18" i="2"/>
  <c r="O17" i="2"/>
  <c r="U17" i="2"/>
  <c r="AP17" i="2"/>
  <c r="AO17" i="2"/>
  <c r="AO18" i="2"/>
  <c r="E76" i="89"/>
  <c r="Z17" i="2"/>
  <c r="AQ17" i="2" a="1"/>
  <c r="AQ18" i="2" a="1"/>
  <c r="AV17" i="2" a="1"/>
  <c r="Z18" i="2"/>
  <c r="C76" i="89" a="1"/>
  <c r="AV18" i="2" a="1"/>
  <c r="AV18" i="2" l="1"/>
  <c r="AT18" i="2"/>
  <c r="AS18" i="2"/>
  <c r="AL18" i="2"/>
  <c r="AM18" i="2"/>
  <c r="AB18" i="2"/>
  <c r="X18" i="2"/>
  <c r="Y18" i="2" s="1"/>
  <c r="M18" i="2"/>
  <c r="AV17" i="2"/>
  <c r="AQ18" i="2"/>
  <c r="AE18" i="2"/>
  <c r="AQ17" i="2"/>
  <c r="AE17" i="2"/>
  <c r="AT17" i="2"/>
  <c r="AL17" i="2"/>
  <c r="AS17" i="2"/>
  <c r="M17" i="2"/>
  <c r="X17" i="2"/>
  <c r="Y17" i="2" s="1"/>
  <c r="AM17" i="2"/>
  <c r="AB17" i="2"/>
  <c r="C76" i="89"/>
  <c r="V76" i="89" a="1"/>
  <c r="Q18" i="1" l="1"/>
  <c r="T18" i="1" s="1"/>
  <c r="V76" i="89"/>
  <c r="O76" i="89" a="1"/>
  <c r="O76" i="89" l="1"/>
  <c r="T76" i="89" a="1"/>
  <c r="T76" i="89" l="1"/>
  <c r="K76" i="89" a="1"/>
  <c r="K76" i="89"/>
  <c r="L76" i="89" a="1"/>
  <c r="L76" i="89"/>
  <c r="W76" i="89" a="1"/>
  <c r="W76" i="89"/>
  <c r="E75" i="89" a="1"/>
  <c r="E75" i="89"/>
  <c r="D75" i="89" a="1"/>
  <c r="D75" i="89"/>
  <c r="C75" i="89" a="1"/>
  <c r="C75" i="89"/>
  <c r="O75" i="89" a="1"/>
  <c r="O75" i="89"/>
  <c r="T75" i="89" a="1"/>
  <c r="T75" i="89" l="1"/>
  <c r="V75" i="89" a="1"/>
  <c r="V75" i="89"/>
  <c r="W75" i="89" a="1"/>
  <c r="W75" i="89"/>
  <c r="L75" i="89" a="1"/>
  <c r="L75" i="89"/>
  <c r="K75" i="89" a="1"/>
  <c r="K75" i="89"/>
  <c r="F75" i="89" a="1"/>
  <c r="F75" i="89"/>
  <c r="T82" i="89" a="1"/>
  <c r="T82" i="89"/>
  <c r="D82" i="89" a="1"/>
  <c r="D82" i="89"/>
  <c r="V82" i="89" a="1"/>
  <c r="V82" i="89"/>
  <c r="O82" i="89" a="1"/>
  <c r="O82" i="89"/>
  <c r="Z82" i="89" a="1"/>
  <c r="C82" i="89" a="1"/>
  <c r="Z82" i="89" l="1"/>
  <c r="C82" i="89"/>
  <c r="E82" i="89" a="1"/>
  <c r="E82" i="89"/>
  <c r="K82" i="89" a="1"/>
  <c r="K82" i="89"/>
  <c r="W82" i="89" a="1"/>
  <c r="W82" i="89"/>
  <c r="L82" i="89" a="1"/>
  <c r="L82" i="89"/>
  <c r="E81" i="89" a="1"/>
  <c r="E81" i="89"/>
  <c r="D81" i="89" a="1"/>
  <c r="D81" i="89"/>
  <c r="T81" i="89" a="1"/>
  <c r="T81" i="89"/>
  <c r="O81" i="89" a="1"/>
  <c r="O81" i="89"/>
  <c r="C81" i="89" a="1"/>
  <c r="C81" i="89"/>
  <c r="Z81" i="89" a="1"/>
  <c r="Z81" i="89"/>
  <c r="V81" i="89" a="1"/>
  <c r="V81" i="89"/>
  <c r="K81" i="89"/>
  <c r="W81" i="89"/>
  <c r="L81" i="89"/>
  <c r="F81" i="89"/>
  <c r="L22" i="2" a="1"/>
  <c r="L22" i="2"/>
  <c r="F22" i="2" a="1"/>
  <c r="F22" i="2" l="1"/>
  <c r="AR22" i="2" a="1"/>
  <c r="AR22" i="2"/>
  <c r="E22" i="2" a="1"/>
  <c r="E22" i="2"/>
  <c r="AD22" i="2" a="1"/>
  <c r="AD22" i="2"/>
  <c r="AA22" i="2" a="1"/>
  <c r="AA22" i="2"/>
  <c r="D22" i="2" a="1"/>
  <c r="D22" i="2"/>
  <c r="G22" i="2" a="1"/>
  <c r="G22" i="2"/>
  <c r="P22" i="2" a="1"/>
  <c r="P22" i="2"/>
  <c r="Q22" i="2" a="1"/>
  <c r="Q22" i="2"/>
  <c r="AN22" i="2" a="1"/>
  <c r="AN22" i="2"/>
  <c r="AF22" i="2" a="1"/>
  <c r="AF22" i="2"/>
  <c r="BA22" i="2"/>
  <c r="O22" i="2"/>
  <c r="BB22" i="2"/>
  <c r="BA9" i="2"/>
  <c r="BB9" i="2"/>
  <c r="T9" i="2" a="1"/>
  <c r="P9" i="2" a="1"/>
  <c r="AA9" i="2" a="1"/>
  <c r="F9" i="2" a="1"/>
  <c r="D9" i="2" a="1"/>
  <c r="AD9" i="2" a="1"/>
  <c r="G9" i="2" a="1"/>
  <c r="E9" i="2" a="1"/>
  <c r="AF9" i="2" a="1"/>
  <c r="Q9" i="2" a="1"/>
  <c r="L9" i="2" a="1"/>
  <c r="C9" i="2" a="1"/>
  <c r="AR9" i="2" a="1"/>
  <c r="AN9" i="2" a="1"/>
  <c r="C186" i="89" a="1"/>
  <c r="BC9" i="2" l="1"/>
  <c r="BC22" i="2"/>
  <c r="AN9" i="2"/>
  <c r="AR9" i="2"/>
  <c r="C9" i="2"/>
  <c r="L9" i="2"/>
  <c r="Q9" i="2"/>
  <c r="AF9" i="2"/>
  <c r="E9" i="2"/>
  <c r="G9" i="2"/>
  <c r="AD9" i="2"/>
  <c r="D9" i="2"/>
  <c r="F9" i="2"/>
  <c r="AA9" i="2"/>
  <c r="P9" i="2"/>
  <c r="T9" i="2"/>
  <c r="C186" i="89"/>
  <c r="S22" i="2" a="1"/>
  <c r="S9" i="2" a="1"/>
  <c r="O186" i="89" a="1"/>
  <c r="R22" i="2" l="1"/>
  <c r="S22" i="2"/>
  <c r="AO22" i="2" s="1"/>
  <c r="S9" i="2"/>
  <c r="R9" i="2"/>
  <c r="O9" i="2"/>
  <c r="AP9" i="2"/>
  <c r="U9" i="2"/>
  <c r="AO9" i="2"/>
  <c r="O186" i="89"/>
  <c r="AQ22" i="2" a="1"/>
  <c r="Z22" i="2"/>
  <c r="AC22" i="2" a="1"/>
  <c r="AV22" i="2" a="1"/>
  <c r="Z9" i="2"/>
  <c r="AC9" i="2" a="1"/>
  <c r="AV9" i="2" a="1"/>
  <c r="AQ9" i="2" a="1"/>
  <c r="V186" i="89" a="1"/>
  <c r="AV22" i="2" l="1"/>
  <c r="AC22" i="2"/>
  <c r="AE22" i="2" s="1"/>
  <c r="M22" i="2"/>
  <c r="X22" i="2"/>
  <c r="Y22" i="2" s="1"/>
  <c r="AM22" i="2"/>
  <c r="AL22" i="2"/>
  <c r="AT22" i="2"/>
  <c r="AS22" i="2"/>
  <c r="AB22" i="2"/>
  <c r="AQ22" i="2"/>
  <c r="AP22" i="2"/>
  <c r="U22" i="2"/>
  <c r="AQ9" i="2"/>
  <c r="AV9" i="2"/>
  <c r="AC9" i="2"/>
  <c r="AE9" i="2" s="1"/>
  <c r="AT9" i="2"/>
  <c r="AS9" i="2"/>
  <c r="AL9" i="2"/>
  <c r="AB9" i="2"/>
  <c r="X9" i="2"/>
  <c r="Y9" i="2" s="1"/>
  <c r="AM9" i="2"/>
  <c r="M9" i="2"/>
  <c r="V186" i="89"/>
  <c r="T186" i="89" a="1"/>
  <c r="T186" i="89" l="1"/>
  <c r="E186" i="89" a="1"/>
  <c r="E186" i="89"/>
  <c r="W186" i="89" a="1"/>
  <c r="W186" i="89"/>
  <c r="L186" i="89" a="1"/>
  <c r="L186" i="89"/>
  <c r="K186" i="89" a="1"/>
  <c r="K186" i="89"/>
  <c r="F186" i="89" a="1"/>
  <c r="F186" i="89"/>
  <c r="AB153" i="89" a="1"/>
  <c r="AB153" i="89"/>
  <c r="S153" i="89" a="1"/>
  <c r="S153" i="89"/>
  <c r="R153" i="89" a="1"/>
  <c r="D153" i="89" a="1"/>
  <c r="R153" i="89" l="1"/>
  <c r="D153" i="89"/>
  <c r="T153" i="89" a="1"/>
  <c r="T153" i="89"/>
  <c r="V153" i="89" a="1"/>
  <c r="V153" i="89"/>
  <c r="C153" i="89" a="1"/>
  <c r="C153" i="89"/>
  <c r="E153" i="89" a="1"/>
  <c r="E153" i="89"/>
  <c r="F153" i="89" a="1"/>
  <c r="F153" i="89"/>
  <c r="W153" i="89" a="1"/>
  <c r="W153" i="89"/>
  <c r="L153" i="89" a="1"/>
  <c r="L153" i="89"/>
  <c r="K153" i="89" a="1"/>
  <c r="K153" i="89"/>
  <c r="V188" i="89" a="1"/>
  <c r="V188" i="89"/>
  <c r="O188" i="89" a="1"/>
  <c r="O188" i="89"/>
  <c r="T188" i="89" a="1"/>
  <c r="T188" i="89"/>
  <c r="C188" i="89" a="1"/>
  <c r="C188" i="89"/>
  <c r="E188" i="89" a="1"/>
  <c r="E188" i="89"/>
  <c r="F188" i="89" a="1"/>
  <c r="F188" i="89"/>
  <c r="W188" i="89" a="1"/>
  <c r="W188" i="89"/>
  <c r="K188" i="89" a="1"/>
  <c r="K188" i="89"/>
  <c r="L188" i="89" a="1"/>
  <c r="L188" i="89"/>
  <c r="V187" i="89" a="1"/>
  <c r="V187" i="89"/>
  <c r="T187" i="89" a="1"/>
  <c r="T187" i="89"/>
  <c r="O187" i="89" a="1"/>
  <c r="O187" i="89"/>
  <c r="C187" i="89" a="1"/>
  <c r="C187" i="89" l="1"/>
  <c r="E187" i="89" a="1"/>
  <c r="E187" i="89"/>
  <c r="W187" i="89" a="1"/>
  <c r="W187" i="89"/>
  <c r="L187" i="89" a="1"/>
  <c r="L187" i="89"/>
  <c r="K187" i="89" a="1"/>
  <c r="K187" i="89"/>
  <c r="F187" i="89" a="1"/>
  <c r="F187" i="89"/>
  <c r="H188" i="89"/>
  <c r="H186" i="89"/>
  <c r="AI47" i="1"/>
  <c r="AF47" i="1"/>
  <c r="L47" i="1" a="1"/>
  <c r="AG47" i="1"/>
  <c r="AB47" i="1"/>
  <c r="I47" i="1" a="1"/>
  <c r="AC47" i="1" a="1"/>
  <c r="D13" i="89" a="1"/>
  <c r="AC47" i="1" l="1"/>
  <c r="I47" i="1"/>
  <c r="L47" i="1"/>
  <c r="D13" i="89"/>
  <c r="K50" i="1" a="1"/>
  <c r="N47" i="1" l="1"/>
  <c r="J47" i="1"/>
  <c r="K50" i="1"/>
  <c r="K44" i="1" a="1"/>
  <c r="K44" i="1" l="1"/>
  <c r="K26" i="1" a="1"/>
  <c r="K26" i="1" l="1"/>
  <c r="E5" i="1" a="1"/>
  <c r="E5" i="1"/>
  <c r="AC32" i="1" a="1"/>
  <c r="AC32" i="1"/>
  <c r="AF37" i="1"/>
  <c r="AF36" i="1"/>
  <c r="AI32" i="1"/>
  <c r="K41" i="1" a="1"/>
  <c r="K41" i="1"/>
  <c r="AB27" i="1"/>
  <c r="AB26" i="1"/>
  <c r="K17" i="1" a="1"/>
  <c r="K17" i="1"/>
  <c r="AF12" i="1"/>
  <c r="AI37" i="1"/>
  <c r="AI36" i="1"/>
  <c r="AC12" i="1"/>
  <c r="AC43" i="1" a="1"/>
  <c r="AC43" i="1"/>
  <c r="AC42" i="1" a="1"/>
  <c r="AC42" i="1"/>
  <c r="K32" i="1" a="1"/>
  <c r="K32" i="1"/>
  <c r="AI17" i="1"/>
  <c r="AI14" i="1"/>
  <c r="AB37" i="1"/>
  <c r="AB36" i="1"/>
  <c r="AC27" i="1" a="1"/>
  <c r="AC27" i="1"/>
  <c r="AC26" i="1" a="1"/>
  <c r="AC26" i="1"/>
  <c r="K42" i="1" a="1"/>
  <c r="K42" i="1"/>
  <c r="AF14" i="1"/>
  <c r="AI12" i="1"/>
  <c r="AF41" i="1"/>
  <c r="AF40" i="1"/>
  <c r="AF17" i="1"/>
  <c r="AC37" i="1" a="1"/>
  <c r="AC37" i="1"/>
  <c r="AC36" i="1" a="1"/>
  <c r="AC36" i="1"/>
  <c r="AF27" i="1"/>
  <c r="AF26" i="1"/>
  <c r="AF50" i="1"/>
  <c r="AB41" i="1"/>
  <c r="AB40" i="1"/>
  <c r="AI45" i="1"/>
  <c r="AI44" i="1"/>
  <c r="K12" i="1" a="1"/>
  <c r="K12" i="1"/>
  <c r="AC14" i="1"/>
  <c r="AI50" i="1"/>
  <c r="AB50" i="1"/>
  <c r="AC45" i="1" a="1"/>
  <c r="AC45" i="1"/>
  <c r="AC44" i="1" a="1"/>
  <c r="AC44" i="1"/>
  <c r="AF43" i="1"/>
  <c r="AF42" i="1"/>
  <c r="AC41" i="1" a="1"/>
  <c r="AC41" i="1"/>
  <c r="AC40" i="1" a="1"/>
  <c r="AC40" i="1"/>
  <c r="AB14" i="1"/>
  <c r="AB17" i="1"/>
  <c r="AB45" i="1"/>
  <c r="AB44" i="1"/>
  <c r="AI43" i="1"/>
  <c r="AI42" i="1"/>
  <c r="AF45" i="1"/>
  <c r="AF44" i="1"/>
  <c r="K14" i="1" a="1"/>
  <c r="K14" i="1"/>
  <c r="AC50" i="1" a="1"/>
  <c r="AC50" i="1"/>
  <c r="AI41" i="1"/>
  <c r="AI40" i="1"/>
  <c r="AB43" i="1"/>
  <c r="AB42" i="1"/>
  <c r="AB12" i="1"/>
  <c r="AI27" i="1"/>
  <c r="AI26" i="1"/>
  <c r="AC17" i="1"/>
  <c r="AB32" i="1"/>
  <c r="AF32" i="1"/>
  <c r="K36" i="1" a="1"/>
  <c r="K36" i="1"/>
  <c r="AG28" i="1"/>
  <c r="AG20" i="1"/>
  <c r="AG19" i="1"/>
  <c r="AG45" i="1"/>
  <c r="AG44" i="1"/>
  <c r="AG17" i="1"/>
  <c r="AG37" i="1"/>
  <c r="AG36" i="1"/>
  <c r="AG55" i="1"/>
  <c r="AG49" i="1"/>
  <c r="AG48" i="1"/>
  <c r="AG52" i="1"/>
  <c r="AG46" i="1"/>
  <c r="AG12" i="1"/>
  <c r="AC39" i="1" a="1"/>
  <c r="AC39" i="1"/>
  <c r="AC38" i="1" a="1"/>
  <c r="AC38" i="1"/>
  <c r="AB55" i="1"/>
  <c r="K38" i="1" a="1"/>
  <c r="K38" i="1"/>
  <c r="AB23" i="1"/>
  <c r="K55" i="1" a="1"/>
  <c r="K55" i="1"/>
  <c r="AF55" i="1"/>
  <c r="AF39" i="1"/>
  <c r="AF38" i="1"/>
  <c r="AB13" i="1"/>
  <c r="AC53" i="1" a="1"/>
  <c r="AC53" i="1"/>
  <c r="AC23" i="1" a="1"/>
  <c r="AC23" i="1"/>
  <c r="AI23" i="1"/>
  <c r="AI53" i="1"/>
  <c r="AI55" i="1"/>
  <c r="AB39" i="1"/>
  <c r="AB38" i="1"/>
  <c r="AI13" i="1"/>
  <c r="K53" i="1" a="1"/>
  <c r="K53" i="1"/>
  <c r="AC55" i="1"/>
  <c r="AF13" i="1"/>
  <c r="AC13" i="1"/>
  <c r="K23" i="1" a="1"/>
  <c r="K23" i="1"/>
  <c r="AF23" i="1"/>
  <c r="K13" i="1" a="1"/>
  <c r="K13" i="1"/>
  <c r="AB53" i="1"/>
  <c r="AI39" i="1"/>
  <c r="AI38" i="1"/>
  <c r="AF53" i="1"/>
  <c r="AG14" i="1"/>
  <c r="AG29" i="1"/>
  <c r="AG43" i="1"/>
  <c r="AG42" i="1"/>
  <c r="AG35" i="1"/>
  <c r="AG34" i="1"/>
  <c r="AG22" i="1"/>
  <c r="AG21" i="1"/>
  <c r="AG27" i="1"/>
  <c r="AG26" i="1"/>
  <c r="AG54" i="1"/>
  <c r="AG31" i="1"/>
  <c r="AG30" i="1"/>
  <c r="AG32" i="1"/>
  <c r="K3" i="1" a="1"/>
  <c r="K3" i="1"/>
  <c r="K6" i="1" a="1"/>
  <c r="K6" i="1"/>
  <c r="K9" i="1" a="1"/>
  <c r="K9" i="1"/>
  <c r="K1" i="1"/>
  <c r="E8" i="1" a="1"/>
  <c r="E8" i="1"/>
  <c r="K8" i="1" a="1"/>
  <c r="K8" i="1"/>
  <c r="K7" i="1"/>
  <c r="E4" i="1" a="1"/>
  <c r="E4" i="1"/>
  <c r="K4" i="1" a="1"/>
  <c r="K4" i="1"/>
  <c r="X3" i="1"/>
  <c r="AI56" i="1"/>
  <c r="AC54" i="1"/>
  <c r="AI31" i="1"/>
  <c r="AI30" i="1"/>
  <c r="AC31" i="1" a="1"/>
  <c r="AC31" i="1"/>
  <c r="AC30" i="1" a="1"/>
  <c r="AC30" i="1"/>
  <c r="K54" i="1" a="1"/>
  <c r="K54" i="1"/>
  <c r="AC56" i="1"/>
  <c r="K30" i="1" a="1"/>
  <c r="K30" i="1"/>
  <c r="K2" i="1"/>
  <c r="AC20" i="1"/>
  <c r="AC19" i="1"/>
  <c r="K56" i="1" a="1"/>
  <c r="K56" i="1"/>
  <c r="AI54" i="1"/>
  <c r="AI20" i="1"/>
  <c r="AI19" i="1"/>
  <c r="K5" i="1" a="1"/>
  <c r="K5" i="1"/>
  <c r="K19" i="1" a="1"/>
  <c r="K19" i="1"/>
  <c r="K28" i="1" a="1"/>
  <c r="K28" i="1"/>
  <c r="E9" i="1"/>
  <c r="K24" i="1" a="1"/>
  <c r="K24" i="1"/>
  <c r="E6" i="1" a="1"/>
  <c r="E6" i="1"/>
  <c r="K51" i="1" a="1"/>
  <c r="K51" i="1"/>
  <c r="E2" i="1" a="1"/>
  <c r="E2" i="1"/>
  <c r="AI29" i="1"/>
  <c r="AI25" i="1"/>
  <c r="AI24" i="1"/>
  <c r="K29" i="1" a="1"/>
  <c r="K29" i="1"/>
  <c r="E7" i="1" a="1"/>
  <c r="E7" i="1"/>
  <c r="AI49" i="1"/>
  <c r="AI48" i="1"/>
  <c r="AI51" i="1"/>
  <c r="K48" i="1" a="1"/>
  <c r="K48" i="1"/>
  <c r="E3" i="1"/>
  <c r="AI28" i="1"/>
  <c r="AG25" i="1"/>
  <c r="AG24" i="1"/>
  <c r="AG13" i="1"/>
  <c r="AG50" i="1"/>
  <c r="AG51" i="1"/>
  <c r="AG53" i="1"/>
  <c r="AG33" i="1"/>
  <c r="AG39" i="1"/>
  <c r="AG38" i="1"/>
  <c r="AG23" i="1"/>
  <c r="AG56" i="1"/>
  <c r="AG41" i="1"/>
  <c r="AG40" i="1"/>
  <c r="AI33" i="1"/>
  <c r="AI35" i="1"/>
  <c r="AI34" i="1"/>
  <c r="AC35" i="1" a="1"/>
  <c r="AC35" i="1"/>
  <c r="AC34" i="1" a="1"/>
  <c r="AC34" i="1"/>
  <c r="AF33" i="1"/>
  <c r="AB33" i="1"/>
  <c r="AB35" i="1"/>
  <c r="AB34" i="1"/>
  <c r="AC33" i="1" a="1"/>
  <c r="AC33" i="1"/>
  <c r="AF35" i="1"/>
  <c r="AF34" i="1"/>
  <c r="K46" i="1" a="1"/>
  <c r="K46" i="1"/>
  <c r="E1" i="1"/>
  <c r="AI46" i="1"/>
  <c r="AC46" i="1" a="1"/>
  <c r="AC46" i="1"/>
  <c r="AC52" i="1" a="1"/>
  <c r="AC52" i="1"/>
  <c r="AI52" i="1"/>
  <c r="AB46" i="1"/>
  <c r="AB52" i="1"/>
  <c r="K52" i="1" a="1"/>
  <c r="K52" i="1"/>
  <c r="L35" i="1" a="1"/>
  <c r="L35" i="1"/>
  <c r="L34" i="1" a="1"/>
  <c r="L34" i="1"/>
  <c r="L33" i="1" a="1"/>
  <c r="L33" i="1"/>
  <c r="L32" i="1" a="1"/>
  <c r="L32" i="1"/>
  <c r="L45" i="1" a="1"/>
  <c r="L45" i="1"/>
  <c r="L44" i="1" a="1"/>
  <c r="L44" i="1"/>
  <c r="AF22" i="1"/>
  <c r="AF21" i="1"/>
  <c r="AC22" i="1"/>
  <c r="AC21" i="1"/>
  <c r="AI22" i="1"/>
  <c r="AI21" i="1"/>
  <c r="K21" i="1" a="1"/>
  <c r="K21" i="1"/>
  <c r="K10" i="1"/>
  <c r="E10" i="1"/>
  <c r="AF10" i="1" a="1"/>
  <c r="AF10" i="1"/>
  <c r="AB16" i="1"/>
  <c r="AB15" i="1"/>
  <c r="AF16" i="1"/>
  <c r="AF15" i="1"/>
  <c r="AI16" i="1"/>
  <c r="AI15" i="1"/>
  <c r="AG16" i="1"/>
  <c r="AG15" i="1"/>
  <c r="AC16" i="1"/>
  <c r="AC15" i="1"/>
  <c r="I39" i="1" a="1"/>
  <c r="I39" i="1"/>
  <c r="I43" i="1" a="1"/>
  <c r="I43" i="1"/>
  <c r="I40" i="1" a="1"/>
  <c r="I40" i="1"/>
  <c r="I27" i="1" a="1"/>
  <c r="I27" i="1"/>
  <c r="I53" i="1" a="1"/>
  <c r="I53" i="1"/>
  <c r="C8" i="1" a="1"/>
  <c r="C8" i="1"/>
  <c r="I5" i="1" a="1"/>
  <c r="I5" i="1"/>
  <c r="I52" i="1" a="1"/>
  <c r="I52" i="1"/>
  <c r="I2" i="1" a="1"/>
  <c r="I2" i="1"/>
  <c r="I28" i="1" a="1"/>
  <c r="I28" i="1"/>
  <c r="I32" i="1" a="1"/>
  <c r="I32" i="1"/>
  <c r="C9" i="1" a="1"/>
  <c r="C9" i="1"/>
  <c r="AC3" i="1" a="1"/>
  <c r="AC3" i="1"/>
  <c r="C7" i="1" a="1"/>
  <c r="C7" i="1"/>
  <c r="I1" i="1" a="1"/>
  <c r="I1" i="1"/>
  <c r="I50" i="1" a="1"/>
  <c r="I50" i="1"/>
  <c r="C6" i="1" a="1"/>
  <c r="C6" i="1"/>
  <c r="I7" i="1" a="1"/>
  <c r="I7" i="1"/>
  <c r="I29" i="1" a="1"/>
  <c r="I29" i="1"/>
  <c r="C10" i="1" a="1"/>
  <c r="C10" i="1"/>
  <c r="I33" i="1" a="1"/>
  <c r="I33" i="1"/>
  <c r="I3" i="1" a="1"/>
  <c r="I3" i="1"/>
  <c r="I23" i="1" a="1"/>
  <c r="I23" i="1"/>
  <c r="I12" i="1" a="1"/>
  <c r="I12" i="1"/>
  <c r="I8" i="1" a="1"/>
  <c r="I8" i="1"/>
  <c r="C1" i="1" a="1"/>
  <c r="C1" i="1"/>
  <c r="I34" i="1" a="1"/>
  <c r="I34" i="1"/>
  <c r="I46" i="1" a="1"/>
  <c r="I46" i="1"/>
  <c r="I55" i="1" a="1"/>
  <c r="I55" i="1"/>
  <c r="I9" i="1" a="1"/>
  <c r="I9" i="1"/>
  <c r="I56" i="1" a="1"/>
  <c r="I56" i="1"/>
  <c r="C5" i="1" a="1"/>
  <c r="C5" i="1"/>
  <c r="I54" i="1" a="1"/>
  <c r="I54" i="1"/>
  <c r="I10" i="1" a="1"/>
  <c r="I10" i="1"/>
  <c r="C2" i="1" a="1"/>
  <c r="C2" i="1"/>
  <c r="I4" i="1" a="1"/>
  <c r="I4" i="1"/>
  <c r="I6" i="1" a="1"/>
  <c r="I6" i="1"/>
  <c r="C4" i="1" a="1"/>
  <c r="C4" i="1"/>
  <c r="I45" i="1" a="1"/>
  <c r="I45" i="1"/>
  <c r="I13" i="1" a="1"/>
  <c r="I13" i="1"/>
  <c r="C3" i="1" a="1"/>
  <c r="C3" i="1"/>
  <c r="I17" i="1" a="1"/>
  <c r="I17" i="1"/>
  <c r="I16" i="1" a="1"/>
  <c r="I16" i="1"/>
  <c r="I22" i="1" a="1"/>
  <c r="I22" i="1"/>
  <c r="I20" i="1" a="1"/>
  <c r="I20" i="1"/>
  <c r="I37" i="1" a="1"/>
  <c r="I37" i="1"/>
  <c r="AB2" i="1" a="1"/>
  <c r="AB2" i="1"/>
  <c r="I31" i="1" a="1"/>
  <c r="I31" i="1"/>
  <c r="AD2" i="1" a="1"/>
  <c r="AD2" i="1"/>
  <c r="AC2" i="1" a="1"/>
  <c r="AC2" i="1"/>
  <c r="I25" i="1" a="1"/>
  <c r="I25" i="1"/>
  <c r="I49" i="1" a="1"/>
  <c r="I49" i="1"/>
  <c r="AF49" i="1"/>
  <c r="L49" i="1" a="1"/>
  <c r="AC49" i="1" a="1"/>
  <c r="AB49" i="1"/>
  <c r="AC49" i="1" l="1"/>
  <c r="L49" i="1"/>
  <c r="N49" i="1" l="1"/>
  <c r="J49" i="1"/>
  <c r="T49" i="1" l="1"/>
  <c r="I48" i="1" a="1"/>
  <c r="I48" i="1"/>
  <c r="L43" i="1" a="1"/>
  <c r="L40" i="1" a="1"/>
  <c r="L27" i="1" a="1"/>
  <c r="L39" i="1" a="1"/>
  <c r="L39" i="1" l="1"/>
  <c r="L27" i="1"/>
  <c r="L40" i="1"/>
  <c r="L43" i="1"/>
  <c r="N27" i="1" l="1"/>
  <c r="J27" i="1"/>
  <c r="J39" i="1"/>
  <c r="N39" i="1"/>
  <c r="N43" i="1"/>
  <c r="J43" i="1"/>
  <c r="N40" i="1"/>
  <c r="J40" i="1"/>
  <c r="T40" i="1" l="1"/>
  <c r="T43" i="1"/>
  <c r="T39" i="1"/>
  <c r="T27" i="1"/>
  <c r="I38" i="1" a="1"/>
  <c r="I38" i="1"/>
  <c r="I26" i="1" a="1"/>
  <c r="I26" i="1"/>
  <c r="I42" i="1" a="1"/>
  <c r="I42" i="1"/>
  <c r="I41" i="1" a="1"/>
  <c r="I41" i="1"/>
  <c r="AF25" i="1"/>
  <c r="AC25" i="1" a="1"/>
  <c r="AB25" i="1"/>
  <c r="L25" i="1" a="1"/>
  <c r="L25" i="1" l="1"/>
  <c r="AC25" i="1"/>
  <c r="N25" i="1" l="1"/>
  <c r="J25" i="1"/>
  <c r="T25" i="1" l="1"/>
  <c r="AB197" i="89" a="1"/>
  <c r="AB197" i="89"/>
  <c r="AB196" i="89" a="1"/>
  <c r="AB196" i="89"/>
  <c r="AB195" i="89" a="1"/>
  <c r="AB195" i="89"/>
  <c r="AB8" i="89" a="1"/>
  <c r="AB8" i="89"/>
  <c r="AB7" i="89" a="1"/>
  <c r="AB7" i="89"/>
  <c r="AB63" i="89" a="1"/>
  <c r="AB63" i="89"/>
  <c r="AB62" i="89" a="1"/>
  <c r="AB62" i="89"/>
  <c r="AB129" i="89" a="1"/>
  <c r="AB129" i="89"/>
  <c r="AB234" i="89" a="1"/>
  <c r="AB234" i="89"/>
  <c r="AB108" i="89" a="1"/>
  <c r="AB108" i="89"/>
  <c r="AB116" i="89" a="1"/>
  <c r="AB116" i="89"/>
  <c r="AB115" i="89" a="1"/>
  <c r="AB115" i="89"/>
  <c r="AB123" i="89" a="1"/>
  <c r="AB123" i="89"/>
  <c r="AB122" i="89" a="1"/>
  <c r="AB122" i="89"/>
  <c r="AB40" i="89" a="1"/>
  <c r="AB40" i="89"/>
  <c r="AB39" i="89" a="1"/>
  <c r="AB39" i="89"/>
  <c r="AB34" i="89" a="1"/>
  <c r="AB34" i="89"/>
  <c r="AB33" i="89" a="1"/>
  <c r="AB33" i="89"/>
  <c r="AB237" i="89" a="1"/>
  <c r="AB237" i="89"/>
  <c r="AB138" i="89" a="1"/>
  <c r="AB138" i="89"/>
  <c r="AB137" i="89" a="1"/>
  <c r="AB137" i="89"/>
  <c r="AB136" i="89" a="1"/>
  <c r="AB136" i="89"/>
  <c r="AB96" i="89" a="1"/>
  <c r="AB96" i="89"/>
  <c r="AB95" i="89" a="1"/>
  <c r="AB95" i="89"/>
  <c r="AB102" i="89" a="1"/>
  <c r="AB102" i="89"/>
  <c r="AB101" i="89" a="1"/>
  <c r="AB101" i="89"/>
  <c r="AB50" i="89" a="1"/>
  <c r="AB50" i="89"/>
  <c r="AB49" i="89" a="1"/>
  <c r="AB49" i="89"/>
  <c r="AB145" i="89" a="1"/>
  <c r="AB145" i="89"/>
  <c r="AB144" i="89" a="1"/>
  <c r="AB144" i="89"/>
  <c r="AB236" i="89" a="1"/>
  <c r="AB236" i="89"/>
  <c r="AB109" i="89" a="1"/>
  <c r="AB109" i="89"/>
  <c r="AB225" i="89" a="1"/>
  <c r="AB225" i="89"/>
  <c r="AB224" i="89" a="1"/>
  <c r="AB224" i="89"/>
  <c r="AB223" i="89" a="1"/>
  <c r="AB223" i="89"/>
  <c r="AB222" i="89" a="1"/>
  <c r="AB222" i="89"/>
  <c r="AB27" i="89" a="1"/>
  <c r="AB27" i="89"/>
  <c r="AB233" i="89" a="1"/>
  <c r="AB233" i="89"/>
  <c r="AB235" i="89" a="1"/>
  <c r="AB235" i="89"/>
  <c r="AB213" i="89" a="1"/>
  <c r="AB213" i="89"/>
  <c r="AB212" i="89" a="1"/>
  <c r="AB212" i="89"/>
  <c r="AB211" i="89" a="1"/>
  <c r="AB211" i="89"/>
  <c r="AB205" i="89" a="1"/>
  <c r="AB205" i="89"/>
  <c r="AB204" i="89" a="1"/>
  <c r="AB204" i="89"/>
  <c r="AB203" i="89" a="1"/>
  <c r="AB203" i="89"/>
  <c r="AB56" i="89" a="1"/>
  <c r="AB56" i="89"/>
  <c r="AB55" i="89" a="1"/>
  <c r="AB55" i="89"/>
  <c r="AB69" i="89" a="1"/>
  <c r="AB69" i="89"/>
  <c r="AB68" i="89" a="1"/>
  <c r="AB68" i="89"/>
  <c r="AB90" i="89" a="1"/>
  <c r="AB90" i="89"/>
  <c r="AB89" i="89" a="1"/>
  <c r="AB89" i="89"/>
  <c r="AB20" i="89" a="1"/>
  <c r="AB20" i="89"/>
  <c r="AB19" i="89" a="1"/>
  <c r="AB19" i="89"/>
  <c r="S197" i="89" a="1"/>
  <c r="S197" i="89"/>
  <c r="R197" i="89" a="1"/>
  <c r="S108" i="89" a="1"/>
  <c r="R197" i="89" l="1"/>
  <c r="S108" i="89"/>
  <c r="R108" i="89" a="1"/>
  <c r="S129" i="89" a="1"/>
  <c r="R108" i="89" l="1"/>
  <c r="S129" i="89"/>
  <c r="R129" i="89" a="1"/>
  <c r="S123" i="89" a="1"/>
  <c r="R129" i="89" l="1"/>
  <c r="S123" i="89"/>
  <c r="R123" i="89" a="1"/>
  <c r="S116" i="89" a="1"/>
  <c r="R123" i="89" l="1"/>
  <c r="S116" i="89"/>
  <c r="R116" i="89" a="1"/>
  <c r="S234" i="89" a="1"/>
  <c r="R116" i="89" l="1"/>
  <c r="S234" i="89"/>
  <c r="R234" i="89" a="1"/>
  <c r="R234" i="89" l="1"/>
  <c r="D160" i="89" a="1"/>
  <c r="D160" i="89"/>
  <c r="V96" i="89" a="1"/>
  <c r="V96" i="89"/>
  <c r="E102" i="89" a="1"/>
  <c r="E102" i="89"/>
  <c r="C129" i="89" a="1"/>
  <c r="C129" i="89"/>
  <c r="T129" i="89" a="1"/>
  <c r="T129" i="89"/>
  <c r="V115" i="89" a="1"/>
  <c r="V115" i="89"/>
  <c r="E108" i="89" a="1"/>
  <c r="E108" i="89"/>
  <c r="C115" i="89" a="1"/>
  <c r="C115" i="89"/>
  <c r="C123" i="89" a="1"/>
  <c r="C123" i="89"/>
  <c r="D123" i="89" a="1"/>
  <c r="D123" i="89"/>
  <c r="E137" i="89" a="1"/>
  <c r="E137" i="89"/>
  <c r="V102" i="89" a="1"/>
  <c r="V102" i="89"/>
  <c r="C137" i="89" a="1"/>
  <c r="C137" i="89"/>
  <c r="E160" i="89" a="1"/>
  <c r="E160" i="89"/>
  <c r="D102" i="89" a="1"/>
  <c r="D102" i="89"/>
  <c r="T160" i="89" a="1"/>
  <c r="T160" i="89"/>
  <c r="D115" i="89" a="1"/>
  <c r="D115" i="89"/>
  <c r="E122" i="89" a="1"/>
  <c r="E122" i="89"/>
  <c r="D116" i="89" a="1"/>
  <c r="D116" i="89"/>
  <c r="E116" i="89" a="1"/>
  <c r="E116" i="89"/>
  <c r="V137" i="89" a="1"/>
  <c r="V137" i="89"/>
  <c r="C160" i="89" a="1"/>
  <c r="C160" i="89"/>
  <c r="S160" i="89" a="1"/>
  <c r="AB160" i="89" a="1"/>
  <c r="E96" i="89" a="1"/>
  <c r="AB160" i="89" l="1"/>
  <c r="S160" i="89"/>
  <c r="E96" i="89"/>
  <c r="R160" i="89" a="1"/>
  <c r="T102" i="89" a="1"/>
  <c r="R160" i="89" l="1"/>
  <c r="T102" i="89"/>
  <c r="T123" i="89" a="1"/>
  <c r="T123" i="89"/>
  <c r="E129" i="89" a="1"/>
  <c r="E129" i="89"/>
  <c r="E123" i="89" a="1"/>
  <c r="E123" i="89"/>
  <c r="T108" i="89" a="1"/>
  <c r="T108" i="89"/>
  <c r="C116" i="89" a="1"/>
  <c r="C116" i="89"/>
  <c r="D108" i="89" a="1"/>
  <c r="D108" i="89"/>
  <c r="T96" i="89" a="1"/>
  <c r="T96" i="89"/>
  <c r="T122" i="89" a="1"/>
  <c r="T122" i="89"/>
  <c r="E115" i="89" a="1"/>
  <c r="E115" i="89"/>
  <c r="D137" i="89" a="1"/>
  <c r="D137" i="89"/>
  <c r="V129" i="89" a="1"/>
  <c r="V129" i="89"/>
  <c r="V116" i="89" a="1"/>
  <c r="V116" i="89"/>
  <c r="V108" i="89" a="1"/>
  <c r="V108" i="89"/>
  <c r="C102" i="89" a="1"/>
  <c r="C102" i="89"/>
  <c r="C96" i="89" a="1"/>
  <c r="C96" i="89"/>
  <c r="V123" i="89" a="1"/>
  <c r="V123" i="89"/>
  <c r="C108" i="89" a="1"/>
  <c r="C108" i="89"/>
  <c r="V122" i="89" a="1"/>
  <c r="V122" i="89"/>
  <c r="V160" i="89" a="1"/>
  <c r="V160" i="89"/>
  <c r="T115" i="89" a="1"/>
  <c r="T115" i="89"/>
  <c r="D96" i="89" a="1"/>
  <c r="D96" i="89"/>
  <c r="T137" i="89" a="1"/>
  <c r="T137" i="89"/>
  <c r="C122" i="89" a="1"/>
  <c r="C122" i="89"/>
  <c r="Z102" i="89" a="1"/>
  <c r="Z102" i="89"/>
  <c r="D129" i="89" a="1"/>
  <c r="D129" i="89"/>
  <c r="D122" i="89" a="1"/>
  <c r="D122" i="89"/>
  <c r="T116" i="89" a="1"/>
  <c r="T116" i="89"/>
  <c r="S49" i="89" a="1"/>
  <c r="S49" i="89" l="1"/>
  <c r="R49" i="89" a="1"/>
  <c r="R49" i="89" l="1"/>
  <c r="S19" i="89" a="1"/>
  <c r="S19" i="89" l="1"/>
  <c r="R19" i="89" a="1"/>
  <c r="S109" i="89" a="1"/>
  <c r="R19" i="89" l="1"/>
  <c r="S109" i="89"/>
  <c r="R109" i="89" a="1"/>
  <c r="S101" i="89" a="1"/>
  <c r="R109" i="89" l="1"/>
  <c r="S101" i="89"/>
  <c r="R101" i="89" a="1"/>
  <c r="R101" i="89" l="1"/>
  <c r="S90" i="89" a="1"/>
  <c r="S90" i="89" l="1"/>
  <c r="R90" i="89" a="1"/>
  <c r="S138" i="89" a="1"/>
  <c r="R90" i="89" l="1"/>
  <c r="S138" i="89"/>
  <c r="R138" i="89" a="1"/>
  <c r="S55" i="89" a="1"/>
  <c r="R138" i="89" l="1"/>
  <c r="S55" i="89"/>
  <c r="R55" i="89" a="1"/>
  <c r="S145" i="89" a="1"/>
  <c r="R55" i="89" l="1"/>
  <c r="S145" i="89"/>
  <c r="R145" i="89" a="1"/>
  <c r="S236" i="89" a="1"/>
  <c r="R145" i="89" l="1"/>
  <c r="S236" i="89"/>
  <c r="R236" i="89" a="1"/>
  <c r="S33" i="89"/>
  <c r="R33" i="89" s="1" a="1"/>
  <c r="R33" i="89" l="1"/>
  <c r="R236" i="89"/>
  <c r="F39" i="446" a="1"/>
  <c r="F39" i="446" l="1"/>
  <c r="G32" i="446" a="1"/>
  <c r="G32" i="446"/>
  <c r="AH40" i="338" a="1"/>
  <c r="AH40" i="338"/>
  <c r="AH38" i="338" a="1"/>
  <c r="AH38" i="338"/>
  <c r="AH16" i="338" a="1"/>
  <c r="AH16" i="338"/>
  <c r="AJ40" i="338" a="1"/>
  <c r="AJ40" i="338"/>
  <c r="AJ38" i="338" a="1"/>
  <c r="AJ38" i="338"/>
  <c r="AJ16" i="338" a="1"/>
  <c r="AJ16" i="338"/>
  <c r="AK12" i="338" a="1"/>
  <c r="AK12" i="338"/>
  <c r="AI12" i="338" a="1"/>
  <c r="AI12" i="338"/>
  <c r="AJ12" i="338" a="1"/>
  <c r="AJ12" i="338"/>
  <c r="AH12" i="338" a="1"/>
  <c r="AH12" i="338"/>
  <c r="AG40" i="338"/>
  <c r="AF39" i="338"/>
  <c r="AF15" i="338"/>
  <c r="D39" i="446" a="1"/>
  <c r="D39" i="446"/>
  <c r="F32" i="446" a="1"/>
  <c r="F32" i="446"/>
  <c r="G34" i="446" a="1"/>
  <c r="G34" i="446"/>
  <c r="G33" i="446" a="1"/>
  <c r="G33" i="446"/>
  <c r="AJ30" i="338" a="1"/>
  <c r="AJ30" i="338"/>
  <c r="AJ29" i="338" a="1"/>
  <c r="AJ29" i="338"/>
  <c r="AH30" i="338" a="1"/>
  <c r="AH30" i="338"/>
  <c r="AH29" i="338" a="1"/>
  <c r="AH29" i="338"/>
  <c r="F33" i="446" a="1"/>
  <c r="F33" i="446"/>
  <c r="AI30" i="338" a="1"/>
  <c r="AI30" i="338"/>
  <c r="AF12" i="338"/>
  <c r="F34" i="446" a="1"/>
  <c r="F34" i="446"/>
  <c r="AG12" i="338"/>
  <c r="AK29" i="338" a="1"/>
  <c r="AK29" i="338"/>
  <c r="F41" i="446" a="1"/>
  <c r="F41" i="446"/>
  <c r="AK18" i="338" a="1"/>
  <c r="AK18" i="338"/>
  <c r="F42" i="446" a="1"/>
  <c r="F42" i="446"/>
  <c r="D32" i="446" a="1"/>
  <c r="D32" i="446"/>
  <c r="G41" i="446" a="1"/>
  <c r="G41" i="446"/>
  <c r="AK40" i="338" a="1"/>
  <c r="AK40" i="338"/>
  <c r="AJ39" i="338" a="1"/>
  <c r="AJ39" i="338"/>
  <c r="AJ15" i="338" a="1"/>
  <c r="AJ15" i="338"/>
  <c r="D40" i="446" a="1"/>
  <c r="D40" i="446"/>
  <c r="AF40" i="338"/>
  <c r="AF38" i="338"/>
  <c r="AF16" i="338"/>
  <c r="AK30" i="338" a="1"/>
  <c r="AK30" i="338"/>
  <c r="AI40" i="338" a="1"/>
  <c r="AI40" i="338"/>
  <c r="AH39" i="338" a="1"/>
  <c r="AH39" i="338"/>
  <c r="AH15" i="338" a="1"/>
  <c r="AH15" i="338"/>
  <c r="D33" i="446" a="1"/>
  <c r="D33" i="446"/>
  <c r="AF30" i="338"/>
  <c r="AF29" i="338"/>
  <c r="AG18" i="338"/>
  <c r="F38" i="446" a="1"/>
  <c r="F38" i="446"/>
  <c r="G39" i="446" a="1"/>
  <c r="G39" i="446"/>
  <c r="D42" i="446" a="1"/>
  <c r="D42" i="446"/>
  <c r="G42" i="446" a="1"/>
  <c r="G42" i="446"/>
  <c r="AG30" i="338"/>
  <c r="G38" i="446" a="1"/>
  <c r="G38" i="446"/>
  <c r="F40" i="446" a="1"/>
  <c r="F40" i="446"/>
  <c r="AI29" i="338" a="1"/>
  <c r="AI29" i="338"/>
  <c r="D34" i="446" a="1"/>
  <c r="D34" i="446"/>
  <c r="AG29" i="338"/>
  <c r="AI18" i="338" a="1"/>
  <c r="AI18" i="338"/>
  <c r="D38" i="446" a="1"/>
  <c r="D38" i="446"/>
  <c r="G40" i="446" a="1"/>
  <c r="G40" i="446"/>
  <c r="D41" i="446" a="1"/>
  <c r="D41" i="446"/>
  <c r="D69" i="89" a="1"/>
  <c r="D69" i="89"/>
  <c r="AB82" i="89" a="1"/>
  <c r="T69" i="89" a="1"/>
  <c r="AB82" i="89" l="1"/>
  <c r="T69" i="89"/>
  <c r="V69" i="89" a="1"/>
  <c r="V69" i="89"/>
  <c r="AB76" i="89" a="1"/>
  <c r="AB76" i="89" l="1"/>
  <c r="O69" i="89" a="1"/>
  <c r="O69" i="89"/>
  <c r="E69" i="89" a="1"/>
  <c r="E69" i="89" l="1"/>
  <c r="C69" i="89" a="1"/>
  <c r="C69" i="89"/>
  <c r="G37" i="446" a="1"/>
  <c r="G37" i="446"/>
  <c r="G29" i="446" a="1"/>
  <c r="G29" i="446"/>
  <c r="F37" i="446" a="1"/>
  <c r="F37" i="446"/>
  <c r="D28" i="446" a="1"/>
  <c r="D28" i="446"/>
  <c r="G28" i="446" a="1"/>
  <c r="G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F45" i="446" a="1"/>
  <c r="F45" i="446"/>
  <c r="G31" i="446" a="1"/>
  <c r="G31" i="446"/>
  <c r="D37" i="446" a="1"/>
  <c r="D37" i="446"/>
  <c r="G43" i="446" a="1"/>
  <c r="G43" i="446"/>
  <c r="D45" i="446" a="1"/>
  <c r="D45" i="446"/>
  <c r="F44" i="446" a="1"/>
  <c r="F44" i="446"/>
  <c r="D31" i="446" a="1"/>
  <c r="D31" i="446"/>
  <c r="G45" i="446" a="1"/>
  <c r="G45" i="446"/>
  <c r="D44" i="446" a="1"/>
  <c r="D44" i="446"/>
  <c r="F43" i="446" a="1"/>
  <c r="F43" i="446"/>
  <c r="S45" i="338" a="1"/>
  <c r="S45" i="338"/>
  <c r="S9" i="338" a="1"/>
  <c r="S9" i="338"/>
  <c r="S29" i="338" a="1"/>
  <c r="S29" i="338"/>
  <c r="X42" i="338" a="1"/>
  <c r="X42" i="338"/>
  <c r="X34" i="338" a="1"/>
  <c r="X34" i="338"/>
  <c r="X31" i="338" a="1"/>
  <c r="X31" i="338"/>
  <c r="X14" i="338" a="1"/>
  <c r="X14" i="338"/>
  <c r="T42" i="338" a="1"/>
  <c r="T42" i="338"/>
  <c r="S34" i="338" a="1"/>
  <c r="S34" i="338"/>
  <c r="P12" i="338" a="1"/>
  <c r="P12" i="338"/>
  <c r="P29" i="338" a="1"/>
  <c r="P29" i="338"/>
  <c r="X45" i="338" a="1"/>
  <c r="X45" i="338"/>
  <c r="S31" i="338" a="1"/>
  <c r="S31" i="338"/>
  <c r="T9" i="338" a="1"/>
  <c r="T9" i="338"/>
  <c r="P14" i="338" a="1"/>
  <c r="P14" i="338"/>
  <c r="P48" i="338" a="1"/>
  <c r="P48" i="338"/>
  <c r="T47" i="338" a="1"/>
  <c r="T47" i="338"/>
  <c r="S42" i="338" a="1"/>
  <c r="S42" i="338"/>
  <c r="X48" i="338" a="1"/>
  <c r="X48" i="338"/>
  <c r="P9" i="338" a="1"/>
  <c r="P9" i="338"/>
  <c r="T12" i="338" a="1"/>
  <c r="T12" i="338"/>
  <c r="P47" i="338" a="1"/>
  <c r="P47" i="338"/>
  <c r="S48" i="338" a="1"/>
  <c r="S48" i="338"/>
  <c r="P31" i="338" a="1"/>
  <c r="P31" i="338"/>
  <c r="X12" i="338" a="1"/>
  <c r="X12" i="338"/>
  <c r="S47" i="338" a="1"/>
  <c r="S47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T14" i="338" a="1"/>
  <c r="T14" i="338"/>
  <c r="X47" i="338" a="1"/>
  <c r="X47" i="338"/>
  <c r="P34" i="338" a="1"/>
  <c r="P34" i="338"/>
  <c r="X9" i="338" a="1"/>
  <c r="X9" i="338"/>
  <c r="C12" i="2" a="1"/>
  <c r="C12" i="2"/>
  <c r="D11" i="2" a="1"/>
  <c r="D11" i="2"/>
  <c r="AQ11" i="2" a="1"/>
  <c r="AC11" i="2" a="1"/>
  <c r="E7" i="2" a="1"/>
  <c r="AC11" i="2" l="1"/>
  <c r="AQ11" i="2"/>
  <c r="E7" i="2"/>
  <c r="T6" i="2" a="1"/>
  <c r="T6" i="2"/>
  <c r="F11" i="2" a="1"/>
  <c r="F11" i="2"/>
  <c r="T24" i="2" a="1"/>
  <c r="T24" i="2"/>
  <c r="AD11" i="2" a="1"/>
  <c r="AD11" i="2"/>
  <c r="C4" i="2" a="1"/>
  <c r="C4" i="2"/>
  <c r="C11" i="2" a="1"/>
  <c r="C11" i="2"/>
  <c r="AD12" i="2" a="1"/>
  <c r="AD12" i="2"/>
  <c r="F6" i="2" a="1"/>
  <c r="F6" i="2"/>
  <c r="AR24" i="2" a="1"/>
  <c r="AR24" i="2"/>
  <c r="F12" i="2" a="1"/>
  <c r="F12" i="2"/>
  <c r="AR6" i="2" a="1"/>
  <c r="AR6" i="2"/>
  <c r="D6" i="2" a="1"/>
  <c r="D6" i="2"/>
  <c r="AQ6" i="2" a="1"/>
  <c r="AC6" i="2" a="1"/>
  <c r="AD25" i="2" a="1"/>
  <c r="AC6" i="2" l="1"/>
  <c r="AQ6" i="2"/>
  <c r="AD25" i="2"/>
  <c r="AA4" i="2" a="1"/>
  <c r="AA4" i="2"/>
  <c r="E6" i="2" a="1"/>
  <c r="E6" i="2"/>
  <c r="AR25" i="2" a="1"/>
  <c r="AR25" i="2"/>
  <c r="AA7" i="2" a="1"/>
  <c r="AA7" i="2"/>
  <c r="E11" i="2" a="1"/>
  <c r="E11" i="2"/>
  <c r="F7" i="2" a="1"/>
  <c r="F7" i="2"/>
  <c r="E4" i="2" a="1"/>
  <c r="E4" i="2"/>
  <c r="AR7" i="2" a="1"/>
  <c r="AR7" i="2"/>
  <c r="C25" i="2" a="1"/>
  <c r="C25" i="2"/>
  <c r="F4" i="2" a="1"/>
  <c r="F4" i="2"/>
  <c r="E12" i="2" a="1"/>
  <c r="E12" i="2"/>
  <c r="T7" i="2" a="1"/>
  <c r="T7" i="2"/>
  <c r="AD24" i="2" a="1"/>
  <c r="AD24" i="2"/>
  <c r="E25" i="2" a="1"/>
  <c r="E25" i="2"/>
  <c r="C6" i="2" a="1"/>
  <c r="C6" i="2"/>
  <c r="E24" i="2" a="1"/>
  <c r="E24" i="2"/>
  <c r="C24" i="2" a="1"/>
  <c r="C24" i="2"/>
  <c r="D12" i="2" a="1"/>
  <c r="D12" i="2"/>
  <c r="Z12" i="2"/>
  <c r="AQ12" i="2" a="1"/>
  <c r="AC12" i="2" a="1"/>
  <c r="T12" i="2" a="1"/>
  <c r="AC12" i="2" l="1"/>
  <c r="AQ12" i="2"/>
  <c r="T12" i="2"/>
  <c r="T4" i="2" a="1"/>
  <c r="T4" i="2"/>
  <c r="AA12" i="2" a="1"/>
  <c r="AA12" i="2"/>
  <c r="AV12" i="2" a="1"/>
  <c r="D25" i="2" a="1"/>
  <c r="AV12" i="2" l="1"/>
  <c r="D25" i="2"/>
  <c r="AQ25" i="2" a="1"/>
  <c r="AC25" i="2" a="1"/>
  <c r="AA24" i="2" a="1"/>
  <c r="AC25" i="2" l="1"/>
  <c r="AQ25" i="2"/>
  <c r="AA24" i="2"/>
  <c r="F25" i="2" a="1"/>
  <c r="F25" i="2"/>
  <c r="AD4" i="2" a="1"/>
  <c r="AD4" i="2"/>
  <c r="AA6" i="2" a="1"/>
  <c r="AA6" i="2"/>
  <c r="AR11" i="2" a="1"/>
  <c r="AR11" i="2"/>
  <c r="AD6" i="2" a="1"/>
  <c r="AD6" i="2"/>
  <c r="C7" i="2" a="1"/>
  <c r="C7" i="2"/>
  <c r="AR4" i="2" a="1"/>
  <c r="AR4" i="2"/>
  <c r="AA25" i="2" a="1"/>
  <c r="AA25" i="2"/>
  <c r="D4" i="2" a="1"/>
  <c r="D4" i="2"/>
  <c r="Z4" i="2"/>
  <c r="AV4" i="2" s="1" a="1"/>
  <c r="AC4" i="2" a="1"/>
  <c r="AQ4" i="2" a="1"/>
  <c r="F24" i="2" a="1"/>
  <c r="AQ4" i="2" l="1"/>
  <c r="AC4" i="2"/>
  <c r="AV4" i="2"/>
  <c r="F24" i="2"/>
  <c r="AR12" i="2" a="1"/>
  <c r="AR12" i="2"/>
  <c r="AA11" i="2" a="1"/>
  <c r="AA11" i="2"/>
  <c r="D7" i="2" a="1"/>
  <c r="D7" i="2"/>
  <c r="Z7" i="2"/>
  <c r="AV7" i="2" s="1" a="1"/>
  <c r="AC7" i="2" a="1"/>
  <c r="AQ7" i="2" a="1"/>
  <c r="T25" i="2" a="1"/>
  <c r="AQ7" i="2" l="1"/>
  <c r="AC7" i="2"/>
  <c r="AV7" i="2"/>
  <c r="T25" i="2"/>
  <c r="AD7" i="2" a="1"/>
  <c r="AD7" i="2"/>
  <c r="D24" i="2" a="1"/>
  <c r="D24" i="2"/>
  <c r="AQ24" i="2" a="1"/>
  <c r="AC24" i="2" a="1"/>
  <c r="T11" i="2" a="1"/>
  <c r="AC24" i="2" l="1"/>
  <c r="AQ24" i="2"/>
  <c r="T11" i="2"/>
  <c r="F15" i="2" a="1"/>
  <c r="F15" i="2"/>
  <c r="AR16" i="2" a="1"/>
  <c r="AR16" i="2"/>
  <c r="E8" i="2" a="1"/>
  <c r="E8" i="2"/>
  <c r="AA21" i="2" a="1"/>
  <c r="AA21" i="2"/>
  <c r="T197" i="89" a="1"/>
  <c r="T197" i="89"/>
  <c r="AR15" i="2" a="1"/>
  <c r="AR15" i="2"/>
  <c r="AA13" i="2" a="1"/>
  <c r="AA13" i="2"/>
  <c r="T62" i="89" a="1"/>
  <c r="T62" i="89"/>
  <c r="AR20" i="2" a="1"/>
  <c r="AR20" i="2"/>
  <c r="AD16" i="2" a="1"/>
  <c r="AD16" i="2"/>
  <c r="V8" i="89" a="1"/>
  <c r="V8" i="89"/>
  <c r="C19" i="2" a="1"/>
  <c r="C19" i="2"/>
  <c r="AA8" i="2" a="1"/>
  <c r="AA8" i="2"/>
  <c r="AD10" i="2" a="1"/>
  <c r="AD10" i="2"/>
  <c r="V27" i="89" a="1"/>
  <c r="V27" i="89"/>
  <c r="V171" i="89" a="1"/>
  <c r="V171" i="89"/>
  <c r="C20" i="2" a="1"/>
  <c r="C20" i="2"/>
  <c r="T13" i="2" a="1"/>
  <c r="T13" i="2"/>
  <c r="O62" i="89" a="1"/>
  <c r="O62" i="89"/>
  <c r="C15" i="2" a="1"/>
  <c r="C15" i="2"/>
  <c r="F21" i="2" a="1"/>
  <c r="F21" i="2"/>
  <c r="AA19" i="2" a="1"/>
  <c r="AA19" i="2"/>
  <c r="T195" i="89" a="1"/>
  <c r="T195" i="89"/>
  <c r="D20" i="2" a="1"/>
  <c r="D20" i="2"/>
  <c r="AQ20" i="2" a="1"/>
  <c r="AC20" i="2" a="1"/>
  <c r="C196" i="89" a="1"/>
  <c r="AC20" i="2" l="1"/>
  <c r="AQ20" i="2"/>
  <c r="C196" i="89"/>
  <c r="AA14" i="2" a="1"/>
  <c r="AA14" i="2"/>
  <c r="T63" i="89" a="1"/>
  <c r="T63" i="89"/>
  <c r="AD13" i="2" a="1"/>
  <c r="AD13" i="2"/>
  <c r="V62" i="89" a="1"/>
  <c r="V62" i="89"/>
  <c r="AA10" i="2" a="1"/>
  <c r="AA10" i="2"/>
  <c r="T27" i="89" a="1"/>
  <c r="T27" i="89"/>
  <c r="T171" i="89" a="1"/>
  <c r="T171" i="89"/>
  <c r="C13" i="2" a="1"/>
  <c r="C13" i="2"/>
  <c r="AR13" i="2" a="1"/>
  <c r="AR13" i="2"/>
  <c r="AD15" i="2" a="1"/>
  <c r="AD15" i="2"/>
  <c r="V7" i="89" a="1"/>
  <c r="V7" i="89"/>
  <c r="F5" i="2" a="1"/>
  <c r="F5" i="2"/>
  <c r="D14" i="2" a="1"/>
  <c r="D14" i="2"/>
  <c r="AQ14" i="2" a="1"/>
  <c r="AC14" i="2" a="1"/>
  <c r="C63" i="89" a="1"/>
  <c r="AC14" i="2" l="1"/>
  <c r="AQ14" i="2"/>
  <c r="C63" i="89"/>
  <c r="C21" i="2" a="1"/>
  <c r="C21" i="2"/>
  <c r="T10" i="2" a="1"/>
  <c r="T10" i="2"/>
  <c r="O27" i="89" a="1"/>
  <c r="O27" i="89"/>
  <c r="O171" i="89" a="1"/>
  <c r="O171" i="89" l="1"/>
  <c r="E19" i="2" a="1"/>
  <c r="E19" i="2" l="1"/>
  <c r="T16" i="2" a="1"/>
  <c r="T16" i="2"/>
  <c r="O8" i="89" a="1"/>
  <c r="O8" i="89"/>
  <c r="AD19" i="2" a="1"/>
  <c r="AD19" i="2"/>
  <c r="V195" i="89" a="1"/>
  <c r="V195" i="89"/>
  <c r="C16" i="2" a="1"/>
  <c r="C16" i="2"/>
  <c r="AR21" i="2" a="1"/>
  <c r="AR21" i="2"/>
  <c r="E5" i="2" a="1"/>
  <c r="E5" i="2"/>
  <c r="T5" i="2" a="1"/>
  <c r="T5" i="2"/>
  <c r="O223" i="89" a="1"/>
  <c r="O223" i="89"/>
  <c r="E13" i="2" a="1"/>
  <c r="E13" i="2"/>
  <c r="T15" i="2" a="1"/>
  <c r="T15" i="2"/>
  <c r="O7" i="89" a="1"/>
  <c r="O7" i="89"/>
  <c r="F14" i="2" a="1"/>
  <c r="F14" i="2"/>
  <c r="D10" i="2" a="1"/>
  <c r="D10" i="2"/>
  <c r="AQ10" i="2" a="1"/>
  <c r="AC10" i="2" a="1"/>
  <c r="C27" i="89" a="1"/>
  <c r="AC10" i="2" l="1"/>
  <c r="AQ10" i="2"/>
  <c r="C27" i="89"/>
  <c r="AB187" i="89" a="1"/>
  <c r="C171" i="89" a="1"/>
  <c r="AB187" i="89" l="1"/>
  <c r="C171" i="89"/>
  <c r="AB171" i="89" a="1"/>
  <c r="AD8" i="2" a="1"/>
  <c r="AB171" i="89" l="1"/>
  <c r="AD8" i="2"/>
  <c r="AA20" i="2" a="1"/>
  <c r="AA20" i="2"/>
  <c r="T196" i="89" a="1"/>
  <c r="T196" i="89"/>
  <c r="E16" i="2" a="1"/>
  <c r="E16" i="2"/>
  <c r="E14" i="2" a="1"/>
  <c r="E14" i="2"/>
  <c r="F13" i="2" a="1"/>
  <c r="F13" i="2"/>
  <c r="AD21" i="2" a="1"/>
  <c r="AD21" i="2"/>
  <c r="V197" i="89" a="1"/>
  <c r="V197" i="89"/>
  <c r="D19" i="2" a="1"/>
  <c r="D19" i="2"/>
  <c r="AQ19" i="2" a="1"/>
  <c r="AC19" i="2" a="1"/>
  <c r="C195" i="89" a="1"/>
  <c r="AC19" i="2" l="1"/>
  <c r="AQ19" i="2"/>
  <c r="C195" i="89"/>
  <c r="C10" i="2" a="1"/>
  <c r="C10" i="2"/>
  <c r="AA16" i="2" a="1"/>
  <c r="AA16" i="2"/>
  <c r="T8" i="89" a="1"/>
  <c r="T8" i="89"/>
  <c r="AD5" i="2" a="1"/>
  <c r="AD5" i="2"/>
  <c r="V223" i="89" a="1"/>
  <c r="V223" i="89"/>
  <c r="E20" i="2" a="1"/>
  <c r="E20" i="2"/>
  <c r="D15" i="2" a="1"/>
  <c r="D15" i="2"/>
  <c r="Z15" i="2"/>
  <c r="AQ15" i="2" a="1"/>
  <c r="AC15" i="2" a="1"/>
  <c r="C7" i="89" a="1"/>
  <c r="AC15" i="2" l="1"/>
  <c r="AQ15" i="2"/>
  <c r="C7" i="89"/>
  <c r="C8" i="2" a="1"/>
  <c r="C8" i="2"/>
  <c r="T8" i="2" a="1"/>
  <c r="T8" i="2"/>
  <c r="AA5" i="2" a="1"/>
  <c r="AA5" i="2" l="1"/>
  <c r="T223" i="89" a="1"/>
  <c r="T223" i="89"/>
  <c r="AR5" i="2" a="1"/>
  <c r="AR5" i="2"/>
  <c r="D13" i="2" a="1"/>
  <c r="D13" i="2"/>
  <c r="AQ13" i="2" a="1"/>
  <c r="AC13" i="2" a="1"/>
  <c r="C62" i="89" a="1"/>
  <c r="AC13" i="2" l="1"/>
  <c r="AQ13" i="2"/>
  <c r="C62" i="89"/>
  <c r="E10" i="2" a="1"/>
  <c r="E10" i="2"/>
  <c r="AR10" i="2" a="1"/>
  <c r="AR10" i="2"/>
  <c r="F10" i="2" a="1"/>
  <c r="F10" i="2"/>
  <c r="F19" i="2" a="1"/>
  <c r="F19" i="2"/>
  <c r="E15" i="2" a="1"/>
  <c r="E15" i="2"/>
  <c r="AD14" i="2" a="1"/>
  <c r="AD14" i="2"/>
  <c r="V63" i="89" a="1"/>
  <c r="V63" i="89"/>
  <c r="AA15" i="2" a="1"/>
  <c r="AA15" i="2"/>
  <c r="AV15" i="2" a="1"/>
  <c r="T7" i="89" a="1"/>
  <c r="AV15" i="2" l="1"/>
  <c r="T7" i="89"/>
  <c r="D5" i="2" a="1"/>
  <c r="D5" i="2"/>
  <c r="AQ5" i="2" a="1"/>
  <c r="AC5" i="2" a="1"/>
  <c r="C223" i="89" a="1"/>
  <c r="AC5" i="2" l="1"/>
  <c r="AQ5" i="2"/>
  <c r="C223" i="89"/>
  <c r="T21" i="2" a="1"/>
  <c r="T21" i="2"/>
  <c r="O197" i="89" a="1"/>
  <c r="O197" i="89"/>
  <c r="AR14" i="2" a="1"/>
  <c r="AR14" i="2" l="1"/>
  <c r="D8" i="2" a="1"/>
  <c r="D8" i="2"/>
  <c r="AQ8" i="2" a="1"/>
  <c r="AC8" i="2" a="1"/>
  <c r="AB188" i="89" a="1"/>
  <c r="AR8" i="2" a="1"/>
  <c r="AC8" i="2" l="1"/>
  <c r="AQ8" i="2"/>
  <c r="AB188" i="89"/>
  <c r="AR8" i="2"/>
  <c r="E21" i="2" a="1"/>
  <c r="E21" i="2"/>
  <c r="AR19" i="2" a="1"/>
  <c r="AR19" i="2"/>
  <c r="T20" i="2" a="1"/>
  <c r="T20" i="2"/>
  <c r="O196" i="89" a="1"/>
  <c r="O196" i="89"/>
  <c r="F16" i="2" a="1"/>
  <c r="F16" i="2"/>
  <c r="C5" i="2" a="1"/>
  <c r="C5" i="2"/>
  <c r="D16" i="2" a="1"/>
  <c r="D16" i="2"/>
  <c r="AQ16" i="2" a="1"/>
  <c r="AC16" i="2" a="1"/>
  <c r="C8" i="89" a="1"/>
  <c r="AC16" i="2" l="1"/>
  <c r="AQ16" i="2"/>
  <c r="C8" i="89"/>
  <c r="F20" i="2" a="1"/>
  <c r="F20" i="2"/>
  <c r="F8" i="2" a="1"/>
  <c r="F8" i="2"/>
  <c r="T19" i="2" a="1"/>
  <c r="T19" i="2"/>
  <c r="O195" i="89" a="1"/>
  <c r="O195" i="89"/>
  <c r="C14" i="2" a="1"/>
  <c r="C14" i="2" l="1"/>
  <c r="AD20" i="2" a="1"/>
  <c r="AD20" i="2"/>
  <c r="V196" i="89" a="1"/>
  <c r="V196" i="89"/>
  <c r="T14" i="2" a="1"/>
  <c r="T14" i="2"/>
  <c r="O63" i="89" a="1"/>
  <c r="O63" i="89"/>
  <c r="D21" i="2" a="1"/>
  <c r="D21" i="2" l="1"/>
  <c r="AQ21" i="2" a="1"/>
  <c r="AC21" i="2" a="1"/>
  <c r="C197" i="89" a="1"/>
  <c r="AC21" i="2" l="1"/>
  <c r="AQ21" i="2"/>
  <c r="C197" i="89"/>
  <c r="F10" i="446" a="1"/>
  <c r="F10" i="446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F7" i="446" a="1"/>
  <c r="F7" i="446"/>
  <c r="G12" i="446" a="1"/>
  <c r="G12" i="446"/>
  <c r="F20" i="446" a="1"/>
  <c r="F20" i="446"/>
  <c r="F8" i="446" a="1"/>
  <c r="F8" i="446"/>
  <c r="F25" i="446" a="1"/>
  <c r="F25" i="446"/>
  <c r="F11" i="446" a="1"/>
  <c r="F11" i="446"/>
  <c r="G20" i="446" a="1"/>
  <c r="G20" i="446"/>
  <c r="X46" i="338" a="1"/>
  <c r="X46" i="338"/>
  <c r="P11" i="338" a="1"/>
  <c r="P11" i="338"/>
  <c r="P50" i="338" a="1"/>
  <c r="P50" i="338"/>
  <c r="P36" i="338" a="1"/>
  <c r="P36" i="338"/>
  <c r="S18" i="338" a="1"/>
  <c r="S18" i="338"/>
  <c r="P18" i="338" a="1"/>
  <c r="P18" i="338"/>
  <c r="S50" i="338" a="1"/>
  <c r="S50" i="338"/>
  <c r="P8" i="338" a="1"/>
  <c r="P8" i="338"/>
  <c r="S49" i="338" a="1"/>
  <c r="S49" i="338"/>
  <c r="T50" i="338" a="1"/>
  <c r="T50" i="338"/>
  <c r="X39" i="338" a="1"/>
  <c r="X39" i="338"/>
  <c r="X15" i="338" a="1"/>
  <c r="X15" i="338"/>
  <c r="T18" i="338" a="1"/>
  <c r="T18" i="338"/>
  <c r="T8" i="338" a="1"/>
  <c r="T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P46" i="338" a="1"/>
  <c r="P46" i="338"/>
  <c r="X33" i="338" a="1"/>
  <c r="X33" i="338"/>
  <c r="S8" i="338" a="1"/>
  <c r="S8" i="338"/>
  <c r="P52" i="338" a="1"/>
  <c r="P52" i="338"/>
  <c r="T39" i="338" a="1"/>
  <c r="T39" i="338"/>
  <c r="T15" i="338" a="1"/>
  <c r="T15" i="338"/>
  <c r="S11" i="338" a="1"/>
  <c r="S11" i="338"/>
  <c r="T36" i="338" a="1"/>
  <c r="T36" i="338"/>
  <c r="X49" i="338" a="1"/>
  <c r="X49" i="338"/>
  <c r="T224" i="89" a="1"/>
  <c r="T224" i="89"/>
  <c r="V50" i="89" a="1"/>
  <c r="V50" i="89"/>
  <c r="T20" i="89" a="1"/>
  <c r="T20" i="89"/>
  <c r="V212" i="89" a="1"/>
  <c r="V212" i="89"/>
  <c r="V224" i="89" a="1"/>
  <c r="V224" i="89"/>
  <c r="V237" i="89" a="1"/>
  <c r="V237" i="89"/>
  <c r="V68" i="89" a="1"/>
  <c r="V68" i="89"/>
  <c r="O212" i="89" a="1"/>
  <c r="O212" i="89"/>
  <c r="V13" i="89" a="1"/>
  <c r="V13" i="89" l="1"/>
  <c r="T222" i="89" a="1"/>
  <c r="T222" i="89"/>
  <c r="O222" i="89" a="1"/>
  <c r="O222" i="89"/>
  <c r="T234" i="89" a="1"/>
  <c r="T234" i="89"/>
  <c r="C68" i="89" a="1"/>
  <c r="C68" i="89"/>
  <c r="V222" i="89" a="1"/>
  <c r="V222" i="89"/>
  <c r="V20" i="89" a="1"/>
  <c r="V20" i="89"/>
  <c r="C20" i="89" a="1"/>
  <c r="C20" i="89"/>
  <c r="V203" i="89" a="1"/>
  <c r="V203" i="89"/>
  <c r="O13" i="89" a="1"/>
  <c r="O13" i="89"/>
  <c r="C13" i="89" a="1"/>
  <c r="C13" i="89" l="1"/>
  <c r="AB13" i="89" a="1"/>
  <c r="C203" i="89" a="1"/>
  <c r="AB13" i="89" l="1"/>
  <c r="C203" i="89"/>
  <c r="O203" i="89" a="1"/>
  <c r="O203" i="89"/>
  <c r="O234" i="89" a="1"/>
  <c r="O234" i="89"/>
  <c r="T50" i="89" a="1"/>
  <c r="T50" i="89" l="1"/>
  <c r="O20" i="89" a="1"/>
  <c r="O20" i="89"/>
  <c r="T68" i="89" a="1"/>
  <c r="T68" i="89"/>
  <c r="T237" i="89" a="1"/>
  <c r="T237" i="89"/>
  <c r="C224" i="89" a="1"/>
  <c r="C224" i="89"/>
  <c r="V234" i="89" a="1"/>
  <c r="V234" i="89"/>
  <c r="C50" i="89" a="1"/>
  <c r="C50" i="89"/>
  <c r="O68" i="89" a="1"/>
  <c r="O68" i="89"/>
  <c r="T13" i="89" a="1"/>
  <c r="T13" i="89"/>
  <c r="C237" i="89" a="1"/>
  <c r="C237" i="89"/>
  <c r="C222" i="89" a="1"/>
  <c r="C222" i="89"/>
  <c r="O50" i="89" a="1"/>
  <c r="O50" i="89"/>
  <c r="T203" i="89" a="1"/>
  <c r="T203" i="89"/>
  <c r="O237" i="89" a="1"/>
  <c r="O237" i="89"/>
  <c r="C212" i="89" a="1"/>
  <c r="C212" i="89"/>
  <c r="O224" i="89" a="1"/>
  <c r="O224" i="89"/>
  <c r="C234" i="89" a="1"/>
  <c r="C234" i="89"/>
  <c r="T212" i="89" a="1"/>
  <c r="T212" i="89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AH32" i="338" a="1"/>
  <c r="AH32" i="338"/>
  <c r="AH31" i="338" a="1"/>
  <c r="AH31" i="338"/>
  <c r="AJ42" i="338" a="1"/>
  <c r="AJ42" i="338"/>
  <c r="AJ41" i="338" a="1"/>
  <c r="AJ41" i="338"/>
  <c r="AH42" i="338" a="1"/>
  <c r="AH42" i="338"/>
  <c r="AH41" i="338" a="1"/>
  <c r="AH41" i="338"/>
  <c r="AG42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T90" i="89" a="1"/>
  <c r="T90" i="89"/>
  <c r="E145" i="89" a="1"/>
  <c r="E145" i="89"/>
  <c r="V89" i="89" a="1"/>
  <c r="V89" i="89"/>
  <c r="V109" i="89" a="1"/>
  <c r="V109" i="89"/>
  <c r="V90" i="89" a="1"/>
  <c r="V90" i="89"/>
  <c r="V144" i="89" a="1"/>
  <c r="V144" i="89"/>
  <c r="D145" i="89" a="1"/>
  <c r="D145" i="89"/>
  <c r="D109" i="89" a="1"/>
  <c r="D109" i="89"/>
  <c r="C90" i="89" a="1"/>
  <c r="C90" i="89"/>
  <c r="T136" i="89" a="1"/>
  <c r="T136" i="89"/>
  <c r="D101" i="89" a="1"/>
  <c r="D101" i="89"/>
  <c r="C136" i="89" a="1"/>
  <c r="C136" i="89"/>
  <c r="T138" i="89" a="1"/>
  <c r="T138" i="89"/>
  <c r="E89" i="89" a="1"/>
  <c r="E89" i="89"/>
  <c r="V136" i="89" a="1"/>
  <c r="V136" i="89"/>
  <c r="C95" i="89" a="1"/>
  <c r="C95" i="89"/>
  <c r="V101" i="89" a="1"/>
  <c r="V101" i="89"/>
  <c r="C89" i="89" a="1"/>
  <c r="C89" i="89"/>
  <c r="D90" i="89" a="1"/>
  <c r="D90" i="89"/>
  <c r="V138" i="89" a="1"/>
  <c r="V138" i="89"/>
  <c r="V95" i="89" a="1"/>
  <c r="V95" i="89"/>
  <c r="C145" i="89" a="1"/>
  <c r="C145" i="89"/>
  <c r="C138" i="89" a="1"/>
  <c r="C138" i="89"/>
  <c r="E101" i="89" a="1"/>
  <c r="E101" i="89"/>
  <c r="V145" i="89" a="1"/>
  <c r="V145" i="89"/>
  <c r="D95" i="89" a="1"/>
  <c r="D95" i="89"/>
  <c r="Z101" i="89" a="1"/>
  <c r="Z101" i="89"/>
  <c r="D89" i="89" a="1"/>
  <c r="D89" i="89"/>
  <c r="C109" i="89" a="1"/>
  <c r="C109" i="89"/>
  <c r="D138" i="89" a="1"/>
  <c r="D138" i="89"/>
  <c r="D144" i="89" a="1"/>
  <c r="D144" i="89"/>
  <c r="E109" i="89" a="1"/>
  <c r="E109" i="89"/>
  <c r="E95" i="89" a="1"/>
  <c r="E95" i="89"/>
  <c r="E90" i="89" a="1"/>
  <c r="E90" i="89"/>
  <c r="T145" i="89" a="1"/>
  <c r="T145" i="89"/>
  <c r="Z95" i="89" a="1"/>
  <c r="Z95" i="89"/>
  <c r="C101" i="89" a="1"/>
  <c r="C101" i="89"/>
  <c r="T101" i="89" a="1"/>
  <c r="T101" i="89"/>
  <c r="T144" i="89" a="1"/>
  <c r="T144" i="89"/>
  <c r="E144" i="89" a="1"/>
  <c r="E144" i="89"/>
  <c r="T95" i="89" a="1"/>
  <c r="T95" i="89"/>
  <c r="T89" i="89" a="1"/>
  <c r="T89" i="89"/>
  <c r="E136" i="89" a="1"/>
  <c r="E136" i="89"/>
  <c r="E138" i="89" a="1"/>
  <c r="E138" i="89"/>
  <c r="T109" i="89" a="1"/>
  <c r="T109" i="89"/>
  <c r="D136" i="89" a="1"/>
  <c r="D136" i="89"/>
  <c r="C144" i="89" a="1"/>
  <c r="C144" i="89"/>
  <c r="V49" i="89" a="1"/>
  <c r="V49" i="89"/>
  <c r="C19" i="89"/>
  <c r="V236" i="89" a="1"/>
  <c r="V236" i="89"/>
  <c r="V19" i="89"/>
  <c r="O49" i="89" a="1"/>
  <c r="O49" i="89"/>
  <c r="O56" i="89" a="1"/>
  <c r="O56" i="89"/>
  <c r="O236" i="89" a="1"/>
  <c r="O236" i="89" l="1"/>
  <c r="T34" i="89" a="1"/>
  <c r="T34" i="89"/>
  <c r="S81" i="89" a="1"/>
  <c r="AB81" i="89" a="1"/>
  <c r="C56" i="89" a="1"/>
  <c r="AB81" i="89" l="1"/>
  <c r="S81" i="89"/>
  <c r="C56" i="89"/>
  <c r="V40" i="89" a="1"/>
  <c r="V40" i="89"/>
  <c r="V34" i="89" a="1"/>
  <c r="V34" i="89"/>
  <c r="C49" i="89" a="1"/>
  <c r="C49" i="89"/>
  <c r="V14" i="89" a="1"/>
  <c r="V14" i="89"/>
  <c r="T236" i="89" a="1"/>
  <c r="T236" i="89"/>
  <c r="C34" i="89" a="1"/>
  <c r="C34" i="89" l="1"/>
  <c r="T49" i="89" a="1"/>
  <c r="T49" i="89"/>
  <c r="T56" i="89" a="1"/>
  <c r="T56" i="89"/>
  <c r="V204" i="89" a="1"/>
  <c r="V204" i="89"/>
  <c r="O40" i="89" a="1"/>
  <c r="O40" i="89"/>
  <c r="T14" i="89" a="1"/>
  <c r="T14" i="89"/>
  <c r="T40" i="89" a="1"/>
  <c r="T40" i="89"/>
  <c r="O14" i="89" a="1"/>
  <c r="O14" i="89"/>
  <c r="C204" i="89" a="1"/>
  <c r="C204" i="89"/>
  <c r="T204" i="89" a="1"/>
  <c r="T204" i="89"/>
  <c r="T19" i="89"/>
  <c r="V56" i="89" a="1"/>
  <c r="V56" i="89"/>
  <c r="O34" i="89" a="1"/>
  <c r="O34" i="89"/>
  <c r="C236" i="89" a="1"/>
  <c r="C236" i="89" l="1"/>
  <c r="C40" i="89" a="1"/>
  <c r="C40" i="89"/>
  <c r="C14" i="89" a="1"/>
  <c r="C14" i="89"/>
  <c r="S14" i="89" a="1"/>
  <c r="AB14" i="89" a="1"/>
  <c r="O19" i="89"/>
  <c r="AB14" i="89" l="1"/>
  <c r="S14" i="89"/>
  <c r="AB75" i="89" a="1"/>
  <c r="R14" i="89" a="1"/>
  <c r="O204" i="89" a="1"/>
  <c r="AB75" i="89" l="1"/>
  <c r="R14" i="89"/>
  <c r="O204" i="89"/>
  <c r="R81" i="89" a="1"/>
  <c r="R81" i="89" l="1"/>
  <c r="T26" i="89" a="1"/>
  <c r="T26" i="89"/>
  <c r="T233" i="89" a="1"/>
  <c r="T233" i="89"/>
  <c r="O55" i="89" a="1"/>
  <c r="O55" i="89"/>
  <c r="C180" i="89" a="1"/>
  <c r="C180" i="89"/>
  <c r="AB180" i="89" a="1"/>
  <c r="C26" i="89" a="1"/>
  <c r="AB180" i="89" l="1"/>
  <c r="C26" i="89"/>
  <c r="V180" i="89" a="1"/>
  <c r="V180" i="89"/>
  <c r="O235" i="89" a="1"/>
  <c r="O235" i="89"/>
  <c r="O39" i="89" a="1"/>
  <c r="O39" i="89"/>
  <c r="C211" i="89" a="1"/>
  <c r="C211" i="89" l="1"/>
  <c r="C55" i="89" a="1"/>
  <c r="C55" i="89"/>
  <c r="T211" i="89" a="1"/>
  <c r="T211" i="89"/>
  <c r="T170" i="89" a="1"/>
  <c r="T170" i="89"/>
  <c r="V33" i="89" a="1"/>
  <c r="V33" i="89"/>
  <c r="T180" i="89" a="1"/>
  <c r="T180" i="89"/>
  <c r="T55" i="89" a="1"/>
  <c r="T55" i="89"/>
  <c r="V211" i="89" a="1"/>
  <c r="V211" i="89"/>
  <c r="S186" i="89" a="1"/>
  <c r="AB186" i="89" a="1"/>
  <c r="C169" i="89" a="1"/>
  <c r="AB186" i="89" l="1"/>
  <c r="S186" i="89"/>
  <c r="C169" i="89"/>
  <c r="AB169" i="89" a="1"/>
  <c r="T39" i="89" a="1"/>
  <c r="AB169" i="89" l="1"/>
  <c r="T39" i="89"/>
  <c r="R186" i="89" a="1"/>
  <c r="T169" i="89" a="1"/>
  <c r="R186" i="89" l="1"/>
  <c r="T169" i="89"/>
  <c r="V235" i="89" a="1"/>
  <c r="V235" i="89"/>
  <c r="O180" i="89" a="1"/>
  <c r="O180" i="89"/>
  <c r="O169" i="89" a="1"/>
  <c r="O169" i="89"/>
  <c r="O211" i="89" a="1"/>
  <c r="O211" i="89"/>
  <c r="C170" i="89" a="1"/>
  <c r="C170" i="89"/>
  <c r="AB170" i="89" a="1"/>
  <c r="V55" i="89" a="1"/>
  <c r="AB170" i="89" l="1"/>
  <c r="V55" i="89"/>
  <c r="C233" i="89" a="1"/>
  <c r="C233" i="89"/>
  <c r="O233" i="89" a="1"/>
  <c r="O233" i="89"/>
  <c r="V233" i="89" a="1"/>
  <c r="V233" i="89"/>
  <c r="T235" i="89" a="1"/>
  <c r="T235" i="89"/>
  <c r="O26" i="89" a="1"/>
  <c r="O26" i="89"/>
  <c r="C235" i="89" a="1"/>
  <c r="C235" i="89"/>
  <c r="V39" i="89" a="1"/>
  <c r="V39" i="89"/>
  <c r="O33" i="89" a="1"/>
  <c r="O33" i="89"/>
  <c r="V26" i="89" a="1"/>
  <c r="V26" i="89" l="1"/>
  <c r="T33" i="89" a="1"/>
  <c r="T33" i="89"/>
  <c r="V169" i="89" a="1"/>
  <c r="V169" i="89"/>
  <c r="C33" i="89" a="1"/>
  <c r="C33" i="89"/>
  <c r="C39" i="89" a="1"/>
  <c r="C39" i="89"/>
  <c r="V170" i="89" a="1"/>
  <c r="V170" i="89"/>
  <c r="O170" i="89" a="1"/>
  <c r="O170" i="89"/>
  <c r="F18" i="446" a="1"/>
  <c r="F18" i="446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F23" i="446" a="1"/>
  <c r="F23" i="446"/>
  <c r="AK53" i="338" a="1"/>
  <c r="AK53" i="338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AG53" i="338"/>
  <c r="AG10" i="338"/>
  <c r="AF48" i="338"/>
  <c r="AF47" i="338"/>
  <c r="AF44" i="338"/>
  <c r="G22" i="446" a="1"/>
  <c r="G22" i="446"/>
  <c r="F24" i="446" a="1"/>
  <c r="F24" i="446"/>
  <c r="F22" i="446" a="1"/>
  <c r="F22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AF54" i="338"/>
  <c r="AF53" i="338"/>
  <c r="AF52" i="338"/>
  <c r="AK49" i="338" a="1"/>
  <c r="AK49" i="338"/>
  <c r="AK48" i="338" a="1"/>
  <c r="AK48" i="338"/>
  <c r="F15" i="446" a="1"/>
  <c r="F15" i="446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G15" i="446" a="1"/>
  <c r="G15" i="446"/>
  <c r="G23" i="446" a="1"/>
  <c r="G23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AI49" i="338" a="1"/>
  <c r="AI49" i="338"/>
  <c r="AI48" i="338" a="1"/>
  <c r="AI48" i="338"/>
  <c r="AG51" i="338"/>
  <c r="AG47" i="338"/>
  <c r="AG41" i="338"/>
  <c r="AG33" i="338"/>
  <c r="AG31" i="338"/>
  <c r="AF49" i="338"/>
  <c r="AF46" i="338"/>
  <c r="AF45" i="338"/>
  <c r="AG37" i="338"/>
  <c r="AG36" i="338"/>
  <c r="AG35" i="338"/>
  <c r="AG34" i="338"/>
  <c r="AF51" i="338"/>
  <c r="AF50" i="338"/>
  <c r="AG49" i="338"/>
  <c r="AG48" i="338"/>
  <c r="G24" i="446" a="1"/>
  <c r="G24" i="446"/>
  <c r="G18" i="446" a="1"/>
  <c r="G18" i="446"/>
  <c r="X13" i="338" a="1"/>
  <c r="X13" i="338"/>
  <c r="X35" i="338" a="1"/>
  <c r="X35" i="338"/>
  <c r="P13" i="338" a="1"/>
  <c r="P13" i="338"/>
  <c r="T54" i="338" a="1"/>
  <c r="T54" i="338"/>
  <c r="T37" i="338" a="1"/>
  <c r="T37" i="338"/>
  <c r="P35" i="338" a="1"/>
  <c r="P35" i="338"/>
  <c r="X17" i="338" a="1"/>
  <c r="X17" i="338"/>
  <c r="S53" i="338" a="1"/>
  <c r="S53" i="338"/>
  <c r="P54" i="338" a="1"/>
  <c r="P54" i="338"/>
  <c r="S54" i="338" a="1"/>
  <c r="S54" i="338"/>
  <c r="P51" i="338" a="1"/>
  <c r="P51" i="338"/>
  <c r="T40" i="338" a="1"/>
  <c r="T40" i="338"/>
  <c r="T35" i="338" a="1"/>
  <c r="T35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P40" i="338" a="1"/>
  <c r="P40" i="338"/>
  <c r="T53" i="338" a="1"/>
  <c r="T53" i="338"/>
  <c r="S17" i="338" a="1"/>
  <c r="S17" i="338"/>
  <c r="T51" i="338" a="1"/>
  <c r="T51" i="338"/>
  <c r="T17" i="338" a="1"/>
  <c r="T17" i="338"/>
  <c r="X53" i="338" a="1"/>
  <c r="X53" i="338"/>
  <c r="S51" i="338" a="1"/>
  <c r="S51" i="338"/>
  <c r="S10" i="338" a="1"/>
  <c r="S10" i="338"/>
  <c r="P10" i="338" a="1"/>
  <c r="P10" i="338"/>
  <c r="S40" i="338" a="1"/>
  <c r="S4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37" i="338" a="1"/>
  <c r="X37" i="338"/>
  <c r="X40" i="338" a="1"/>
  <c r="X40" i="338"/>
  <c r="X10" i="338" a="1"/>
  <c r="X10" i="338"/>
  <c r="S38" i="338" a="1"/>
  <c r="S38" i="338"/>
  <c r="S16" i="338" a="1"/>
  <c r="S16" i="338"/>
  <c r="X51" i="338" a="1"/>
  <c r="X51" i="338"/>
  <c r="P53" i="338" a="1"/>
  <c r="P53" i="338"/>
  <c r="S37" i="338" a="1"/>
  <c r="S37" i="338"/>
  <c r="M15" i="252" a="1"/>
  <c r="M15" i="252"/>
  <c r="M9" i="252" a="1"/>
  <c r="M9" i="252"/>
  <c r="O12" i="252" a="1"/>
  <c r="O12" i="252"/>
  <c r="O15" i="252" a="1"/>
  <c r="O15" i="252"/>
  <c r="L9" i="252" a="1"/>
  <c r="L9" i="252"/>
  <c r="N15" i="252" a="1"/>
  <c r="N15" i="252"/>
  <c r="O9" i="252" a="1"/>
  <c r="O9" i="252"/>
  <c r="M12" i="252" a="1"/>
  <c r="M12" i="252"/>
  <c r="N9" i="252" a="1"/>
  <c r="N9" i="252"/>
  <c r="L12" i="252" a="1"/>
  <c r="L12" i="252"/>
  <c r="N12" i="252" a="1"/>
  <c r="N12" i="252"/>
  <c r="L15" i="252" a="1"/>
  <c r="L15" i="252"/>
  <c r="AK13" i="338" a="1"/>
  <c r="AK13" i="338"/>
  <c r="AG54" i="338"/>
  <c r="F16" i="446" a="1"/>
  <c r="F16" i="446"/>
  <c r="AI54" i="338" a="1"/>
  <c r="AI54" i="338"/>
  <c r="F17" i="446" a="1"/>
  <c r="F17" i="446"/>
  <c r="AI13" i="338" a="1"/>
  <c r="AI13" i="338"/>
  <c r="AG13" i="338"/>
  <c r="AK54" i="338" a="1"/>
  <c r="AK54" i="338"/>
  <c r="G16" i="446" a="1"/>
  <c r="G16" i="446"/>
  <c r="G17" i="446" a="1"/>
  <c r="G17" i="446"/>
  <c r="AR23" i="2" a="1"/>
  <c r="AR23" i="2"/>
  <c r="F23" i="2" a="1"/>
  <c r="F23" i="2"/>
  <c r="AA23" i="2" a="1"/>
  <c r="AA23" i="2"/>
  <c r="D23" i="2" a="1"/>
  <c r="D23" i="2" l="1"/>
  <c r="Z23" i="2"/>
  <c r="AV23" i="2" s="1" a="1"/>
  <c r="AQ23" i="2" a="1"/>
  <c r="AC23" i="2" a="1"/>
  <c r="E23" i="2" a="1"/>
  <c r="AC23" i="2" l="1"/>
  <c r="AQ23" i="2"/>
  <c r="AV23" i="2"/>
  <c r="E23" i="2"/>
  <c r="AD23" i="2" a="1"/>
  <c r="AD23" i="2"/>
  <c r="AJ37" i="338" a="1"/>
  <c r="AJ37" i="338"/>
  <c r="AH37" i="338" a="1"/>
  <c r="AH37" i="338"/>
  <c r="AJ36" i="338" a="1"/>
  <c r="AJ36" i="338"/>
  <c r="AF37" i="338"/>
  <c r="AF52" i="1"/>
  <c r="AH36" i="338" a="1"/>
  <c r="AH36" i="338"/>
  <c r="AF36" i="338"/>
  <c r="AF46" i="1"/>
  <c r="M13" i="252" a="1"/>
  <c r="M13" i="252"/>
  <c r="L13" i="252" a="1"/>
  <c r="L13" i="252"/>
  <c r="F13" i="252" a="1"/>
  <c r="F13" i="252"/>
  <c r="O13" i="252" a="1"/>
  <c r="O13" i="252"/>
  <c r="N13" i="252" a="1"/>
  <c r="N13" i="252"/>
  <c r="AK45" i="338" a="1"/>
  <c r="AK45" i="338"/>
  <c r="AG45" i="338"/>
  <c r="AI45" i="338" a="1"/>
  <c r="AI45" i="338"/>
  <c r="D196" i="89" a="1"/>
  <c r="D196" i="89"/>
  <c r="E8" i="89" a="1"/>
  <c r="E8" i="89"/>
  <c r="E224" i="89" a="1"/>
  <c r="E224" i="89"/>
  <c r="D33" i="89" a="1"/>
  <c r="D33" i="89"/>
  <c r="E34" i="89" a="1"/>
  <c r="E34" i="89"/>
  <c r="E68" i="89"/>
  <c r="E196" i="89" a="1"/>
  <c r="E196" i="89"/>
  <c r="D7" i="89"/>
  <c r="D34" i="89" a="1"/>
  <c r="D34" i="89"/>
  <c r="E204" i="89" a="1"/>
  <c r="E204" i="89"/>
  <c r="D204" i="89" a="1"/>
  <c r="D204" i="89"/>
  <c r="D224" i="89" a="1"/>
  <c r="D224" i="89"/>
  <c r="E27" i="89" a="1"/>
  <c r="E27" i="89"/>
  <c r="E171" i="89" a="1"/>
  <c r="E171" i="89"/>
  <c r="E225" i="89" a="1"/>
  <c r="E225" i="89"/>
  <c r="D8" i="89" a="1"/>
  <c r="D8" i="89"/>
  <c r="D27" i="89" a="1"/>
  <c r="D27" i="89"/>
  <c r="D225" i="89" a="1"/>
  <c r="D225" i="89"/>
  <c r="D68" i="89"/>
  <c r="E33" i="89" a="1"/>
  <c r="E33" i="89"/>
  <c r="E7" i="89"/>
  <c r="S213" i="89" a="1"/>
  <c r="S213" i="89"/>
  <c r="R213" i="89" a="1"/>
  <c r="S225" i="89" a="1"/>
  <c r="R213" i="89" l="1"/>
  <c r="S225" i="89"/>
  <c r="R225" i="89" a="1"/>
  <c r="E14" i="89" a="1"/>
  <c r="R225" i="89" l="1"/>
  <c r="E14" i="89"/>
  <c r="E55" i="89" a="1"/>
  <c r="E55" i="89"/>
  <c r="E50" i="89" a="1"/>
  <c r="E50" i="89"/>
  <c r="D20" i="89" a="1"/>
  <c r="D20" i="89"/>
  <c r="E203" i="89" a="1"/>
  <c r="E203" i="89"/>
  <c r="D55" i="89" a="1"/>
  <c r="D55" i="89"/>
  <c r="D14" i="89" a="1"/>
  <c r="D14" i="89"/>
  <c r="E39" i="89" a="1"/>
  <c r="E39" i="89"/>
  <c r="E13" i="89" a="1"/>
  <c r="E13" i="89"/>
  <c r="D203" i="89" a="1"/>
  <c r="D203" i="89"/>
  <c r="D50" i="89" a="1"/>
  <c r="D50" i="89"/>
  <c r="E20" i="89" a="1"/>
  <c r="E20" i="89"/>
  <c r="D205" i="89" a="1"/>
  <c r="D205" i="89"/>
  <c r="E213" i="89" a="1"/>
  <c r="E213" i="89"/>
  <c r="E205" i="89" a="1"/>
  <c r="E205" i="89"/>
  <c r="D39" i="89" a="1"/>
  <c r="D39" i="89"/>
  <c r="D40" i="89" a="1"/>
  <c r="D40" i="89"/>
  <c r="D223" i="89" a="1"/>
  <c r="D223" i="89"/>
  <c r="D19" i="89"/>
  <c r="E62" i="89" a="1"/>
  <c r="E62" i="89"/>
  <c r="D26" i="89" a="1"/>
  <c r="D26" i="89"/>
  <c r="D49" i="89" a="1"/>
  <c r="D49" i="89"/>
  <c r="D63" i="89" a="1"/>
  <c r="D63" i="89"/>
  <c r="D222" i="89" a="1"/>
  <c r="D222" i="89"/>
  <c r="E56" i="89" a="1"/>
  <c r="E56" i="89"/>
  <c r="D197" i="89" a="1"/>
  <c r="D197" i="89"/>
  <c r="E63" i="89" a="1"/>
  <c r="E63" i="89"/>
  <c r="D62" i="89" a="1"/>
  <c r="D62" i="89"/>
  <c r="E223" i="89" a="1"/>
  <c r="E223" i="89"/>
  <c r="E26" i="89" a="1"/>
  <c r="E26" i="89"/>
  <c r="E197" i="89" a="1"/>
  <c r="E197" i="89"/>
  <c r="E222" i="89" a="1"/>
  <c r="E222" i="89"/>
  <c r="E49" i="89" a="1"/>
  <c r="E49" i="89"/>
  <c r="E40" i="89" a="1"/>
  <c r="E40" i="89"/>
  <c r="D56" i="89" a="1"/>
  <c r="D56" i="89"/>
  <c r="E19" i="89"/>
  <c r="AH9" i="338" a="1"/>
  <c r="AH9" i="338"/>
  <c r="AH8" i="338" a="1"/>
  <c r="AH8" i="338"/>
  <c r="AG9" i="338"/>
  <c r="AF56" i="1"/>
  <c r="AK9" i="338" a="1"/>
  <c r="AK9" i="338"/>
  <c r="AJ9" i="338" a="1"/>
  <c r="AJ9" i="338"/>
  <c r="AJ8" i="338" a="1"/>
  <c r="AJ8" i="338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G27" i="446" a="1"/>
  <c r="G27" i="446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AB24" i="1"/>
  <c r="F27" i="446" a="1"/>
  <c r="F27" i="446"/>
  <c r="AJ35" i="338" a="1"/>
  <c r="AJ35" i="338"/>
  <c r="AJ14" i="338" a="1"/>
  <c r="AJ14" i="338"/>
  <c r="AH35" i="338" a="1"/>
  <c r="AH35" i="338"/>
  <c r="AH14" i="338" a="1"/>
  <c r="AH14" i="338"/>
  <c r="AF33" i="338"/>
  <c r="AF11" i="338"/>
  <c r="AF10" i="338"/>
  <c r="AF28" i="1"/>
  <c r="AK11" i="338" a="1"/>
  <c r="AK11" i="338"/>
  <c r="AI11" i="338" a="1"/>
  <c r="AI11" i="338"/>
  <c r="AH33" i="338" a="1"/>
  <c r="AH33" i="338"/>
  <c r="AH11" i="338" a="1"/>
  <c r="AH11" i="338"/>
  <c r="AH10" i="338" a="1"/>
  <c r="AH10" i="338"/>
  <c r="AH18" i="338" a="1"/>
  <c r="AH18" i="338"/>
  <c r="AH17" i="338" a="1"/>
  <c r="AH17" i="338"/>
  <c r="G19" i="446" a="1"/>
  <c r="G19" i="446"/>
  <c r="G36" i="446" a="1"/>
  <c r="G36" i="446"/>
  <c r="AF18" i="338"/>
  <c r="AF17" i="338"/>
  <c r="AF54" i="1"/>
  <c r="AF35" i="338"/>
  <c r="AF14" i="338"/>
  <c r="AF51" i="1"/>
  <c r="AC48" i="1" a="1"/>
  <c r="AC48" i="1"/>
  <c r="D35" i="446" a="1"/>
  <c r="D35" i="446"/>
  <c r="AC24" i="1" a="1"/>
  <c r="AC24" i="1"/>
  <c r="D27" i="446" a="1"/>
  <c r="D27" i="446"/>
  <c r="AB20" i="1"/>
  <c r="AB19" i="1"/>
  <c r="F21" i="446" a="1"/>
  <c r="F21" i="446"/>
  <c r="AI8" i="338" a="1"/>
  <c r="AI8" i="338"/>
  <c r="AI50" i="338" a="1"/>
  <c r="AI50" i="338"/>
  <c r="AI46" i="338" a="1"/>
  <c r="AI46" i="338"/>
  <c r="AI32" i="338" a="1"/>
  <c r="AI32" i="338"/>
  <c r="G26" i="446" a="1"/>
  <c r="G26" i="446"/>
  <c r="AJ18" i="338" a="1"/>
  <c r="AJ18" i="338"/>
  <c r="AJ17" i="338" a="1"/>
  <c r="AJ17" i="338"/>
  <c r="AI9" i="338" a="1"/>
  <c r="AI9" i="338"/>
  <c r="AB54" i="1"/>
  <c r="F14" i="446" a="1"/>
  <c r="F14" i="446"/>
  <c r="AB56" i="1"/>
  <c r="F19" i="446" a="1"/>
  <c r="F19" i="446"/>
  <c r="AB28" i="1"/>
  <c r="F26" i="446" a="1"/>
  <c r="F26" i="446"/>
  <c r="AC28" i="1" a="1"/>
  <c r="AC28" i="1"/>
  <c r="D26" i="446" a="1"/>
  <c r="D26" i="446"/>
  <c r="AK8" i="338" a="1"/>
  <c r="AK8" i="338"/>
  <c r="AK50" i="338" a="1"/>
  <c r="AK50" i="338"/>
  <c r="AK46" i="338" a="1"/>
  <c r="AK46" i="338"/>
  <c r="AK32" i="338" a="1"/>
  <c r="AK32" i="338"/>
  <c r="AF34" i="338"/>
  <c r="AF13" i="338"/>
  <c r="AF48" i="1"/>
  <c r="AC29" i="1" a="1"/>
  <c r="AC29" i="1"/>
  <c r="D30" i="446" a="1"/>
  <c r="D30" i="446"/>
  <c r="G30" i="446" a="1"/>
  <c r="G30" i="446"/>
  <c r="AJ34" i="338" a="1"/>
  <c r="AJ34" i="338"/>
  <c r="AJ13" i="338" a="1"/>
  <c r="AJ13" i="338"/>
  <c r="AC51" i="1" a="1"/>
  <c r="AC51" i="1"/>
  <c r="D36" i="446" a="1"/>
  <c r="D36" i="446"/>
  <c r="AF9" i="338"/>
  <c r="AF8" i="338"/>
  <c r="AF29" i="1"/>
  <c r="AG8" i="338"/>
  <c r="AG50" i="338"/>
  <c r="AG46" i="338"/>
  <c r="AG32" i="338"/>
  <c r="AF31" i="1"/>
  <c r="AF30" i="1"/>
  <c r="AJ33" i="338" a="1"/>
  <c r="AJ33" i="338"/>
  <c r="AJ11" i="338" a="1"/>
  <c r="AJ11" i="338"/>
  <c r="AJ10" i="338" a="1"/>
  <c r="AJ10" i="338"/>
  <c r="AB29" i="1"/>
  <c r="F30" i="446" a="1"/>
  <c r="F30" i="446"/>
  <c r="G35" i="446" a="1"/>
  <c r="G35" i="446"/>
  <c r="AB51" i="1"/>
  <c r="F36" i="446" a="1"/>
  <c r="F36" i="446"/>
  <c r="G21" i="446" a="1"/>
  <c r="G21" i="446"/>
  <c r="AH34" i="338" a="1"/>
  <c r="AH34" i="338"/>
  <c r="AH13" i="338" a="1"/>
  <c r="AH13" i="338"/>
  <c r="AB48" i="1"/>
  <c r="F35" i="446" a="1"/>
  <c r="F35" i="446"/>
  <c r="AG52" i="338"/>
  <c r="AG44" i="338"/>
  <c r="AG39" i="338"/>
  <c r="AG38" i="338"/>
  <c r="AG17" i="338"/>
  <c r="AG16" i="338"/>
  <c r="AG15" i="338"/>
  <c r="AF20" i="1"/>
  <c r="AF19" i="1"/>
  <c r="G14" i="446" a="1"/>
  <c r="G14" i="446"/>
  <c r="G9" i="446" a="1"/>
  <c r="G9" i="446"/>
  <c r="AB31" i="1"/>
  <c r="AB30" i="1"/>
  <c r="F9" i="446" a="1"/>
  <c r="F9" i="446"/>
  <c r="AG11" i="338"/>
  <c r="AF24" i="1"/>
  <c r="F11" i="252" a="1"/>
  <c r="F11" i="252"/>
  <c r="F20" i="252" a="1"/>
  <c r="F20" i="252"/>
  <c r="P17" i="252" a="1"/>
  <c r="P17" i="252"/>
  <c r="N19" i="252" a="1"/>
  <c r="N19" i="252"/>
  <c r="F19" i="252" a="1"/>
  <c r="F19" i="252"/>
  <c r="F14" i="252" a="1"/>
  <c r="F14" i="252"/>
  <c r="P19" i="252" a="1"/>
  <c r="P19" i="252"/>
  <c r="M17" i="252" a="1"/>
  <c r="M17" i="252"/>
  <c r="S19" i="252" a="1"/>
  <c r="S19" i="252"/>
  <c r="S20" i="252" a="1"/>
  <c r="S20" i="252"/>
  <c r="M11" i="252" a="1"/>
  <c r="M11" i="252"/>
  <c r="S10" i="252" a="1"/>
  <c r="S10" i="252"/>
  <c r="L14" i="252" a="1"/>
  <c r="L14" i="252"/>
  <c r="P18" i="252" a="1"/>
  <c r="P18" i="252"/>
  <c r="F7" i="252" a="1"/>
  <c r="F7" i="252"/>
  <c r="P8" i="252" a="1"/>
  <c r="P8" i="252"/>
  <c r="O8" i="252" a="1"/>
  <c r="O8" i="252"/>
  <c r="P7" i="252" a="1"/>
  <c r="P7" i="252"/>
  <c r="L16" i="252" a="1"/>
  <c r="L16" i="252"/>
  <c r="N17" i="252" a="1"/>
  <c r="N17" i="252"/>
  <c r="P20" i="252" a="1"/>
  <c r="P20" i="252"/>
  <c r="F10" i="252" a="1"/>
  <c r="F10" i="252"/>
  <c r="S14" i="252" a="1"/>
  <c r="S14" i="252"/>
  <c r="S18" i="252" a="1"/>
  <c r="S18" i="252"/>
  <c r="N8" i="252" a="1"/>
  <c r="N8" i="252"/>
  <c r="L10" i="252" a="1"/>
  <c r="L10" i="252"/>
  <c r="O19" i="252" a="1"/>
  <c r="O19" i="252"/>
  <c r="M16" i="252" a="1"/>
  <c r="M16" i="252"/>
  <c r="L7" i="252" a="1"/>
  <c r="L7" i="252"/>
  <c r="M10" i="252" a="1"/>
  <c r="M10" i="252"/>
  <c r="P11" i="252" a="1"/>
  <c r="P11" i="252"/>
  <c r="N18" i="252" a="1"/>
  <c r="N18" i="252"/>
  <c r="F17" i="252" a="1"/>
  <c r="F17" i="252"/>
  <c r="O16" i="252" a="1"/>
  <c r="O16" i="252"/>
  <c r="S8" i="252" a="1"/>
  <c r="S8" i="252"/>
  <c r="S11" i="252" a="1"/>
  <c r="S11" i="252"/>
  <c r="L17" i="252" a="1"/>
  <c r="L17" i="252"/>
  <c r="L8" i="252" a="1"/>
  <c r="L8" i="252"/>
  <c r="M18" i="252" a="1"/>
  <c r="M18" i="252"/>
  <c r="S16" i="252" a="1"/>
  <c r="S16" i="252"/>
  <c r="O14" i="252" a="1"/>
  <c r="O14" i="252"/>
  <c r="O17" i="252" a="1"/>
  <c r="O17" i="252"/>
  <c r="N14" i="252" a="1"/>
  <c r="N14" i="252"/>
  <c r="L11" i="252" a="1"/>
  <c r="L11" i="252"/>
  <c r="M20" i="252" a="1"/>
  <c r="M20" i="252"/>
  <c r="N10" i="252" a="1"/>
  <c r="N10" i="252"/>
  <c r="N20" i="252" a="1"/>
  <c r="N20" i="252"/>
  <c r="N7" i="252" a="1"/>
  <c r="N7" i="252"/>
  <c r="M19" i="252" a="1"/>
  <c r="M19" i="252"/>
  <c r="F16" i="252" a="1"/>
  <c r="F16" i="252"/>
  <c r="O20" i="252" a="1"/>
  <c r="O20" i="252"/>
  <c r="O11" i="252" a="1"/>
  <c r="O11" i="252"/>
  <c r="P10" i="252" a="1"/>
  <c r="P10" i="252"/>
  <c r="N16" i="252" a="1"/>
  <c r="N16" i="252"/>
  <c r="N11" i="252" a="1"/>
  <c r="N11" i="252"/>
  <c r="M14" i="252" a="1"/>
  <c r="M14" i="252"/>
  <c r="P14" i="252" a="1"/>
  <c r="P14" i="252"/>
  <c r="L19" i="252" a="1"/>
  <c r="L19" i="252"/>
  <c r="O10" i="252" a="1"/>
  <c r="O10" i="252"/>
  <c r="M7" i="252" a="1"/>
  <c r="M7" i="252"/>
  <c r="M8" i="252" a="1"/>
  <c r="M8" i="252"/>
  <c r="L20" i="252" a="1"/>
  <c r="L20" i="252"/>
  <c r="S7" i="252" a="1"/>
  <c r="S7" i="252"/>
  <c r="L18" i="252" a="1"/>
  <c r="L18" i="252"/>
  <c r="O7" i="252" a="1"/>
  <c r="O7" i="252"/>
  <c r="P16" i="252" a="1"/>
  <c r="P16" i="252"/>
  <c r="F18" i="252" a="1"/>
  <c r="F18" i="252"/>
  <c r="F8" i="252" a="1"/>
  <c r="F8" i="252"/>
  <c r="O18" i="252" a="1"/>
  <c r="O18" i="252"/>
  <c r="S17" i="252" a="1"/>
  <c r="S17" i="252"/>
  <c r="E237" i="89" a="1"/>
  <c r="E237" i="89"/>
  <c r="E212" i="89" a="1"/>
  <c r="E212" i="89"/>
  <c r="E236" i="89" a="1"/>
  <c r="E236" i="89"/>
  <c r="E170" i="89" a="1"/>
  <c r="E170" i="89"/>
  <c r="E180" i="89" a="1"/>
  <c r="E180" i="89"/>
  <c r="E169" i="89" a="1"/>
  <c r="E169" i="89"/>
  <c r="E235" i="89" a="1"/>
  <c r="E235" i="89"/>
  <c r="E233" i="89" a="1"/>
  <c r="E233" i="89"/>
  <c r="E234" i="89" a="1"/>
  <c r="E234" i="89"/>
  <c r="V213" i="89" a="1"/>
  <c r="V213" i="89"/>
  <c r="V205" i="89" a="1"/>
  <c r="V205" i="89"/>
  <c r="O225" i="89" a="1"/>
  <c r="O225" i="89"/>
  <c r="C213" i="89" a="1"/>
  <c r="C213" i="89"/>
  <c r="C205" i="89" a="1"/>
  <c r="C205" i="89"/>
  <c r="T213" i="89" a="1"/>
  <c r="T213" i="89"/>
  <c r="T205" i="89" a="1"/>
  <c r="T205" i="89"/>
  <c r="C225" i="89" a="1"/>
  <c r="C225" i="89"/>
  <c r="V225" i="89" a="1"/>
  <c r="V225" i="89"/>
  <c r="O213" i="89" a="1"/>
  <c r="O213" i="89"/>
  <c r="O205" i="89" a="1"/>
  <c r="O205" i="89" l="1"/>
  <c r="T225" i="89" a="1"/>
  <c r="T225" i="89" l="1"/>
  <c r="N95" i="89" a="1"/>
  <c r="N95" i="89"/>
  <c r="N82" i="89" a="1"/>
  <c r="N82" i="89"/>
  <c r="N76" i="89" a="1"/>
  <c r="N76" i="89"/>
  <c r="N160" i="89" a="1"/>
  <c r="N160" i="89"/>
  <c r="Z160" i="89" a="1"/>
  <c r="N102" i="89" a="1"/>
  <c r="Z160" i="89" l="1"/>
  <c r="N102" i="89"/>
  <c r="N101" i="89" a="1"/>
  <c r="N101" i="89"/>
  <c r="L56" i="1" a="1"/>
  <c r="L56" i="1"/>
  <c r="L55" i="1" a="1"/>
  <c r="L55" i="1"/>
  <c r="L54" i="1" a="1"/>
  <c r="L54" i="1"/>
  <c r="L53" i="1" a="1"/>
  <c r="L53" i="1"/>
  <c r="L52" i="1" a="1"/>
  <c r="L52" i="1"/>
  <c r="L51" i="1" a="1"/>
  <c r="L51" i="1"/>
  <c r="L50" i="1" a="1"/>
  <c r="L50" i="1"/>
  <c r="L48" i="1" a="1"/>
  <c r="L48" i="1"/>
  <c r="L46" i="1" a="1"/>
  <c r="L46" i="1"/>
  <c r="L42" i="1" a="1"/>
  <c r="L42" i="1"/>
  <c r="L41" i="1" a="1"/>
  <c r="L41" i="1"/>
  <c r="L38" i="1" a="1"/>
  <c r="L38" i="1"/>
  <c r="L37" i="1" a="1"/>
  <c r="L37" i="1"/>
  <c r="L36" i="1" a="1"/>
  <c r="L36" i="1"/>
  <c r="L31" i="1" a="1"/>
  <c r="L31" i="1"/>
  <c r="L30" i="1" a="1"/>
  <c r="L30" i="1"/>
  <c r="L29" i="1" a="1"/>
  <c r="L29" i="1"/>
  <c r="L28" i="1" a="1"/>
  <c r="L28" i="1"/>
  <c r="L26" i="1" a="1"/>
  <c r="L26" i="1"/>
  <c r="L24" i="1" a="1"/>
  <c r="L24" i="1"/>
  <c r="L23" i="1" a="1"/>
  <c r="L23" i="1"/>
  <c r="L22" i="1" a="1"/>
  <c r="L22" i="1"/>
  <c r="L21" i="1" a="1"/>
  <c r="L21" i="1"/>
  <c r="L20" i="1" a="1"/>
  <c r="L20" i="1"/>
  <c r="L19" i="1" a="1"/>
  <c r="L19" i="1"/>
  <c r="L17" i="1" a="1"/>
  <c r="L17" i="1"/>
  <c r="L16" i="1" a="1"/>
  <c r="L16" i="1"/>
  <c r="L15" i="1" a="1"/>
  <c r="L15" i="1"/>
  <c r="L14" i="1" a="1"/>
  <c r="L14" i="1"/>
  <c r="L13" i="1" a="1"/>
  <c r="L13" i="1"/>
  <c r="L12" i="1" a="1"/>
  <c r="L12" i="1"/>
  <c r="G6" i="446" a="1"/>
  <c r="G6" i="446"/>
  <c r="G5" i="446" a="1"/>
  <c r="G5" i="446"/>
  <c r="AB22" i="1"/>
  <c r="AB21" i="1"/>
  <c r="F6" i="446" a="1"/>
  <c r="F6" i="446"/>
  <c r="F5" i="446" a="1"/>
  <c r="F5" i="446"/>
  <c r="E211" i="89" a="1"/>
  <c r="E211" i="89"/>
  <c r="O6" i="252" a="1"/>
  <c r="O6" i="252"/>
  <c r="Y6" i="252" a="1"/>
  <c r="Y6" i="252"/>
  <c r="L6" i="252" a="1"/>
  <c r="L6" i="252"/>
  <c r="M6" i="252" a="1"/>
  <c r="M6" i="252"/>
  <c r="N6" i="252" a="1"/>
  <c r="N6" i="252"/>
  <c r="E195" i="89" a="1"/>
  <c r="E195" i="89"/>
  <c r="D195" i="89" a="1"/>
  <c r="D195" i="89"/>
  <c r="J55" i="338" a="1"/>
  <c r="J55" i="338"/>
  <c r="H55" i="338" a="1"/>
  <c r="H55" i="338"/>
  <c r="C178" i="89" a="1"/>
  <c r="C178" i="89"/>
  <c r="E179" i="89" a="1"/>
  <c r="E179" i="89"/>
  <c r="AI55" i="338" a="1"/>
  <c r="AI55" i="338"/>
  <c r="T55" i="338" a="1"/>
  <c r="T55" i="338"/>
  <c r="O178" i="89" a="1"/>
  <c r="O178" i="89"/>
  <c r="AK14" i="338" a="1"/>
  <c r="AK14" i="338"/>
  <c r="J1" i="24" a="1"/>
  <c r="J1" i="24"/>
  <c r="S55" i="338" a="1"/>
  <c r="S55" i="338"/>
  <c r="V179" i="89" a="1"/>
  <c r="V179" i="89"/>
  <c r="V178" i="89" a="1"/>
  <c r="V178" i="89"/>
  <c r="P55" i="338" a="1"/>
  <c r="P55" i="338"/>
  <c r="T178" i="89" a="1"/>
  <c r="T178" i="89"/>
  <c r="X55" i="338" a="1"/>
  <c r="X55" i="338"/>
  <c r="J25" i="2" l="1"/>
  <c r="K25" i="2" s="1"/>
  <c r="J24" i="2"/>
  <c r="K24" i="2" s="1"/>
  <c r="J5" i="2"/>
  <c r="K5" i="2" s="1"/>
  <c r="J6" i="2"/>
  <c r="K6" i="2" s="1"/>
  <c r="J7" i="2"/>
  <c r="K7" i="2" s="1"/>
  <c r="J8" i="2"/>
  <c r="K8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9" i="2"/>
  <c r="K19" i="2" s="1"/>
  <c r="J20" i="2"/>
  <c r="K20" i="2" s="1"/>
  <c r="J21" i="2"/>
  <c r="K21" i="2" s="1"/>
  <c r="K26" i="89" a="1"/>
  <c r="W26" i="89" a="1"/>
  <c r="F26" i="89" a="1"/>
  <c r="L26" i="89" a="1"/>
  <c r="N37" i="1" l="1"/>
  <c r="L26" i="89"/>
  <c r="F26" i="89"/>
  <c r="W26" i="89"/>
  <c r="K26" i="89"/>
  <c r="J37" i="1" l="1"/>
  <c r="J31" i="1"/>
  <c r="N31" i="1"/>
  <c r="T37" i="1"/>
  <c r="N20" i="1"/>
  <c r="J20" i="1"/>
  <c r="J22" i="1"/>
  <c r="N22" i="1"/>
  <c r="T20" i="1" l="1"/>
  <c r="T22" i="1"/>
  <c r="BA23" i="2" l="1"/>
  <c r="J23" i="2"/>
  <c r="AB26" i="89" a="1"/>
  <c r="T179" i="89" a="1"/>
  <c r="O179" i="89" a="1"/>
  <c r="E178" i="89" a="1"/>
  <c r="AK55" i="338" a="1"/>
  <c r="K2" i="2" a="1"/>
  <c r="AJ55" i="338" a="1"/>
  <c r="AH55" i="338" a="1"/>
  <c r="Q23" i="2" a="1"/>
  <c r="G23" i="2" a="1"/>
  <c r="C179" i="89" a="1"/>
  <c r="AI14" i="338" a="1"/>
  <c r="P23" i="2" a="1"/>
  <c r="AN23" i="2" a="1"/>
  <c r="AF23" i="2" a="1"/>
  <c r="O179" i="89" l="1"/>
  <c r="T179" i="89"/>
  <c r="AB26" i="89"/>
  <c r="AH55" i="338"/>
  <c r="AI14" i="338"/>
  <c r="AJ55" i="338"/>
  <c r="K2" i="2"/>
  <c r="C179" i="89"/>
  <c r="AK55" i="338"/>
  <c r="E178" i="89"/>
  <c r="AF23" i="2"/>
  <c r="G23" i="2"/>
  <c r="Q23" i="2"/>
  <c r="AN23" i="2"/>
  <c r="P23" i="2"/>
  <c r="BB23" i="2"/>
  <c r="BC23" i="2" s="1"/>
  <c r="S23" i="2" a="1"/>
  <c r="Q31" i="1" l="1"/>
  <c r="S31" i="1"/>
  <c r="S16" i="1"/>
  <c r="Q16" i="1"/>
  <c r="N16" i="1"/>
  <c r="J16" i="1"/>
  <c r="R23" i="2"/>
  <c r="S23" i="2"/>
  <c r="AP23" i="2" s="1"/>
  <c r="O23" i="2"/>
  <c r="S50" i="89" a="1"/>
  <c r="S224" i="89" a="1"/>
  <c r="S20" i="89" a="1"/>
  <c r="S39" i="89" a="1"/>
  <c r="S26" i="89" a="1"/>
  <c r="S233" i="89" a="1"/>
  <c r="S180" i="89" a="1"/>
  <c r="S13" i="89" a="1"/>
  <c r="S237" i="89" a="1"/>
  <c r="S68" i="89" a="1"/>
  <c r="S235" i="89" a="1"/>
  <c r="Z6" i="2"/>
  <c r="AV6" i="2" s="1" a="1"/>
  <c r="AV6" i="2" l="1"/>
  <c r="S235" i="89"/>
  <c r="S68" i="89"/>
  <c r="S237" i="89"/>
  <c r="S13" i="89"/>
  <c r="S180" i="89"/>
  <c r="AE23" i="2"/>
  <c r="S20" i="89"/>
  <c r="S224" i="89"/>
  <c r="S50" i="89"/>
  <c r="T31" i="1"/>
  <c r="S26" i="89"/>
  <c r="S233" i="89"/>
  <c r="S39" i="89"/>
  <c r="T16" i="1"/>
  <c r="U23" i="2"/>
  <c r="AO23" i="2"/>
  <c r="AL23" i="2"/>
  <c r="AT23" i="2"/>
  <c r="AS23" i="2"/>
  <c r="AM23" i="2"/>
  <c r="AB23" i="2"/>
  <c r="M23" i="2"/>
  <c r="X23" i="2"/>
  <c r="Y23" i="2" s="1"/>
  <c r="R235" i="89" a="1"/>
  <c r="R237" i="89" a="1"/>
  <c r="R13" i="89" a="1"/>
  <c r="R68" i="89" a="1"/>
  <c r="R180" i="89" a="1"/>
  <c r="R20" i="89" a="1"/>
  <c r="R224" i="89" a="1"/>
  <c r="R50" i="89" a="1"/>
  <c r="R233" i="89" a="1"/>
  <c r="R39" i="89" a="1"/>
  <c r="R26" i="89" a="1"/>
  <c r="R39" i="89" l="1"/>
  <c r="R233" i="89"/>
  <c r="R50" i="89"/>
  <c r="R224" i="89"/>
  <c r="R20" i="89"/>
  <c r="R180" i="89"/>
  <c r="R68" i="89"/>
  <c r="R13" i="89"/>
  <c r="R237" i="89"/>
  <c r="R235" i="89"/>
  <c r="R26" i="89"/>
  <c r="N17" i="1"/>
  <c r="J17" i="1"/>
  <c r="I66" i="531" l="1"/>
  <c r="I21" i="1" a="1"/>
  <c r="I30" i="1" a="1"/>
  <c r="I24" i="1" a="1"/>
  <c r="I36" i="1" a="1"/>
  <c r="I51" i="1" a="1"/>
  <c r="I15" i="1" a="1"/>
  <c r="I44" i="1" a="1"/>
  <c r="I35" i="1" a="1"/>
  <c r="I19" i="1" a="1"/>
  <c r="I35" i="1" l="1"/>
  <c r="I21" i="1"/>
  <c r="I44" i="1"/>
  <c r="I51" i="1"/>
  <c r="I36" i="1"/>
  <c r="I30" i="1"/>
  <c r="I15" i="1"/>
  <c r="J15" i="1" s="1"/>
  <c r="I24" i="1"/>
  <c r="I19" i="1"/>
  <c r="J33" i="1" l="1"/>
  <c r="N33" i="1"/>
  <c r="N35" i="1"/>
  <c r="J35" i="1"/>
  <c r="Q33" i="1"/>
  <c r="Q35" i="1"/>
  <c r="S33" i="1"/>
  <c r="S35" i="1"/>
  <c r="Q17" i="1"/>
  <c r="J45" i="1"/>
  <c r="N45" i="1"/>
  <c r="T45" i="1" s="1"/>
  <c r="N15" i="1"/>
  <c r="I61" i="531"/>
  <c r="I60" i="531"/>
  <c r="I59" i="531"/>
  <c r="I58" i="531"/>
  <c r="Z10" i="2"/>
  <c r="AV10" i="2" s="1" a="1"/>
  <c r="S56" i="89" a="1"/>
  <c r="S40" i="89" a="1"/>
  <c r="S223" i="89" a="1"/>
  <c r="S63" i="89" a="1"/>
  <c r="AV10" i="2" l="1"/>
  <c r="T33" i="1"/>
  <c r="T35" i="1"/>
  <c r="S223" i="89"/>
  <c r="S40" i="89"/>
  <c r="S56" i="89"/>
  <c r="S63" i="89"/>
  <c r="T17" i="1"/>
  <c r="F17" i="1" s="1"/>
  <c r="I153" i="89"/>
  <c r="AA153" i="89" a="1"/>
  <c r="R223" i="89" a="1"/>
  <c r="R40" i="89" a="1"/>
  <c r="R56" i="89" a="1"/>
  <c r="R63" i="89" a="1"/>
  <c r="AA153" i="89" l="1"/>
  <c r="R63" i="89"/>
  <c r="R56" i="89"/>
  <c r="R40" i="89"/>
  <c r="R223" i="89"/>
  <c r="BA16" i="2"/>
  <c r="BB16" i="2"/>
  <c r="BA15" i="2"/>
  <c r="H8" i="89"/>
  <c r="AF15" i="2" a="1"/>
  <c r="P15" i="2" a="1"/>
  <c r="G15" i="2" a="1"/>
  <c r="AN16" i="2" a="1"/>
  <c r="L16" i="2" a="1"/>
  <c r="AN15" i="2" a="1"/>
  <c r="Q16" i="2" a="1"/>
  <c r="L15" i="2" a="1"/>
  <c r="P16" i="2" a="1"/>
  <c r="Q15" i="2" a="1"/>
  <c r="G16" i="2" a="1"/>
  <c r="AF16" i="2" a="1"/>
  <c r="L16" i="2" l="1"/>
  <c r="L15" i="2"/>
  <c r="AN15" i="2"/>
  <c r="AN16" i="2"/>
  <c r="BC16" i="2"/>
  <c r="P15" i="2"/>
  <c r="AF15" i="2"/>
  <c r="P16" i="2"/>
  <c r="G15" i="2"/>
  <c r="G16" i="2"/>
  <c r="Q15" i="2"/>
  <c r="Q16" i="2"/>
  <c r="AF16" i="2"/>
  <c r="BB15" i="2"/>
  <c r="BC15" i="2" s="1"/>
  <c r="S16" i="2" a="1"/>
  <c r="S15" i="2" a="1"/>
  <c r="S15" i="1" l="1"/>
  <c r="Q15" i="1"/>
  <c r="T15" i="1" s="1"/>
  <c r="F15" i="1" s="1"/>
  <c r="R15" i="2"/>
  <c r="S16" i="2"/>
  <c r="U16" i="2" s="1"/>
  <c r="S15" i="2"/>
  <c r="AO15" i="2" s="1"/>
  <c r="O15" i="2"/>
  <c r="R16" i="2"/>
  <c r="O16" i="2"/>
  <c r="Z16" i="2"/>
  <c r="AV16" i="2" s="1" a="1"/>
  <c r="Z8" i="2"/>
  <c r="AV8" i="2" s="1" a="1"/>
  <c r="AV8" i="2" l="1"/>
  <c r="AV16" i="2"/>
  <c r="AE16" i="2"/>
  <c r="AO16" i="2"/>
  <c r="AP16" i="2"/>
  <c r="AP15" i="2"/>
  <c r="U15" i="2"/>
  <c r="AE15" i="2"/>
  <c r="AT16" i="2"/>
  <c r="AS16" i="2"/>
  <c r="AL16" i="2"/>
  <c r="X16" i="2"/>
  <c r="Y16" i="2" s="1"/>
  <c r="M16" i="2"/>
  <c r="AB16" i="2"/>
  <c r="AM16" i="2"/>
  <c r="AL15" i="2"/>
  <c r="AT15" i="2"/>
  <c r="AS15" i="2"/>
  <c r="M15" i="2"/>
  <c r="AB15" i="2"/>
  <c r="AM15" i="2"/>
  <c r="X15" i="2"/>
  <c r="Y15" i="2" s="1"/>
  <c r="W8" i="89" a="1"/>
  <c r="K8" i="89" a="1"/>
  <c r="F8" i="89" a="1"/>
  <c r="L8" i="89" a="1"/>
  <c r="L8" i="89" l="1"/>
  <c r="K8" i="89"/>
  <c r="W8" i="89"/>
  <c r="F8" i="89"/>
  <c r="K7" i="89" a="1"/>
  <c r="L7" i="89" a="1"/>
  <c r="F7" i="89" a="1"/>
  <c r="W7" i="89" a="1"/>
  <c r="W7" i="89" l="1"/>
  <c r="K7" i="89"/>
  <c r="L7" i="89"/>
  <c r="F7" i="89"/>
  <c r="AN8" i="2" a="1"/>
  <c r="AN8" i="2" l="1"/>
  <c r="BA8" i="2"/>
  <c r="BB8" i="2"/>
  <c r="L8" i="2" a="1"/>
  <c r="AF8" i="2" a="1"/>
  <c r="P8" i="2" a="1"/>
  <c r="G8" i="2" a="1"/>
  <c r="Q8" i="2" a="1"/>
  <c r="L8" i="2" l="1"/>
  <c r="BC8" i="2"/>
  <c r="G8" i="2"/>
  <c r="P8" i="2"/>
  <c r="Q8" i="2"/>
  <c r="AF8" i="2"/>
  <c r="S8" i="2" a="1"/>
  <c r="R8" i="2" l="1"/>
  <c r="S8" i="2"/>
  <c r="AP8" i="2" s="1"/>
  <c r="O8" i="2"/>
  <c r="AO8" i="2" l="1"/>
  <c r="U8" i="2"/>
  <c r="AE8" i="2"/>
  <c r="AT8" i="2"/>
  <c r="AS8" i="2"/>
  <c r="AL8" i="2"/>
  <c r="X8" i="2"/>
  <c r="Y8" i="2" s="1"/>
  <c r="AB8" i="2"/>
  <c r="AM8" i="2"/>
  <c r="M8" i="2"/>
  <c r="S8" i="89" a="1"/>
  <c r="S8" i="89" l="1"/>
  <c r="R8" i="89" a="1"/>
  <c r="R8" i="89" l="1"/>
  <c r="N34" i="1"/>
  <c r="J34" i="1"/>
  <c r="H205" i="89" l="1"/>
  <c r="W203" i="89" a="1"/>
  <c r="F203" i="89" a="1"/>
  <c r="L203" i="89" a="1"/>
  <c r="K203" i="89" a="1"/>
  <c r="L203" i="89" l="1"/>
  <c r="K203" i="89"/>
  <c r="W203" i="89"/>
  <c r="F203" i="89"/>
  <c r="F204" i="89" a="1"/>
  <c r="K204" i="89" a="1"/>
  <c r="F211" i="89" a="1"/>
  <c r="W204" i="89" a="1"/>
  <c r="K211" i="89" a="1"/>
  <c r="W211" i="89" a="1"/>
  <c r="L211" i="89" a="1"/>
  <c r="L204" i="89" a="1"/>
  <c r="Q30" i="1" l="1"/>
  <c r="Q34" i="1"/>
  <c r="T34" i="1" s="1"/>
  <c r="S30" i="1"/>
  <c r="S34" i="1"/>
  <c r="W211" i="89"/>
  <c r="W204" i="89"/>
  <c r="L211" i="89"/>
  <c r="L204" i="89"/>
  <c r="K211" i="89"/>
  <c r="K204" i="89"/>
  <c r="F211" i="89"/>
  <c r="F204" i="89"/>
  <c r="W212" i="89" a="1"/>
  <c r="F212" i="89" a="1"/>
  <c r="K212" i="89" a="1"/>
  <c r="L212" i="89" a="1"/>
  <c r="K212" i="89" l="1"/>
  <c r="F212" i="89"/>
  <c r="L212" i="89"/>
  <c r="W212" i="89"/>
  <c r="F39" i="89" a="1"/>
  <c r="L39" i="89" a="1"/>
  <c r="F213" i="89" a="1"/>
  <c r="W39" i="89" a="1"/>
  <c r="K39" i="89" a="1"/>
  <c r="L213" i="89" a="1"/>
  <c r="K213" i="89" a="1"/>
  <c r="W213" i="89" a="1"/>
  <c r="L213" i="89" l="1"/>
  <c r="K39" i="89"/>
  <c r="W39" i="89"/>
  <c r="K213" i="89"/>
  <c r="L39" i="89"/>
  <c r="F213" i="89"/>
  <c r="F39" i="89"/>
  <c r="W213" i="89"/>
  <c r="H50" i="89" l="1"/>
  <c r="L49" i="89" a="1"/>
  <c r="K49" i="89" a="1"/>
  <c r="W50" i="89" a="1"/>
  <c r="K50" i="89" a="1"/>
  <c r="F50" i="89" a="1"/>
  <c r="L50" i="89" a="1"/>
  <c r="W49" i="89" a="1"/>
  <c r="F49" i="89" a="1"/>
  <c r="W49" i="89" l="1"/>
  <c r="F49" i="89"/>
  <c r="K49" i="89"/>
  <c r="L49" i="89"/>
  <c r="F50" i="89"/>
  <c r="K50" i="89"/>
  <c r="L50" i="89"/>
  <c r="W50" i="89"/>
  <c r="I29" i="2"/>
  <c r="K34" i="89" a="1"/>
  <c r="F33" i="89" a="1"/>
  <c r="K33" i="89" a="1"/>
  <c r="W34" i="89" a="1"/>
  <c r="L34" i="89" a="1"/>
  <c r="F34" i="89" a="1"/>
  <c r="W33" i="89" a="1"/>
  <c r="L33" i="89" a="1"/>
  <c r="L33" i="89" l="1"/>
  <c r="L34" i="89"/>
  <c r="W34" i="89"/>
  <c r="W33" i="89"/>
  <c r="F34" i="89"/>
  <c r="K34" i="89"/>
  <c r="K33" i="89"/>
  <c r="F33" i="89"/>
  <c r="J21" i="1" l="1"/>
  <c r="I28" i="2" l="1"/>
  <c r="K29" i="2" l="1"/>
  <c r="J29" i="2"/>
  <c r="K28" i="2"/>
  <c r="J28" i="2"/>
  <c r="J30" i="1" l="1"/>
  <c r="N30" i="1" l="1"/>
  <c r="T30" i="1" s="1"/>
  <c r="L5" i="2" a="1"/>
  <c r="AF11" i="2" a="1"/>
  <c r="AN4" i="2" a="1"/>
  <c r="L24" i="2" a="1"/>
  <c r="L2" i="2" a="1"/>
  <c r="Q12" i="2" a="1"/>
  <c r="P25" i="2" a="1"/>
  <c r="AN19" i="2" a="1"/>
  <c r="AF7" i="2" a="1"/>
  <c r="Q4" i="2" a="1"/>
  <c r="AN24" i="2" a="1"/>
  <c r="L4" i="2" a="1"/>
  <c r="AF25" i="2" a="1"/>
  <c r="P12" i="2" a="1"/>
  <c r="G12" i="2" a="1"/>
  <c r="AN13" i="2" a="1"/>
  <c r="L19" i="2" a="1"/>
  <c r="G7" i="2" a="1"/>
  <c r="AF6" i="2" a="1"/>
  <c r="Q24" i="2" a="1"/>
  <c r="L21" i="2" a="1"/>
  <c r="G11" i="2" a="1"/>
  <c r="L7" i="2" a="1"/>
  <c r="AF24" i="2" a="1"/>
  <c r="AN21" i="2" a="1"/>
  <c r="G4" i="2" a="1"/>
  <c r="AN6" i="2" a="1"/>
  <c r="AF4" i="2" a="1"/>
  <c r="P6" i="2" a="1"/>
  <c r="G6" i="2" a="1"/>
  <c r="AN11" i="2" a="1"/>
  <c r="P24" i="2" a="1"/>
  <c r="AN12" i="2" a="1"/>
  <c r="AN25" i="2" a="1"/>
  <c r="Q25" i="2" a="1"/>
  <c r="G25" i="2" a="1"/>
  <c r="P11" i="2" a="1"/>
  <c r="AN7" i="2" a="1"/>
  <c r="L14" i="2" a="1"/>
  <c r="L13" i="2" a="1"/>
  <c r="L25" i="2" a="1"/>
  <c r="Q6" i="2" a="1"/>
  <c r="L6" i="2" a="1"/>
  <c r="P7" i="2" a="1"/>
  <c r="P4" i="2" a="1"/>
  <c r="AF12" i="2" a="1"/>
  <c r="Q7" i="2" a="1"/>
  <c r="AN5" i="2" a="1"/>
  <c r="G24" i="2" a="1"/>
  <c r="L12" i="2" a="1"/>
  <c r="AN14" i="2" a="1"/>
  <c r="Q11" i="2" a="1"/>
  <c r="L11" i="2" a="1"/>
  <c r="AN10" i="2" a="1"/>
  <c r="AN21" i="2" l="1"/>
  <c r="L11" i="2"/>
  <c r="AN6" i="2"/>
  <c r="AN12" i="2"/>
  <c r="AN19" i="2"/>
  <c r="G7" i="2"/>
  <c r="L25" i="2"/>
  <c r="Q12" i="2"/>
  <c r="P12" i="2"/>
  <c r="AN5" i="2"/>
  <c r="P6" i="2"/>
  <c r="AN7" i="2"/>
  <c r="AN4" i="2"/>
  <c r="AF12" i="2"/>
  <c r="L6" i="2"/>
  <c r="Q24" i="2"/>
  <c r="G12" i="2"/>
  <c r="G11" i="2"/>
  <c r="G25" i="2"/>
  <c r="L19" i="2"/>
  <c r="AN11" i="2"/>
  <c r="AF7" i="2"/>
  <c r="AF4" i="2"/>
  <c r="AF24" i="2"/>
  <c r="L12" i="2"/>
  <c r="L24" i="2"/>
  <c r="L14" i="2"/>
  <c r="AF11" i="2"/>
  <c r="Q7" i="2"/>
  <c r="Q4" i="2"/>
  <c r="P25" i="2"/>
  <c r="Q6" i="2"/>
  <c r="AN24" i="2"/>
  <c r="L5" i="2"/>
  <c r="P24" i="2"/>
  <c r="AN10" i="2"/>
  <c r="AN25" i="2"/>
  <c r="L2" i="2"/>
  <c r="L21" i="2"/>
  <c r="G6" i="2"/>
  <c r="AN14" i="2"/>
  <c r="G24" i="2"/>
  <c r="AN13" i="2"/>
  <c r="Q11" i="2"/>
  <c r="P7" i="2"/>
  <c r="P4" i="2"/>
  <c r="AF25" i="2"/>
  <c r="G4" i="2"/>
  <c r="AF6" i="2"/>
  <c r="Q25" i="2"/>
  <c r="L13" i="2"/>
  <c r="P11" i="2"/>
  <c r="L7" i="2"/>
  <c r="L4" i="2"/>
  <c r="Q40" i="531"/>
  <c r="R40" i="531"/>
  <c r="S40" i="531"/>
  <c r="T40" i="531"/>
  <c r="P40" i="531"/>
  <c r="T45" i="531"/>
  <c r="S45" i="531"/>
  <c r="R45" i="531"/>
  <c r="Q45" i="531"/>
  <c r="P45" i="531"/>
  <c r="P28" i="2" l="1"/>
  <c r="Q28" i="2"/>
  <c r="L29" i="2"/>
  <c r="L28" i="2"/>
  <c r="S188" i="89" a="1"/>
  <c r="S188" i="89" l="1"/>
  <c r="R188" i="89" a="1"/>
  <c r="R188" i="89" l="1"/>
  <c r="BA10" i="2"/>
  <c r="BB10" i="2"/>
  <c r="H27" i="89"/>
  <c r="Q10" i="2" a="1"/>
  <c r="G10" i="2" a="1"/>
  <c r="P10" i="2" a="1"/>
  <c r="BC10" i="2" l="1"/>
  <c r="P10" i="2"/>
  <c r="G10" i="2"/>
  <c r="Q10" i="2"/>
  <c r="S10" i="2" a="1"/>
  <c r="R10" i="2" l="1"/>
  <c r="S10" i="2"/>
  <c r="U10" i="2" s="1"/>
  <c r="O10" i="2"/>
  <c r="AO10" i="2" l="1"/>
  <c r="AP10" i="2"/>
  <c r="AE10" i="2"/>
  <c r="AT10" i="2"/>
  <c r="AS10" i="2"/>
  <c r="AL10" i="2"/>
  <c r="M10" i="2"/>
  <c r="AB10" i="2"/>
  <c r="J17" i="531" s="1"/>
  <c r="X10" i="2"/>
  <c r="Y10" i="2" s="1"/>
  <c r="AM10" i="2"/>
  <c r="AC28" i="531" l="1"/>
  <c r="AA28" i="531"/>
  <c r="Y28" i="531"/>
  <c r="W28" i="531"/>
  <c r="T30" i="531"/>
  <c r="S30" i="531"/>
  <c r="R30" i="531"/>
  <c r="Q30" i="531"/>
  <c r="P30" i="531"/>
  <c r="Q20" i="531"/>
  <c r="R20" i="531"/>
  <c r="S20" i="531"/>
  <c r="T20" i="531"/>
  <c r="P20" i="531"/>
  <c r="H17" i="531"/>
  <c r="W171" i="89" a="1"/>
  <c r="F171" i="89" a="1"/>
  <c r="K171" i="89" a="1"/>
  <c r="L171" i="89" a="1"/>
  <c r="W171" i="89" l="1"/>
  <c r="K171" i="89"/>
  <c r="L171" i="89"/>
  <c r="F171" i="89"/>
  <c r="AC10" i="531" l="1"/>
  <c r="AA10" i="531"/>
  <c r="Y10" i="531"/>
  <c r="W10" i="531"/>
  <c r="AC43" i="531"/>
  <c r="AA43" i="531"/>
  <c r="Y43" i="531"/>
  <c r="W43" i="531"/>
  <c r="AC18" i="531"/>
  <c r="AA18" i="531"/>
  <c r="Y18" i="531"/>
  <c r="W18" i="531"/>
  <c r="H27" i="531"/>
  <c r="H42" i="531"/>
  <c r="H8" i="531"/>
  <c r="F8" i="531"/>
  <c r="H34" i="89" l="1"/>
  <c r="H40" i="89" l="1"/>
  <c r="K40" i="89" a="1"/>
  <c r="L40" i="89" a="1"/>
  <c r="F40" i="89" a="1"/>
  <c r="W40" i="89" a="1"/>
  <c r="L40" i="89" l="1"/>
  <c r="K40" i="89"/>
  <c r="F40" i="89"/>
  <c r="W40" i="89"/>
  <c r="BA6" i="2" l="1"/>
  <c r="BB6" i="2" l="1"/>
  <c r="BC6" i="2" s="1"/>
  <c r="S6" i="2" a="1"/>
  <c r="S6" i="2" l="1"/>
  <c r="AP6" i="2" s="1"/>
  <c r="O6" i="2"/>
  <c r="R6" i="2"/>
  <c r="S7" i="89" a="1"/>
  <c r="S7" i="89" l="1"/>
  <c r="AE6" i="2"/>
  <c r="AO6" i="2"/>
  <c r="U6" i="2"/>
  <c r="AS6" i="2"/>
  <c r="AT6" i="2"/>
  <c r="AL6" i="2"/>
  <c r="M6" i="2"/>
  <c r="AM6" i="2"/>
  <c r="X6" i="2"/>
  <c r="Y6" i="2" s="1"/>
  <c r="AB6" i="2"/>
  <c r="R7" i="89" a="1"/>
  <c r="R7" i="89" l="1"/>
  <c r="J4" i="2"/>
  <c r="K4" i="2" s="1"/>
  <c r="N44" i="1" l="1"/>
  <c r="J44" i="1"/>
  <c r="C67" i="54" l="1"/>
  <c r="C73" i="54"/>
  <c r="C72" i="54"/>
  <c r="I50" i="54" a="1"/>
  <c r="S34" i="89"/>
  <c r="R34" i="89" s="1" a="1"/>
  <c r="R34" i="89" l="1"/>
  <c r="I50" i="54"/>
  <c r="Q42" i="1" l="1"/>
  <c r="S42" i="1"/>
  <c r="Q44" i="1"/>
  <c r="S44" i="1"/>
  <c r="W19" i="252"/>
  <c r="T19" i="252"/>
  <c r="W10" i="252"/>
  <c r="T10" i="252"/>
  <c r="W8" i="252"/>
  <c r="T8" i="252"/>
  <c r="W16" i="252"/>
  <c r="T14" i="252"/>
  <c r="W17" i="252"/>
  <c r="T17" i="252"/>
  <c r="T11" i="252"/>
  <c r="W18" i="252"/>
  <c r="W14" i="252"/>
  <c r="T18" i="252"/>
  <c r="T16" i="252"/>
  <c r="W11" i="252"/>
  <c r="J17" i="252" a="1"/>
  <c r="J14" i="252" a="1"/>
  <c r="J7" i="252" a="1"/>
  <c r="J8" i="252" a="1"/>
  <c r="J10" i="252" a="1"/>
  <c r="J15" i="252" a="1"/>
  <c r="J9" i="252" a="1"/>
  <c r="S27" i="89" a="1"/>
  <c r="S102" i="89" a="1"/>
  <c r="S27" i="89" l="1"/>
  <c r="S102" i="89"/>
  <c r="T44" i="1"/>
  <c r="J9" i="252"/>
  <c r="J15" i="252"/>
  <c r="J10" i="252"/>
  <c r="J8" i="252"/>
  <c r="J7" i="252"/>
  <c r="J14" i="252"/>
  <c r="J17" i="252"/>
  <c r="J11" i="252" a="1"/>
  <c r="J13" i="252" a="1"/>
  <c r="J6" i="252" a="1"/>
  <c r="J12" i="252" a="1"/>
  <c r="J20" i="252" a="1"/>
  <c r="J18" i="252" a="1"/>
  <c r="J16" i="252" a="1"/>
  <c r="J19" i="252" a="1"/>
  <c r="R27" i="89" a="1"/>
  <c r="R102" i="89" a="1"/>
  <c r="R102" i="89" l="1"/>
  <c r="R27" i="89"/>
  <c r="J19" i="252"/>
  <c r="J16" i="252"/>
  <c r="J18" i="252"/>
  <c r="J20" i="252"/>
  <c r="J12" i="252"/>
  <c r="J6" i="252"/>
  <c r="J13" i="252"/>
  <c r="J11" i="252"/>
  <c r="T20" i="252"/>
  <c r="W20" i="252"/>
  <c r="W7" i="252"/>
  <c r="T7" i="252"/>
  <c r="X2" i="527"/>
  <c r="U2" i="527"/>
  <c r="R2" i="527"/>
  <c r="R165" i="444"/>
  <c r="G165" i="444"/>
  <c r="T164" i="444"/>
  <c r="U164" i="444" s="1"/>
  <c r="R164" i="444"/>
  <c r="S164" i="444" s="1"/>
  <c r="G164" i="444"/>
  <c r="R163" i="444"/>
  <c r="T163" i="444" s="1"/>
  <c r="U163" i="444" s="1"/>
  <c r="G163" i="444"/>
  <c r="T162" i="444"/>
  <c r="U162" i="444" s="1"/>
  <c r="S162" i="444"/>
  <c r="R162" i="444"/>
  <c r="G162" i="444"/>
  <c r="R161" i="444"/>
  <c r="T161" i="444" s="1"/>
  <c r="U161" i="444" s="1"/>
  <c r="G161" i="444"/>
  <c r="S160" i="444"/>
  <c r="R160" i="444"/>
  <c r="T160" i="444" s="1"/>
  <c r="U160" i="444" s="1"/>
  <c r="V160" i="444" s="1"/>
  <c r="W160" i="444" s="1"/>
  <c r="G160" i="444"/>
  <c r="T159" i="444"/>
  <c r="U159" i="444" s="1"/>
  <c r="R159" i="444"/>
  <c r="S159" i="444" s="1"/>
  <c r="G159" i="444"/>
  <c r="T158" i="444"/>
  <c r="U158" i="444" s="1"/>
  <c r="S158" i="444"/>
  <c r="R158" i="444"/>
  <c r="G158" i="444"/>
  <c r="T157" i="444"/>
  <c r="U157" i="444" s="1"/>
  <c r="S157" i="444"/>
  <c r="R157" i="444"/>
  <c r="G157" i="444"/>
  <c r="R156" i="444"/>
  <c r="G156" i="444"/>
  <c r="R155" i="444"/>
  <c r="S155" i="444" s="1"/>
  <c r="G155" i="444"/>
  <c r="T154" i="444"/>
  <c r="U154" i="444" s="1"/>
  <c r="R154" i="444"/>
  <c r="S154" i="444" s="1"/>
  <c r="G154" i="444"/>
  <c r="R153" i="444"/>
  <c r="T153" i="444" s="1"/>
  <c r="U153" i="444" s="1"/>
  <c r="G153" i="444"/>
  <c r="T152" i="444"/>
  <c r="U152" i="444" s="1"/>
  <c r="S152" i="444"/>
  <c r="R152" i="444"/>
  <c r="G152" i="444"/>
  <c r="R151" i="444"/>
  <c r="T151" i="444" s="1"/>
  <c r="U151" i="444" s="1"/>
  <c r="G151" i="444"/>
  <c r="T150" i="444"/>
  <c r="U150" i="444" s="1"/>
  <c r="R150" i="444"/>
  <c r="S150" i="444" s="1"/>
  <c r="G150" i="444"/>
  <c r="T149" i="444"/>
  <c r="U149" i="444" s="1"/>
  <c r="S149" i="444"/>
  <c r="R149" i="444"/>
  <c r="G149" i="444"/>
  <c r="R148" i="444"/>
  <c r="S148" i="444" s="1"/>
  <c r="G148" i="444"/>
  <c r="T147" i="444"/>
  <c r="U147" i="444" s="1"/>
  <c r="R147" i="444"/>
  <c r="S147" i="444" s="1"/>
  <c r="G147" i="444"/>
  <c r="T146" i="444"/>
  <c r="U146" i="444" s="1"/>
  <c r="V146" i="444" s="1"/>
  <c r="W146" i="444" s="1"/>
  <c r="S146" i="444"/>
  <c r="R146" i="444"/>
  <c r="G146" i="444"/>
  <c r="R145" i="444"/>
  <c r="G145" i="444"/>
  <c r="R144" i="444"/>
  <c r="T144" i="444" s="1"/>
  <c r="U144" i="444" s="1"/>
  <c r="G144" i="444"/>
  <c r="R143" i="444"/>
  <c r="T143" i="444" s="1"/>
  <c r="U143" i="444" s="1"/>
  <c r="G143" i="444"/>
  <c r="T142" i="444"/>
  <c r="U142" i="444" s="1"/>
  <c r="S142" i="444"/>
  <c r="R142" i="444"/>
  <c r="G142" i="444"/>
  <c r="R141" i="444"/>
  <c r="T141" i="444" s="1"/>
  <c r="U141" i="444" s="1"/>
  <c r="G141" i="444"/>
  <c r="S140" i="444"/>
  <c r="R140" i="444"/>
  <c r="T140" i="444" s="1"/>
  <c r="U140" i="444" s="1"/>
  <c r="V140" i="444" s="1"/>
  <c r="W140" i="444" s="1"/>
  <c r="G140" i="444"/>
  <c r="T139" i="444"/>
  <c r="U139" i="444" s="1"/>
  <c r="R139" i="444"/>
  <c r="S139" i="444" s="1"/>
  <c r="G139" i="444"/>
  <c r="T138" i="444"/>
  <c r="U138" i="444" s="1"/>
  <c r="V138" i="444" s="1"/>
  <c r="W138" i="444" s="1"/>
  <c r="S138" i="444"/>
  <c r="R138" i="444"/>
  <c r="G138" i="444"/>
  <c r="T137" i="444"/>
  <c r="U137" i="444" s="1"/>
  <c r="S137" i="444"/>
  <c r="R137" i="444"/>
  <c r="G137" i="444"/>
  <c r="R136" i="444"/>
  <c r="G136" i="444"/>
  <c r="R135" i="444"/>
  <c r="T135" i="444" s="1"/>
  <c r="U135" i="444" s="1"/>
  <c r="G135" i="444"/>
  <c r="T134" i="444"/>
  <c r="U134" i="444" s="1"/>
  <c r="R134" i="444"/>
  <c r="S134" i="444" s="1"/>
  <c r="G134" i="444"/>
  <c r="R133" i="444"/>
  <c r="T133" i="444" s="1"/>
  <c r="U133" i="444" s="1"/>
  <c r="G133" i="444"/>
  <c r="R132" i="444"/>
  <c r="T132" i="444" s="1"/>
  <c r="U132" i="444" s="1"/>
  <c r="G132" i="444"/>
  <c r="R131" i="444"/>
  <c r="T131" i="444" s="1"/>
  <c r="U131" i="444" s="1"/>
  <c r="G131" i="444"/>
  <c r="R130" i="444"/>
  <c r="T130" i="444" s="1"/>
  <c r="U130" i="444" s="1"/>
  <c r="G130" i="444"/>
  <c r="T129" i="444"/>
  <c r="U129" i="444" s="1"/>
  <c r="S129" i="444"/>
  <c r="R129" i="444"/>
  <c r="G129" i="444"/>
  <c r="R128" i="444"/>
  <c r="S128" i="444" s="1"/>
  <c r="G128" i="444"/>
  <c r="R127" i="444"/>
  <c r="T127" i="444" s="1"/>
  <c r="U127" i="444" s="1"/>
  <c r="G127" i="444"/>
  <c r="T126" i="444"/>
  <c r="U126" i="444" s="1"/>
  <c r="V126" i="444" s="1"/>
  <c r="W126" i="444" s="1"/>
  <c r="S126" i="444"/>
  <c r="R126" i="444"/>
  <c r="G126" i="444"/>
  <c r="R125" i="444"/>
  <c r="G125" i="444"/>
  <c r="R124" i="444"/>
  <c r="T124" i="444" s="1"/>
  <c r="U124" i="444" s="1"/>
  <c r="G124" i="444"/>
  <c r="R123" i="444"/>
  <c r="T123" i="444" s="1"/>
  <c r="U123" i="444" s="1"/>
  <c r="G123" i="444"/>
  <c r="T122" i="444"/>
  <c r="U122" i="444" s="1"/>
  <c r="S122" i="444"/>
  <c r="R122" i="444"/>
  <c r="G122" i="444"/>
  <c r="R121" i="444"/>
  <c r="T121" i="444" s="1"/>
  <c r="U121" i="444" s="1"/>
  <c r="G121" i="444"/>
  <c r="R120" i="444"/>
  <c r="T120" i="444" s="1"/>
  <c r="U120" i="444" s="1"/>
  <c r="G120" i="444"/>
  <c r="T119" i="444"/>
  <c r="U119" i="444" s="1"/>
  <c r="R119" i="444"/>
  <c r="S119" i="444" s="1"/>
  <c r="G119" i="444"/>
  <c r="R118" i="444"/>
  <c r="T118" i="444" s="1"/>
  <c r="U118" i="444" s="1"/>
  <c r="G118" i="444"/>
  <c r="T117" i="444"/>
  <c r="U117" i="444" s="1"/>
  <c r="S117" i="444"/>
  <c r="R117" i="444"/>
  <c r="G117" i="444"/>
  <c r="R116" i="444"/>
  <c r="G116" i="444"/>
  <c r="R115" i="444"/>
  <c r="T115" i="444" s="1"/>
  <c r="U115" i="444" s="1"/>
  <c r="G115" i="444"/>
  <c r="T114" i="444"/>
  <c r="U114" i="444" s="1"/>
  <c r="R114" i="444"/>
  <c r="S114" i="444" s="1"/>
  <c r="G114" i="444"/>
  <c r="R113" i="444"/>
  <c r="T113" i="444" s="1"/>
  <c r="U113" i="444" s="1"/>
  <c r="G113" i="444"/>
  <c r="T112" i="444"/>
  <c r="U112" i="444" s="1"/>
  <c r="R112" i="444"/>
  <c r="S112" i="444" s="1"/>
  <c r="G112" i="444"/>
  <c r="R111" i="444"/>
  <c r="T111" i="444" s="1"/>
  <c r="U111" i="444" s="1"/>
  <c r="G111" i="444"/>
  <c r="S110" i="444"/>
  <c r="R110" i="444"/>
  <c r="T110" i="444" s="1"/>
  <c r="U110" i="444" s="1"/>
  <c r="G110" i="444"/>
  <c r="T109" i="444"/>
  <c r="U109" i="444" s="1"/>
  <c r="S109" i="444"/>
  <c r="R109" i="444"/>
  <c r="G109" i="444"/>
  <c r="R108" i="444"/>
  <c r="S108" i="444" s="1"/>
  <c r="G108" i="444"/>
  <c r="R107" i="444"/>
  <c r="T107" i="444" s="1"/>
  <c r="U107" i="444" s="1"/>
  <c r="G107" i="444"/>
  <c r="T106" i="444"/>
  <c r="U106" i="444" s="1"/>
  <c r="V106" i="444" s="1"/>
  <c r="W106" i="444" s="1"/>
  <c r="S106" i="444"/>
  <c r="R106" i="444"/>
  <c r="G106" i="444"/>
  <c r="R105" i="444"/>
  <c r="G105" i="444"/>
  <c r="T104" i="444"/>
  <c r="U104" i="444" s="1"/>
  <c r="V104" i="444" s="1"/>
  <c r="W104" i="444" s="1"/>
  <c r="S104" i="444"/>
  <c r="R104" i="444"/>
  <c r="G104" i="444"/>
  <c r="R103" i="444"/>
  <c r="T103" i="444" s="1"/>
  <c r="U103" i="444" s="1"/>
  <c r="G103" i="444"/>
  <c r="T102" i="444"/>
  <c r="U102" i="444" s="1"/>
  <c r="S102" i="444"/>
  <c r="R102" i="444"/>
  <c r="G102" i="444"/>
  <c r="R101" i="444"/>
  <c r="S101" i="444" s="1"/>
  <c r="G101" i="444"/>
  <c r="R100" i="444"/>
  <c r="T100" i="444" s="1"/>
  <c r="U100" i="444" s="1"/>
  <c r="G100" i="444"/>
  <c r="T99" i="444"/>
  <c r="U99" i="444" s="1"/>
  <c r="R99" i="444"/>
  <c r="S99" i="444" s="1"/>
  <c r="G99" i="444"/>
  <c r="R98" i="444"/>
  <c r="T98" i="444" s="1"/>
  <c r="U98" i="444" s="1"/>
  <c r="G98" i="444"/>
  <c r="T97" i="444"/>
  <c r="U97" i="444" s="1"/>
  <c r="S97" i="444"/>
  <c r="R97" i="444"/>
  <c r="G97" i="444"/>
  <c r="R96" i="444"/>
  <c r="G96" i="444"/>
  <c r="R95" i="444"/>
  <c r="T95" i="444" s="1"/>
  <c r="U95" i="444" s="1"/>
  <c r="G95" i="444"/>
  <c r="T94" i="444"/>
  <c r="U94" i="444" s="1"/>
  <c r="R94" i="444"/>
  <c r="S94" i="444" s="1"/>
  <c r="G94" i="444"/>
  <c r="R93" i="444"/>
  <c r="T93" i="444" s="1"/>
  <c r="U93" i="444" s="1"/>
  <c r="G93" i="444"/>
  <c r="T92" i="444"/>
  <c r="U92" i="444" s="1"/>
  <c r="S92" i="444"/>
  <c r="R92" i="444"/>
  <c r="G92" i="444"/>
  <c r="R91" i="444"/>
  <c r="T91" i="444" s="1"/>
  <c r="U91" i="444" s="1"/>
  <c r="G91" i="444"/>
  <c r="R90" i="444"/>
  <c r="T90" i="444" s="1"/>
  <c r="U90" i="444" s="1"/>
  <c r="G90" i="444"/>
  <c r="T89" i="444"/>
  <c r="U89" i="444" s="1"/>
  <c r="S89" i="444"/>
  <c r="R89" i="444"/>
  <c r="G89" i="444"/>
  <c r="R88" i="444"/>
  <c r="T88" i="444" s="1"/>
  <c r="U88" i="444" s="1"/>
  <c r="G88" i="444"/>
  <c r="T87" i="444"/>
  <c r="U87" i="444" s="1"/>
  <c r="R87" i="444"/>
  <c r="S87" i="444" s="1"/>
  <c r="G87" i="444"/>
  <c r="T86" i="444"/>
  <c r="U86" i="444" s="1"/>
  <c r="V86" i="444" s="1"/>
  <c r="W86" i="444" s="1"/>
  <c r="S86" i="444"/>
  <c r="R86" i="444"/>
  <c r="G86" i="444"/>
  <c r="R85" i="444"/>
  <c r="G85" i="444"/>
  <c r="R84" i="444"/>
  <c r="T84" i="444" s="1"/>
  <c r="U84" i="444" s="1"/>
  <c r="G84" i="444"/>
  <c r="R83" i="444"/>
  <c r="T83" i="444" s="1"/>
  <c r="U83" i="444" s="1"/>
  <c r="G83" i="444"/>
  <c r="T82" i="444"/>
  <c r="U82" i="444" s="1"/>
  <c r="S82" i="444"/>
  <c r="R82" i="444"/>
  <c r="G82" i="444"/>
  <c r="S81" i="444"/>
  <c r="R81" i="444"/>
  <c r="T81" i="444" s="1"/>
  <c r="U81" i="444" s="1"/>
  <c r="G81" i="444"/>
  <c r="R80" i="444"/>
  <c r="T80" i="444" s="1"/>
  <c r="U80" i="444" s="1"/>
  <c r="G80" i="444"/>
  <c r="T79" i="444"/>
  <c r="U79" i="444" s="1"/>
  <c r="R79" i="444"/>
  <c r="S79" i="444" s="1"/>
  <c r="G79" i="444"/>
  <c r="R78" i="444"/>
  <c r="T78" i="444" s="1"/>
  <c r="U78" i="444" s="1"/>
  <c r="G78" i="444"/>
  <c r="T77" i="444"/>
  <c r="U77" i="444" s="1"/>
  <c r="S77" i="444"/>
  <c r="R77" i="444"/>
  <c r="G77" i="444"/>
  <c r="R76" i="444"/>
  <c r="G76" i="444"/>
  <c r="R75" i="444"/>
  <c r="T75" i="444" s="1"/>
  <c r="U75" i="444" s="1"/>
  <c r="G75" i="444"/>
  <c r="T74" i="444"/>
  <c r="U74" i="444" s="1"/>
  <c r="R74" i="444"/>
  <c r="S74" i="444" s="1"/>
  <c r="G74" i="444"/>
  <c r="R73" i="444"/>
  <c r="T73" i="444" s="1"/>
  <c r="U73" i="444" s="1"/>
  <c r="G73" i="444"/>
  <c r="R72" i="444"/>
  <c r="T72" i="444" s="1"/>
  <c r="U72" i="444" s="1"/>
  <c r="G72" i="444"/>
  <c r="R71" i="444"/>
  <c r="T71" i="444" s="1"/>
  <c r="U71" i="444" s="1"/>
  <c r="G71" i="444"/>
  <c r="R70" i="444"/>
  <c r="T70" i="444" s="1"/>
  <c r="U70" i="444" s="1"/>
  <c r="G70" i="444"/>
  <c r="T69" i="444"/>
  <c r="U69" i="444" s="1"/>
  <c r="S69" i="444"/>
  <c r="R69" i="444"/>
  <c r="G69" i="444"/>
  <c r="R68" i="444"/>
  <c r="S68" i="444" s="1"/>
  <c r="G68" i="444"/>
  <c r="R67" i="444"/>
  <c r="T67" i="444" s="1"/>
  <c r="U67" i="444" s="1"/>
  <c r="G67" i="444"/>
  <c r="T66" i="444"/>
  <c r="U66" i="444" s="1"/>
  <c r="V66" i="444" s="1"/>
  <c r="W66" i="444" s="1"/>
  <c r="S66" i="444"/>
  <c r="R66" i="444"/>
  <c r="G66" i="444"/>
  <c r="R65" i="444"/>
  <c r="G65" i="444"/>
  <c r="S64" i="444"/>
  <c r="R64" i="444"/>
  <c r="T64" i="444" s="1"/>
  <c r="U64" i="444" s="1"/>
  <c r="G64" i="444"/>
  <c r="R63" i="444"/>
  <c r="T63" i="444" s="1"/>
  <c r="U63" i="444" s="1"/>
  <c r="G63" i="444"/>
  <c r="T62" i="444"/>
  <c r="U62" i="444" s="1"/>
  <c r="S62" i="444"/>
  <c r="R62" i="444"/>
  <c r="G62" i="444"/>
  <c r="R61" i="444"/>
  <c r="T61" i="444" s="1"/>
  <c r="U61" i="444" s="1"/>
  <c r="G61" i="444"/>
  <c r="R60" i="444"/>
  <c r="T60" i="444" s="1"/>
  <c r="U60" i="444" s="1"/>
  <c r="G60" i="444"/>
  <c r="T59" i="444"/>
  <c r="U59" i="444" s="1"/>
  <c r="R59" i="444"/>
  <c r="S59" i="444" s="1"/>
  <c r="G59" i="444"/>
  <c r="R58" i="444"/>
  <c r="T58" i="444" s="1"/>
  <c r="U58" i="444" s="1"/>
  <c r="G58" i="444"/>
  <c r="T57" i="444"/>
  <c r="U57" i="444" s="1"/>
  <c r="S57" i="444"/>
  <c r="R57" i="444"/>
  <c r="G57" i="444"/>
  <c r="R56" i="444"/>
  <c r="G56" i="444"/>
  <c r="R55" i="444"/>
  <c r="S55" i="444" s="1"/>
  <c r="G55" i="444"/>
  <c r="T54" i="444"/>
  <c r="U54" i="444" s="1"/>
  <c r="R54" i="444"/>
  <c r="S54" i="444" s="1"/>
  <c r="G54" i="444"/>
  <c r="S53" i="444"/>
  <c r="R53" i="444"/>
  <c r="T53" i="444" s="1"/>
  <c r="U53" i="444" s="1"/>
  <c r="G53" i="444"/>
  <c r="R52" i="444"/>
  <c r="T52" i="444" s="1"/>
  <c r="U52" i="444" s="1"/>
  <c r="G52" i="444"/>
  <c r="R51" i="444"/>
  <c r="T51" i="444" s="1"/>
  <c r="U51" i="444" s="1"/>
  <c r="G51" i="444"/>
  <c r="R50" i="444"/>
  <c r="T50" i="444" s="1"/>
  <c r="U50" i="444" s="1"/>
  <c r="G50" i="444"/>
  <c r="T49" i="444"/>
  <c r="U49" i="444" s="1"/>
  <c r="V49" i="444" s="1"/>
  <c r="W49" i="444" s="1"/>
  <c r="S49" i="444"/>
  <c r="R49" i="444"/>
  <c r="G49" i="444"/>
  <c r="R48" i="444"/>
  <c r="S48" i="444" s="1"/>
  <c r="G48" i="444"/>
  <c r="S47" i="444"/>
  <c r="R47" i="444"/>
  <c r="T47" i="444" s="1"/>
  <c r="U47" i="444" s="1"/>
  <c r="G47" i="444"/>
  <c r="T46" i="444"/>
  <c r="U46" i="444" s="1"/>
  <c r="V46" i="444" s="1"/>
  <c r="W46" i="444" s="1"/>
  <c r="S46" i="444"/>
  <c r="R46" i="444"/>
  <c r="G46" i="444"/>
  <c r="R45" i="444"/>
  <c r="G45" i="444"/>
  <c r="R44" i="444"/>
  <c r="T44" i="444" s="1"/>
  <c r="U44" i="444" s="1"/>
  <c r="G44" i="444"/>
  <c r="R43" i="444"/>
  <c r="T43" i="444" s="1"/>
  <c r="U43" i="444" s="1"/>
  <c r="G43" i="444"/>
  <c r="T42" i="444"/>
  <c r="U42" i="444" s="1"/>
  <c r="S42" i="444"/>
  <c r="R42" i="444"/>
  <c r="G42" i="444"/>
  <c r="R41" i="444"/>
  <c r="T41" i="444" s="1"/>
  <c r="U41" i="444" s="1"/>
  <c r="G41" i="444"/>
  <c r="R40" i="444"/>
  <c r="T40" i="444" s="1"/>
  <c r="U40" i="444" s="1"/>
  <c r="G40" i="444"/>
  <c r="T39" i="444"/>
  <c r="U39" i="444" s="1"/>
  <c r="R39" i="444"/>
  <c r="S39" i="444" s="1"/>
  <c r="G39" i="444"/>
  <c r="R38" i="444"/>
  <c r="T38" i="444" s="1"/>
  <c r="U38" i="444" s="1"/>
  <c r="G38" i="444"/>
  <c r="T37" i="444"/>
  <c r="U37" i="444" s="1"/>
  <c r="S37" i="444"/>
  <c r="R37" i="444"/>
  <c r="G37" i="444"/>
  <c r="R36" i="444"/>
  <c r="G36" i="444"/>
  <c r="S35" i="444"/>
  <c r="R35" i="444"/>
  <c r="T35" i="444" s="1"/>
  <c r="U35" i="444" s="1"/>
  <c r="G35" i="444"/>
  <c r="T34" i="444"/>
  <c r="U34" i="444" s="1"/>
  <c r="R34" i="444"/>
  <c r="S34" i="444" s="1"/>
  <c r="G34" i="444"/>
  <c r="R33" i="444"/>
  <c r="T33" i="444" s="1"/>
  <c r="U33" i="444" s="1"/>
  <c r="G33" i="444"/>
  <c r="R32" i="444"/>
  <c r="T32" i="444" s="1"/>
  <c r="U32" i="444" s="1"/>
  <c r="G32" i="444"/>
  <c r="R31" i="444"/>
  <c r="T31" i="444" s="1"/>
  <c r="U31" i="444" s="1"/>
  <c r="G31" i="444"/>
  <c r="R30" i="444"/>
  <c r="T30" i="444" s="1"/>
  <c r="U30" i="444" s="1"/>
  <c r="G30" i="444"/>
  <c r="T29" i="444"/>
  <c r="U29" i="444" s="1"/>
  <c r="S29" i="444"/>
  <c r="R29" i="444"/>
  <c r="G29" i="444"/>
  <c r="R28" i="444"/>
  <c r="G28" i="444"/>
  <c r="R27" i="444"/>
  <c r="T27" i="444" s="1"/>
  <c r="U27" i="444" s="1"/>
  <c r="G27" i="444"/>
  <c r="T26" i="444"/>
  <c r="U26" i="444" s="1"/>
  <c r="V26" i="444" s="1"/>
  <c r="W26" i="444" s="1"/>
  <c r="S26" i="444"/>
  <c r="R26" i="444"/>
  <c r="G26" i="444"/>
  <c r="R25" i="444"/>
  <c r="T25" i="444" s="1"/>
  <c r="U25" i="444" s="1"/>
  <c r="G25" i="444"/>
  <c r="R24" i="444"/>
  <c r="T24" i="444" s="1"/>
  <c r="U24" i="444" s="1"/>
  <c r="G24" i="444"/>
  <c r="R23" i="444"/>
  <c r="T23" i="444" s="1"/>
  <c r="U23" i="444" s="1"/>
  <c r="G23" i="444"/>
  <c r="T22" i="444"/>
  <c r="U22" i="444" s="1"/>
  <c r="S22" i="444"/>
  <c r="R22" i="444"/>
  <c r="G22" i="444"/>
  <c r="R21" i="444"/>
  <c r="S21" i="444" s="1"/>
  <c r="G21" i="444"/>
  <c r="R20" i="444"/>
  <c r="S20" i="444" s="1"/>
  <c r="G20" i="444"/>
  <c r="T19" i="444"/>
  <c r="U19" i="444" s="1"/>
  <c r="R19" i="444"/>
  <c r="S19" i="444" s="1"/>
  <c r="G19" i="444"/>
  <c r="T18" i="444"/>
  <c r="U18" i="444" s="1"/>
  <c r="S18" i="444"/>
  <c r="R18" i="444"/>
  <c r="G18" i="444"/>
  <c r="T17" i="444"/>
  <c r="U17" i="444" s="1"/>
  <c r="S17" i="444"/>
  <c r="R17" i="444"/>
  <c r="G17" i="444"/>
  <c r="R16" i="444"/>
  <c r="G16" i="444"/>
  <c r="S15" i="444"/>
  <c r="R15" i="444"/>
  <c r="T15" i="444" s="1"/>
  <c r="U15" i="444" s="1"/>
  <c r="G15" i="444"/>
  <c r="T14" i="444"/>
  <c r="U14" i="444" s="1"/>
  <c r="R14" i="444"/>
  <c r="S14" i="444" s="1"/>
  <c r="G14" i="444"/>
  <c r="R13" i="444"/>
  <c r="T13" i="444" s="1"/>
  <c r="U13" i="444" s="1"/>
  <c r="G13" i="444"/>
  <c r="T12" i="444"/>
  <c r="U12" i="444" s="1"/>
  <c r="V12" i="444" s="1"/>
  <c r="W12" i="444" s="1"/>
  <c r="S12" i="444"/>
  <c r="R12" i="444"/>
  <c r="G12" i="444"/>
  <c r="R11" i="444"/>
  <c r="T11" i="444" s="1"/>
  <c r="U11" i="444" s="1"/>
  <c r="G11" i="444"/>
  <c r="S10" i="444"/>
  <c r="R10" i="444"/>
  <c r="T10" i="444" s="1"/>
  <c r="U10" i="444" s="1"/>
  <c r="G10" i="444"/>
  <c r="T9" i="444"/>
  <c r="U9" i="444" s="1"/>
  <c r="S9" i="444"/>
  <c r="R9" i="444"/>
  <c r="G9" i="444"/>
  <c r="R8" i="444"/>
  <c r="G8" i="444"/>
  <c r="R7" i="444"/>
  <c r="T7" i="444" s="1"/>
  <c r="U7" i="444" s="1"/>
  <c r="G7" i="444"/>
  <c r="T6" i="444"/>
  <c r="U6" i="444" s="1"/>
  <c r="V6" i="444" s="1"/>
  <c r="W6" i="444" s="1"/>
  <c r="S6" i="444"/>
  <c r="R6" i="444"/>
  <c r="G6" i="444"/>
  <c r="R5" i="444"/>
  <c r="T5" i="444" s="1"/>
  <c r="U5" i="444" s="1"/>
  <c r="G5" i="444"/>
  <c r="R4" i="444"/>
  <c r="T4" i="444" s="1"/>
  <c r="U4" i="444" s="1"/>
  <c r="G4" i="444"/>
  <c r="R3" i="444"/>
  <c r="T3" i="444" s="1"/>
  <c r="U3" i="444" s="1"/>
  <c r="G3" i="444"/>
  <c r="T2" i="444"/>
  <c r="U2" i="444" s="1"/>
  <c r="S2" i="444"/>
  <c r="R2" i="444"/>
  <c r="G2" i="444"/>
  <c r="B2" i="383"/>
  <c r="B3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D43" i="415"/>
  <c r="C43" i="415"/>
  <c r="D42" i="415"/>
  <c r="C42" i="415"/>
  <c r="D17" i="415"/>
  <c r="C17" i="415"/>
  <c r="D16" i="415"/>
  <c r="C16" i="415"/>
  <c r="E16" i="415" s="1"/>
  <c r="D15" i="415"/>
  <c r="C15" i="415"/>
  <c r="D14" i="415"/>
  <c r="C14" i="415"/>
  <c r="D13" i="415"/>
  <c r="C13" i="415"/>
  <c r="D12" i="415"/>
  <c r="C12" i="415"/>
  <c r="D11" i="415"/>
  <c r="C11" i="415"/>
  <c r="D10" i="415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51" i="385" s="1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P55" i="385" s="1"/>
  <c r="K4" i="384"/>
  <c r="O3" i="384"/>
  <c r="N3" i="384"/>
  <c r="M3" i="384"/>
  <c r="L3" i="384"/>
  <c r="K3" i="384"/>
  <c r="O2" i="384"/>
  <c r="N2" i="384"/>
  <c r="M2" i="384"/>
  <c r="L2" i="384"/>
  <c r="F50" i="385" s="1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H85" i="385"/>
  <c r="G85" i="385"/>
  <c r="F85" i="385"/>
  <c r="E85" i="385"/>
  <c r="D85" i="385"/>
  <c r="C85" i="385"/>
  <c r="Q84" i="385"/>
  <c r="P84" i="385"/>
  <c r="S84" i="385" s="1"/>
  <c r="M84" i="385"/>
  <c r="L84" i="385"/>
  <c r="K84" i="385"/>
  <c r="J84" i="385"/>
  <c r="H84" i="385"/>
  <c r="G84" i="385"/>
  <c r="F84" i="385"/>
  <c r="E84" i="385"/>
  <c r="D84" i="385"/>
  <c r="C84" i="385"/>
  <c r="S83" i="385"/>
  <c r="Q83" i="385"/>
  <c r="P83" i="385"/>
  <c r="R83" i="385" s="1"/>
  <c r="M83" i="385"/>
  <c r="L83" i="385"/>
  <c r="K83" i="385"/>
  <c r="J83" i="385"/>
  <c r="H83" i="385"/>
  <c r="G83" i="385"/>
  <c r="F83" i="385"/>
  <c r="E83" i="385"/>
  <c r="D83" i="385"/>
  <c r="C83" i="385"/>
  <c r="Q82" i="385"/>
  <c r="P82" i="385"/>
  <c r="M82" i="385"/>
  <c r="L82" i="385"/>
  <c r="K82" i="385"/>
  <c r="J82" i="385"/>
  <c r="H82" i="385"/>
  <c r="G82" i="385"/>
  <c r="F82" i="385"/>
  <c r="E82" i="385"/>
  <c r="D82" i="385"/>
  <c r="C82" i="385"/>
  <c r="Q81" i="385"/>
  <c r="P81" i="385"/>
  <c r="S81" i="385" s="1"/>
  <c r="M81" i="385"/>
  <c r="L81" i="385"/>
  <c r="K81" i="385"/>
  <c r="J81" i="385"/>
  <c r="H81" i="385"/>
  <c r="G81" i="385"/>
  <c r="F81" i="385"/>
  <c r="E81" i="385"/>
  <c r="D81" i="385"/>
  <c r="C81" i="385"/>
  <c r="Q80" i="385"/>
  <c r="P80" i="385"/>
  <c r="S80" i="385" s="1"/>
  <c r="M80" i="385"/>
  <c r="L80" i="385"/>
  <c r="K80" i="385"/>
  <c r="J80" i="385"/>
  <c r="H80" i="385"/>
  <c r="G80" i="385"/>
  <c r="F80" i="385"/>
  <c r="E80" i="385"/>
  <c r="D80" i="385"/>
  <c r="C80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P59" i="385"/>
  <c r="M59" i="385"/>
  <c r="L59" i="385"/>
  <c r="K59" i="385"/>
  <c r="J59" i="385"/>
  <c r="H59" i="385"/>
  <c r="G59" i="385"/>
  <c r="F59" i="385"/>
  <c r="E59" i="385"/>
  <c r="D59" i="385"/>
  <c r="C59" i="385"/>
  <c r="Q58" i="385"/>
  <c r="P58" i="385"/>
  <c r="M58" i="385"/>
  <c r="L58" i="385"/>
  <c r="K58" i="385"/>
  <c r="J58" i="385"/>
  <c r="H58" i="385"/>
  <c r="G58" i="385"/>
  <c r="F58" i="385"/>
  <c r="E58" i="385"/>
  <c r="D58" i="385"/>
  <c r="C58" i="385"/>
  <c r="Q57" i="385"/>
  <c r="P57" i="385"/>
  <c r="M57" i="385"/>
  <c r="L57" i="385"/>
  <c r="K57" i="385"/>
  <c r="J57" i="385"/>
  <c r="H57" i="385"/>
  <c r="G57" i="385"/>
  <c r="F57" i="385"/>
  <c r="E57" i="385"/>
  <c r="D57" i="385"/>
  <c r="C57" i="385"/>
  <c r="Q56" i="385"/>
  <c r="P56" i="385"/>
  <c r="M56" i="385"/>
  <c r="L56" i="385"/>
  <c r="K56" i="385"/>
  <c r="J56" i="385"/>
  <c r="H56" i="385"/>
  <c r="G56" i="385"/>
  <c r="F56" i="385"/>
  <c r="E56" i="385"/>
  <c r="D56" i="385"/>
  <c r="C56" i="385"/>
  <c r="Q55" i="385"/>
  <c r="M55" i="385"/>
  <c r="L55" i="385"/>
  <c r="K55" i="385"/>
  <c r="J55" i="385"/>
  <c r="H55" i="385"/>
  <c r="G55" i="385"/>
  <c r="F55" i="385"/>
  <c r="E55" i="385"/>
  <c r="D55" i="385"/>
  <c r="C55" i="385"/>
  <c r="Q54" i="385"/>
  <c r="M54" i="385"/>
  <c r="L54" i="385"/>
  <c r="K54" i="385"/>
  <c r="J54" i="385"/>
  <c r="H54" i="385"/>
  <c r="G54" i="385"/>
  <c r="F54" i="385"/>
  <c r="E54" i="385"/>
  <c r="D54" i="385"/>
  <c r="C54" i="385"/>
  <c r="L53" i="385"/>
  <c r="K53" i="385"/>
  <c r="G53" i="385"/>
  <c r="F53" i="385"/>
  <c r="M53" i="385" s="1"/>
  <c r="D53" i="385"/>
  <c r="C53" i="385"/>
  <c r="Q52" i="385"/>
  <c r="L52" i="385"/>
  <c r="K52" i="385"/>
  <c r="G52" i="385"/>
  <c r="H52" i="385" s="1"/>
  <c r="F52" i="385"/>
  <c r="D52" i="385"/>
  <c r="C52" i="385"/>
  <c r="Q51" i="385"/>
  <c r="C51" i="385"/>
  <c r="Q50" i="385"/>
  <c r="L50" i="385"/>
  <c r="K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C26" i="385"/>
  <c r="Q25" i="385"/>
  <c r="C25" i="385"/>
  <c r="Q24" i="385"/>
  <c r="Q23" i="385"/>
  <c r="C23" i="385"/>
  <c r="Q22" i="385"/>
  <c r="P22" i="385"/>
  <c r="C22" i="385"/>
  <c r="Q21" i="385"/>
  <c r="P21" i="385"/>
  <c r="C21" i="385"/>
  <c r="Q20" i="385"/>
  <c r="P20" i="385"/>
  <c r="C20" i="385"/>
  <c r="Q19" i="385"/>
  <c r="P19" i="385"/>
  <c r="C19" i="385"/>
  <c r="Q18" i="385"/>
  <c r="P18" i="385"/>
  <c r="C18" i="385"/>
  <c r="Q17" i="385"/>
  <c r="P17" i="385"/>
  <c r="C17" i="385"/>
  <c r="Q16" i="385"/>
  <c r="P16" i="385"/>
  <c r="C16" i="385"/>
  <c r="Q15" i="385"/>
  <c r="C15" i="385"/>
  <c r="Q14" i="385"/>
  <c r="C14" i="385"/>
  <c r="Q13" i="385"/>
  <c r="C13" i="385"/>
  <c r="Q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G54" i="54"/>
  <c r="E54" i="54"/>
  <c r="F53" i="54"/>
  <c r="F52" i="54"/>
  <c r="I51" i="54"/>
  <c r="H51" i="54"/>
  <c r="S79" i="385" l="1"/>
  <c r="E53" i="385"/>
  <c r="S82" i="385"/>
  <c r="R84" i="385"/>
  <c r="M52" i="385"/>
  <c r="E52" i="385" s="1"/>
  <c r="H53" i="385"/>
  <c r="G51" i="385"/>
  <c r="P75" i="385"/>
  <c r="R75" i="385" s="1"/>
  <c r="P54" i="385"/>
  <c r="D50" i="385"/>
  <c r="P73" i="385"/>
  <c r="R73" i="385" s="1"/>
  <c r="F51" i="385"/>
  <c r="H51" i="385" s="1"/>
  <c r="P23" i="385"/>
  <c r="P24" i="385"/>
  <c r="P77" i="385"/>
  <c r="S77" i="385" s="1"/>
  <c r="D51" i="385"/>
  <c r="P72" i="385"/>
  <c r="R72" i="385" s="1"/>
  <c r="P74" i="385"/>
  <c r="S74" i="385" s="1"/>
  <c r="P76" i="385"/>
  <c r="R76" i="385" s="1"/>
  <c r="G49" i="385"/>
  <c r="F49" i="385"/>
  <c r="H49" i="385" s="1"/>
  <c r="G50" i="385"/>
  <c r="M50" i="385" s="1"/>
  <c r="E50" i="385" s="1"/>
  <c r="D49" i="385"/>
  <c r="P78" i="385"/>
  <c r="S78" i="385" s="1"/>
  <c r="E45" i="415"/>
  <c r="L49" i="385"/>
  <c r="K49" i="385"/>
  <c r="L23" i="385"/>
  <c r="E44" i="415"/>
  <c r="L51" i="385"/>
  <c r="F54" i="54"/>
  <c r="R81" i="385"/>
  <c r="R82" i="385"/>
  <c r="R79" i="385"/>
  <c r="R80" i="385"/>
  <c r="F26" i="385"/>
  <c r="I84" i="385"/>
  <c r="F37" i="385"/>
  <c r="E17" i="415"/>
  <c r="L19" i="385"/>
  <c r="K45" i="385"/>
  <c r="L26" i="385"/>
  <c r="L32" i="385"/>
  <c r="L34" i="385"/>
  <c r="L12" i="385"/>
  <c r="E10" i="415"/>
  <c r="L48" i="385"/>
  <c r="E14" i="415"/>
  <c r="L41" i="385"/>
  <c r="L24" i="385"/>
  <c r="L46" i="385"/>
  <c r="L14" i="385"/>
  <c r="I166" i="385"/>
  <c r="I162" i="385"/>
  <c r="I94" i="385"/>
  <c r="F48" i="385"/>
  <c r="I88" i="385"/>
  <c r="I182" i="385"/>
  <c r="G44" i="385"/>
  <c r="F44" i="385"/>
  <c r="D15" i="385"/>
  <c r="P6" i="385"/>
  <c r="R6" i="385" s="1"/>
  <c r="I69" i="385"/>
  <c r="G12" i="385"/>
  <c r="I98" i="385"/>
  <c r="F11" i="385"/>
  <c r="D25" i="385"/>
  <c r="P30" i="385"/>
  <c r="S30" i="385" s="1"/>
  <c r="D36" i="385"/>
  <c r="I44" i="385"/>
  <c r="P61" i="385"/>
  <c r="I90" i="385"/>
  <c r="G22" i="385"/>
  <c r="G33" i="385"/>
  <c r="P41" i="385"/>
  <c r="S41" i="385" s="1"/>
  <c r="D47" i="385"/>
  <c r="I49" i="385"/>
  <c r="I66" i="385"/>
  <c r="I8" i="385"/>
  <c r="G11" i="385"/>
  <c r="D14" i="385"/>
  <c r="I22" i="385"/>
  <c r="F25" i="385"/>
  <c r="I33" i="385"/>
  <c r="F36" i="385"/>
  <c r="D39" i="385"/>
  <c r="P44" i="385"/>
  <c r="R44" i="385" s="1"/>
  <c r="F47" i="385"/>
  <c r="I63" i="385"/>
  <c r="I138" i="385"/>
  <c r="P5" i="385"/>
  <c r="S5" i="385" s="1"/>
  <c r="I11" i="385"/>
  <c r="G36" i="385"/>
  <c r="F39" i="385"/>
  <c r="G47" i="385"/>
  <c r="I60" i="385"/>
  <c r="I158" i="385"/>
  <c r="P8" i="385"/>
  <c r="S8" i="385" s="1"/>
  <c r="G14" i="385"/>
  <c r="D42" i="385"/>
  <c r="I103" i="385"/>
  <c r="I127" i="385"/>
  <c r="I139" i="385"/>
  <c r="I155" i="385"/>
  <c r="I163" i="385"/>
  <c r="I167" i="385"/>
  <c r="I171" i="385"/>
  <c r="I175" i="385"/>
  <c r="I179" i="385"/>
  <c r="I183" i="385"/>
  <c r="I187" i="385"/>
  <c r="I191" i="385"/>
  <c r="I74" i="385"/>
  <c r="I134" i="385"/>
  <c r="I178" i="385"/>
  <c r="F14" i="385"/>
  <c r="D28" i="385"/>
  <c r="D6" i="385"/>
  <c r="G39" i="385"/>
  <c r="I57" i="385"/>
  <c r="I83" i="385"/>
  <c r="I99" i="385"/>
  <c r="I115" i="385"/>
  <c r="I131" i="385"/>
  <c r="I135" i="385"/>
  <c r="I143" i="385"/>
  <c r="I147" i="385"/>
  <c r="I159" i="385"/>
  <c r="I14" i="385"/>
  <c r="G17" i="385"/>
  <c r="D20" i="385"/>
  <c r="P25" i="385"/>
  <c r="R25" i="385" s="1"/>
  <c r="G28" i="385"/>
  <c r="F31" i="385"/>
  <c r="P36" i="385"/>
  <c r="R36" i="385" s="1"/>
  <c r="I39" i="385"/>
  <c r="F42" i="385"/>
  <c r="D45" i="385"/>
  <c r="P47" i="385"/>
  <c r="R47" i="385" s="1"/>
  <c r="P52" i="385"/>
  <c r="R52" i="385" s="1"/>
  <c r="I54" i="385"/>
  <c r="P69" i="385"/>
  <c r="R69" i="385" s="1"/>
  <c r="I34" i="385"/>
  <c r="I110" i="385"/>
  <c r="G8" i="385"/>
  <c r="D17" i="385"/>
  <c r="F28" i="385"/>
  <c r="I36" i="385"/>
  <c r="I75" i="385"/>
  <c r="I87" i="385"/>
  <c r="I95" i="385"/>
  <c r="I111" i="385"/>
  <c r="I123" i="385"/>
  <c r="F6" i="385"/>
  <c r="D9" i="385"/>
  <c r="P14" i="385"/>
  <c r="R14" i="385" s="1"/>
  <c r="I17" i="385"/>
  <c r="F20" i="385"/>
  <c r="D23" i="385"/>
  <c r="I28" i="385"/>
  <c r="G31" i="385"/>
  <c r="D34" i="385"/>
  <c r="P39" i="385"/>
  <c r="G42" i="385"/>
  <c r="F45" i="385"/>
  <c r="P49" i="385"/>
  <c r="S49" i="385" s="1"/>
  <c r="P66" i="385"/>
  <c r="R66" i="385" s="1"/>
  <c r="I71" i="385"/>
  <c r="I126" i="385"/>
  <c r="F17" i="385"/>
  <c r="D31" i="385"/>
  <c r="I47" i="385"/>
  <c r="I79" i="385"/>
  <c r="I91" i="385"/>
  <c r="I107" i="385"/>
  <c r="I119" i="385"/>
  <c r="I151" i="385"/>
  <c r="G6" i="385"/>
  <c r="F9" i="385"/>
  <c r="D12" i="385"/>
  <c r="G20" i="385"/>
  <c r="F23" i="385"/>
  <c r="P28" i="385"/>
  <c r="I31" i="385"/>
  <c r="F34" i="385"/>
  <c r="I42" i="385"/>
  <c r="G45" i="385"/>
  <c r="I51" i="385"/>
  <c r="J51" i="385" s="1"/>
  <c r="P63" i="385"/>
  <c r="S63" i="385" s="1"/>
  <c r="I68" i="385"/>
  <c r="I9" i="385"/>
  <c r="I82" i="385"/>
  <c r="I150" i="385"/>
  <c r="I190" i="385"/>
  <c r="G25" i="385"/>
  <c r="P33" i="385"/>
  <c r="S33" i="385" s="1"/>
  <c r="P11" i="385"/>
  <c r="R11" i="385" s="1"/>
  <c r="I25" i="385"/>
  <c r="I6" i="385"/>
  <c r="G9" i="385"/>
  <c r="F12" i="385"/>
  <c r="H12" i="385" s="1"/>
  <c r="I20" i="385"/>
  <c r="G23" i="385"/>
  <c r="D26" i="385"/>
  <c r="P31" i="385"/>
  <c r="S31" i="385" s="1"/>
  <c r="G34" i="385"/>
  <c r="D37" i="385"/>
  <c r="P42" i="385"/>
  <c r="R42" i="385" s="1"/>
  <c r="I45" i="385"/>
  <c r="D48" i="385"/>
  <c r="P60" i="385"/>
  <c r="S60" i="385" s="1"/>
  <c r="I65" i="385"/>
  <c r="I118" i="385"/>
  <c r="G37" i="385"/>
  <c r="H37" i="385" s="1"/>
  <c r="F40" i="385"/>
  <c r="P45" i="385"/>
  <c r="R45" i="385" s="1"/>
  <c r="G48" i="385"/>
  <c r="I59" i="385"/>
  <c r="I106" i="385"/>
  <c r="I12" i="385"/>
  <c r="P34" i="385"/>
  <c r="S34" i="385" s="1"/>
  <c r="I37" i="385"/>
  <c r="G40" i="385"/>
  <c r="D43" i="385"/>
  <c r="I48" i="385"/>
  <c r="I56" i="385"/>
  <c r="P71" i="385"/>
  <c r="S71" i="385" s="1"/>
  <c r="I102" i="385"/>
  <c r="F18" i="385"/>
  <c r="F32" i="385"/>
  <c r="P37" i="385"/>
  <c r="R37" i="385" s="1"/>
  <c r="I40" i="385"/>
  <c r="F43" i="385"/>
  <c r="P51" i="385"/>
  <c r="S51" i="385" s="1"/>
  <c r="P68" i="385"/>
  <c r="R68" i="385" s="1"/>
  <c r="I78" i="385"/>
  <c r="F29" i="385"/>
  <c r="D21" i="385"/>
  <c r="G43" i="385"/>
  <c r="D46" i="385"/>
  <c r="P48" i="385"/>
  <c r="S48" i="385" s="1"/>
  <c r="I53" i="385"/>
  <c r="J53" i="385" s="1"/>
  <c r="P65" i="385"/>
  <c r="S65" i="385" s="1"/>
  <c r="I70" i="385"/>
  <c r="F15" i="385"/>
  <c r="D7" i="385"/>
  <c r="I15" i="385"/>
  <c r="G7" i="385"/>
  <c r="I43" i="385"/>
  <c r="I81" i="385"/>
  <c r="I117" i="385"/>
  <c r="I141" i="385"/>
  <c r="I161" i="385"/>
  <c r="I173" i="385"/>
  <c r="I177" i="385"/>
  <c r="I181" i="385"/>
  <c r="I185" i="385"/>
  <c r="I189" i="385"/>
  <c r="I130" i="385"/>
  <c r="G15" i="385"/>
  <c r="D32" i="385"/>
  <c r="P12" i="385"/>
  <c r="S12" i="385" s="1"/>
  <c r="F21" i="385"/>
  <c r="I29" i="385"/>
  <c r="F46" i="385"/>
  <c r="I73" i="385"/>
  <c r="I85" i="385"/>
  <c r="I105" i="385"/>
  <c r="I125" i="385"/>
  <c r="I133" i="385"/>
  <c r="I153" i="385"/>
  <c r="I169" i="385"/>
  <c r="G24" i="385"/>
  <c r="G46" i="385"/>
  <c r="I64" i="385"/>
  <c r="I10" i="385"/>
  <c r="F13" i="385"/>
  <c r="D16" i="385"/>
  <c r="I24" i="385"/>
  <c r="D27" i="385"/>
  <c r="P32" i="385"/>
  <c r="S32" i="385" s="1"/>
  <c r="G35" i="385"/>
  <c r="F38" i="385"/>
  <c r="D41" i="385"/>
  <c r="I61" i="385"/>
  <c r="I23" i="385"/>
  <c r="I86" i="385"/>
  <c r="I122" i="385"/>
  <c r="I142" i="385"/>
  <c r="I154" i="385"/>
  <c r="I170" i="385"/>
  <c r="I186" i="385"/>
  <c r="D29" i="385"/>
  <c r="I26" i="385"/>
  <c r="G32" i="385"/>
  <c r="G21" i="385"/>
  <c r="D35" i="385"/>
  <c r="I50" i="385"/>
  <c r="J50" i="385" s="1"/>
  <c r="I67" i="385"/>
  <c r="I77" i="385"/>
  <c r="I93" i="385"/>
  <c r="I97" i="385"/>
  <c r="I101" i="385"/>
  <c r="I113" i="385"/>
  <c r="I129" i="385"/>
  <c r="I137" i="385"/>
  <c r="I145" i="385"/>
  <c r="I149" i="385"/>
  <c r="I157" i="385"/>
  <c r="I165" i="385"/>
  <c r="I7" i="385"/>
  <c r="D13" i="385"/>
  <c r="I21" i="385"/>
  <c r="F35" i="385"/>
  <c r="D38" i="385"/>
  <c r="P43" i="385"/>
  <c r="R43" i="385" s="1"/>
  <c r="P7" i="385"/>
  <c r="S7" i="385" s="1"/>
  <c r="D5" i="385"/>
  <c r="P10" i="385"/>
  <c r="S10" i="385" s="1"/>
  <c r="G13" i="385"/>
  <c r="F16" i="385"/>
  <c r="D19" i="385"/>
  <c r="F27" i="385"/>
  <c r="D30" i="385"/>
  <c r="I35" i="385"/>
  <c r="G38" i="385"/>
  <c r="F41" i="385"/>
  <c r="I46" i="385"/>
  <c r="I58" i="385"/>
  <c r="D40" i="385"/>
  <c r="I146" i="385"/>
  <c r="I174" i="385"/>
  <c r="P9" i="385"/>
  <c r="S9" i="385" s="1"/>
  <c r="G18" i="385"/>
  <c r="D10" i="385"/>
  <c r="D24" i="385"/>
  <c r="F24" i="385"/>
  <c r="I32" i="385"/>
  <c r="P62" i="385"/>
  <c r="S62" i="385" s="1"/>
  <c r="I89" i="385"/>
  <c r="I109" i="385"/>
  <c r="I121" i="385"/>
  <c r="G10" i="385"/>
  <c r="F5" i="385"/>
  <c r="I13" i="385"/>
  <c r="G16" i="385"/>
  <c r="F19" i="385"/>
  <c r="G27" i="385"/>
  <c r="F30" i="385"/>
  <c r="P35" i="385"/>
  <c r="R35" i="385" s="1"/>
  <c r="I38" i="385"/>
  <c r="G41" i="385"/>
  <c r="D44" i="385"/>
  <c r="P46" i="385"/>
  <c r="S46" i="385" s="1"/>
  <c r="P53" i="385"/>
  <c r="I55" i="385"/>
  <c r="P70" i="385"/>
  <c r="R70" i="385" s="1"/>
  <c r="I62" i="385"/>
  <c r="I114" i="385"/>
  <c r="D18" i="385"/>
  <c r="F7" i="385"/>
  <c r="I18" i="385"/>
  <c r="P26" i="385"/>
  <c r="R26" i="385" s="1"/>
  <c r="P40" i="385"/>
  <c r="S40" i="385" s="1"/>
  <c r="G5" i="385"/>
  <c r="P13" i="385"/>
  <c r="S13" i="385" s="1"/>
  <c r="I16" i="385"/>
  <c r="D33" i="385"/>
  <c r="P38" i="385"/>
  <c r="R38" i="385" s="1"/>
  <c r="I41" i="385"/>
  <c r="P50" i="385"/>
  <c r="S50" i="385" s="1"/>
  <c r="I72" i="385"/>
  <c r="I80" i="385"/>
  <c r="I92" i="385"/>
  <c r="I96" i="385"/>
  <c r="I104" i="385"/>
  <c r="I108" i="385"/>
  <c r="I112" i="385"/>
  <c r="I116" i="385"/>
  <c r="I120" i="385"/>
  <c r="I124" i="385"/>
  <c r="I128" i="385"/>
  <c r="I132" i="385"/>
  <c r="I136" i="385"/>
  <c r="I140" i="385"/>
  <c r="I144" i="385"/>
  <c r="I148" i="385"/>
  <c r="I152" i="385"/>
  <c r="I156" i="385"/>
  <c r="I160" i="385"/>
  <c r="I164" i="385"/>
  <c r="I168" i="385"/>
  <c r="I172" i="385"/>
  <c r="I176" i="385"/>
  <c r="I180" i="385"/>
  <c r="I184" i="385"/>
  <c r="I188" i="385"/>
  <c r="G26" i="385"/>
  <c r="H26" i="385" s="1"/>
  <c r="G29" i="385"/>
  <c r="P15" i="385"/>
  <c r="S15" i="385" s="1"/>
  <c r="F10" i="385"/>
  <c r="P29" i="385"/>
  <c r="S29" i="385" s="1"/>
  <c r="D8" i="385"/>
  <c r="G19" i="385"/>
  <c r="D22" i="385"/>
  <c r="I27" i="385"/>
  <c r="G30" i="385"/>
  <c r="P67" i="385"/>
  <c r="R67" i="385" s="1"/>
  <c r="I76" i="385"/>
  <c r="I100" i="385"/>
  <c r="I5" i="385"/>
  <c r="F8" i="385"/>
  <c r="D11" i="385"/>
  <c r="I19" i="385"/>
  <c r="F22" i="385"/>
  <c r="H22" i="385" s="1"/>
  <c r="P27" i="385"/>
  <c r="R27" i="385" s="1"/>
  <c r="I30" i="385"/>
  <c r="F33" i="385"/>
  <c r="I52" i="385"/>
  <c r="J52" i="385" s="1"/>
  <c r="P64" i="385"/>
  <c r="S64" i="385" s="1"/>
  <c r="K5" i="385"/>
  <c r="K34" i="385"/>
  <c r="E43" i="415"/>
  <c r="L17" i="385"/>
  <c r="C49" i="415"/>
  <c r="K10" i="385"/>
  <c r="L39" i="385"/>
  <c r="K44" i="385"/>
  <c r="K46" i="385"/>
  <c r="L10" i="385"/>
  <c r="K15" i="385"/>
  <c r="L27" i="385"/>
  <c r="K32" i="385"/>
  <c r="L15" i="385"/>
  <c r="L37" i="385"/>
  <c r="D51" i="415"/>
  <c r="K8" i="385"/>
  <c r="L8" i="385"/>
  <c r="K13" i="385"/>
  <c r="L25" i="385"/>
  <c r="K30" i="385"/>
  <c r="C52" i="415"/>
  <c r="K17" i="385"/>
  <c r="K37" i="385"/>
  <c r="K6" i="385"/>
  <c r="L30" i="385"/>
  <c r="K35" i="385"/>
  <c r="D52" i="415"/>
  <c r="L6" i="385"/>
  <c r="L18" i="385"/>
  <c r="K23" i="385"/>
  <c r="M23" i="385" s="1"/>
  <c r="E23" i="385" s="1"/>
  <c r="L35" i="385"/>
  <c r="L47" i="385"/>
  <c r="K28" i="385"/>
  <c r="L45" i="385"/>
  <c r="C23" i="415"/>
  <c r="L16" i="385"/>
  <c r="L28" i="385"/>
  <c r="D23" i="415"/>
  <c r="K21" i="385"/>
  <c r="K43" i="385"/>
  <c r="C26" i="415"/>
  <c r="K14" i="385"/>
  <c r="L21" i="385"/>
  <c r="K26" i="385"/>
  <c r="L38" i="385"/>
  <c r="L43" i="385"/>
  <c r="C7" i="415"/>
  <c r="D32" i="415"/>
  <c r="C33" i="415"/>
  <c r="D33" i="415"/>
  <c r="L7" i="385"/>
  <c r="K12" i="385"/>
  <c r="K19" i="385"/>
  <c r="K24" i="385"/>
  <c r="L36" i="385"/>
  <c r="K41" i="385"/>
  <c r="K48" i="385"/>
  <c r="E11" i="415"/>
  <c r="C36" i="415"/>
  <c r="C21" i="415"/>
  <c r="D30" i="415"/>
  <c r="D40" i="415"/>
  <c r="D49" i="415"/>
  <c r="L5" i="385"/>
  <c r="K16" i="385"/>
  <c r="K25" i="385"/>
  <c r="K36" i="385"/>
  <c r="K47" i="385"/>
  <c r="E12" i="415"/>
  <c r="D21" i="415"/>
  <c r="C31" i="415"/>
  <c r="C50" i="415"/>
  <c r="C22" i="415"/>
  <c r="D31" i="415"/>
  <c r="C41" i="415"/>
  <c r="D50" i="415"/>
  <c r="E13" i="415"/>
  <c r="D22" i="415"/>
  <c r="C32" i="415"/>
  <c r="D41" i="415"/>
  <c r="C51" i="415"/>
  <c r="C5" i="415"/>
  <c r="E15" i="415"/>
  <c r="C24" i="415"/>
  <c r="C34" i="415"/>
  <c r="C53" i="415"/>
  <c r="K39" i="385"/>
  <c r="D5" i="415"/>
  <c r="D24" i="415"/>
  <c r="D34" i="415"/>
  <c r="D53" i="415"/>
  <c r="C6" i="415"/>
  <c r="C25" i="415"/>
  <c r="C35" i="415"/>
  <c r="C54" i="415"/>
  <c r="D6" i="415"/>
  <c r="D25" i="415"/>
  <c r="D35" i="415"/>
  <c r="D54" i="415"/>
  <c r="D7" i="415"/>
  <c r="D26" i="415"/>
  <c r="E26" i="415" s="1"/>
  <c r="D36" i="415"/>
  <c r="C8" i="415"/>
  <c r="C18" i="415"/>
  <c r="C27" i="415"/>
  <c r="C37" i="415"/>
  <c r="C46" i="415"/>
  <c r="D8" i="415"/>
  <c r="D18" i="415"/>
  <c r="D27" i="415"/>
  <c r="D37" i="415"/>
  <c r="D46" i="415"/>
  <c r="K11" i="385"/>
  <c r="C9" i="415"/>
  <c r="C19" i="415"/>
  <c r="C28" i="415"/>
  <c r="C38" i="415"/>
  <c r="C47" i="415"/>
  <c r="E42" i="415"/>
  <c r="L13" i="385"/>
  <c r="K42" i="385"/>
  <c r="L11" i="385"/>
  <c r="L42" i="385"/>
  <c r="D9" i="415"/>
  <c r="D19" i="415"/>
  <c r="D28" i="415"/>
  <c r="D38" i="415"/>
  <c r="D47" i="415"/>
  <c r="L44" i="385"/>
  <c r="K22" i="385"/>
  <c r="L22" i="385"/>
  <c r="K9" i="385"/>
  <c r="K20" i="385"/>
  <c r="L31" i="385"/>
  <c r="K40" i="385"/>
  <c r="C20" i="415"/>
  <c r="C29" i="415"/>
  <c r="C39" i="415"/>
  <c r="C48" i="415"/>
  <c r="L33" i="385"/>
  <c r="K31" i="385"/>
  <c r="L9" i="385"/>
  <c r="L20" i="385"/>
  <c r="K29" i="385"/>
  <c r="L40" i="385"/>
  <c r="D20" i="415"/>
  <c r="D29" i="415"/>
  <c r="D39" i="415"/>
  <c r="D48" i="415"/>
  <c r="K33" i="385"/>
  <c r="K7" i="385"/>
  <c r="K18" i="385"/>
  <c r="K27" i="385"/>
  <c r="L29" i="385"/>
  <c r="K38" i="385"/>
  <c r="C30" i="415"/>
  <c r="C40" i="415"/>
  <c r="S17" i="385"/>
  <c r="S59" i="385"/>
  <c r="S28" i="385"/>
  <c r="S56" i="385"/>
  <c r="V137" i="444"/>
  <c r="W137" i="444" s="1"/>
  <c r="R23" i="385"/>
  <c r="S54" i="385"/>
  <c r="V102" i="444"/>
  <c r="W102" i="444" s="1"/>
  <c r="V109" i="444"/>
  <c r="W109" i="444" s="1"/>
  <c r="S44" i="385"/>
  <c r="V59" i="444"/>
  <c r="W59" i="444" s="1"/>
  <c r="V29" i="444"/>
  <c r="W29" i="444" s="1"/>
  <c r="S18" i="385"/>
  <c r="R55" i="385"/>
  <c r="V77" i="444"/>
  <c r="W77" i="444" s="1"/>
  <c r="S21" i="385"/>
  <c r="S39" i="385"/>
  <c r="V147" i="444"/>
  <c r="W147" i="444" s="1"/>
  <c r="V134" i="444"/>
  <c r="W134" i="444" s="1"/>
  <c r="R22" i="385"/>
  <c r="V14" i="444"/>
  <c r="W14" i="444" s="1"/>
  <c r="S19" i="385"/>
  <c r="S57" i="385"/>
  <c r="V164" i="444"/>
  <c r="W164" i="444" s="1"/>
  <c r="V18" i="444"/>
  <c r="W18" i="444" s="1"/>
  <c r="V152" i="444"/>
  <c r="W152" i="444" s="1"/>
  <c r="V34" i="444"/>
  <c r="W34" i="444" s="1"/>
  <c r="V87" i="444"/>
  <c r="W87" i="444" s="1"/>
  <c r="V94" i="444"/>
  <c r="W94" i="444" s="1"/>
  <c r="S24" i="385"/>
  <c r="V159" i="444"/>
  <c r="W159" i="444" s="1"/>
  <c r="V42" i="444"/>
  <c r="W42" i="444" s="1"/>
  <c r="V57" i="444"/>
  <c r="W57" i="444" s="1"/>
  <c r="V35" i="444"/>
  <c r="W35" i="444" s="1"/>
  <c r="V81" i="444"/>
  <c r="W81" i="444" s="1"/>
  <c r="S20" i="385"/>
  <c r="V154" i="444"/>
  <c r="W154" i="444" s="1"/>
  <c r="V89" i="444"/>
  <c r="W89" i="444" s="1"/>
  <c r="S61" i="385"/>
  <c r="V97" i="444"/>
  <c r="W97" i="444" s="1"/>
  <c r="S16" i="385"/>
  <c r="S58" i="385"/>
  <c r="V22" i="444"/>
  <c r="W22" i="444" s="1"/>
  <c r="V112" i="444"/>
  <c r="W112" i="444" s="1"/>
  <c r="V142" i="444"/>
  <c r="W142" i="444" s="1"/>
  <c r="V149" i="444"/>
  <c r="W149" i="444" s="1"/>
  <c r="S52" i="385"/>
  <c r="V53" i="444"/>
  <c r="W53" i="444" s="1"/>
  <c r="V162" i="444"/>
  <c r="W162" i="444" s="1"/>
  <c r="V150" i="444"/>
  <c r="W150" i="444" s="1"/>
  <c r="V17" i="444"/>
  <c r="W17" i="444" s="1"/>
  <c r="V157" i="444"/>
  <c r="W157" i="444" s="1"/>
  <c r="V92" i="444"/>
  <c r="W92" i="444" s="1"/>
  <c r="V15" i="444"/>
  <c r="W15" i="444" s="1"/>
  <c r="V9" i="444"/>
  <c r="W9" i="444" s="1"/>
  <c r="V69" i="444"/>
  <c r="W69" i="444" s="1"/>
  <c r="V129" i="444"/>
  <c r="W129" i="444" s="1"/>
  <c r="V158" i="444"/>
  <c r="W158" i="444" s="1"/>
  <c r="V64" i="444"/>
  <c r="W64" i="444" s="1"/>
  <c r="T16" i="444"/>
  <c r="U16" i="444" s="1"/>
  <c r="S16" i="444"/>
  <c r="S24" i="444"/>
  <c r="V24" i="444" s="1"/>
  <c r="W24" i="444" s="1"/>
  <c r="S28" i="444"/>
  <c r="T28" i="444"/>
  <c r="U28" i="444" s="1"/>
  <c r="S41" i="444"/>
  <c r="V41" i="444" s="1"/>
  <c r="W41" i="444" s="1"/>
  <c r="S70" i="444"/>
  <c r="V70" i="444" s="1"/>
  <c r="W70" i="444" s="1"/>
  <c r="S133" i="444"/>
  <c r="V133" i="444" s="1"/>
  <c r="W133" i="444" s="1"/>
  <c r="S4" i="444"/>
  <c r="V4" i="444" s="1"/>
  <c r="W4" i="444" s="1"/>
  <c r="T8" i="444"/>
  <c r="U8" i="444" s="1"/>
  <c r="S8" i="444"/>
  <c r="V37" i="444"/>
  <c r="W37" i="444" s="1"/>
  <c r="T45" i="444"/>
  <c r="U45" i="444" s="1"/>
  <c r="S45" i="444"/>
  <c r="S58" i="444"/>
  <c r="V58" i="444" s="1"/>
  <c r="W58" i="444" s="1"/>
  <c r="S75" i="444"/>
  <c r="V75" i="444" s="1"/>
  <c r="W75" i="444" s="1"/>
  <c r="S121" i="444"/>
  <c r="V121" i="444" s="1"/>
  <c r="W121" i="444" s="1"/>
  <c r="V54" i="444"/>
  <c r="W54" i="444" s="1"/>
  <c r="V62" i="444"/>
  <c r="W62" i="444" s="1"/>
  <c r="V79" i="444"/>
  <c r="W79" i="444" s="1"/>
  <c r="V117" i="444"/>
  <c r="W117" i="444" s="1"/>
  <c r="T125" i="444"/>
  <c r="U125" i="444" s="1"/>
  <c r="S125" i="444"/>
  <c r="T96" i="444"/>
  <c r="U96" i="444" s="1"/>
  <c r="S96" i="444"/>
  <c r="T55" i="444"/>
  <c r="U55" i="444" s="1"/>
  <c r="V55" i="444" s="1"/>
  <c r="W55" i="444" s="1"/>
  <c r="T101" i="444"/>
  <c r="U101" i="444" s="1"/>
  <c r="V101" i="444" s="1"/>
  <c r="W101" i="444" s="1"/>
  <c r="T21" i="444"/>
  <c r="U21" i="444" s="1"/>
  <c r="V21" i="444" s="1"/>
  <c r="W21" i="444" s="1"/>
  <c r="S50" i="444"/>
  <c r="V50" i="444" s="1"/>
  <c r="W50" i="444" s="1"/>
  <c r="S113" i="444"/>
  <c r="V113" i="444" s="1"/>
  <c r="W113" i="444" s="1"/>
  <c r="T155" i="444"/>
  <c r="U155" i="444" s="1"/>
  <c r="V155" i="444" s="1"/>
  <c r="W155" i="444" s="1"/>
  <c r="S25" i="444"/>
  <c r="V25" i="444" s="1"/>
  <c r="W25" i="444" s="1"/>
  <c r="S38" i="444"/>
  <c r="V38" i="444" s="1"/>
  <c r="W38" i="444" s="1"/>
  <c r="S67" i="444"/>
  <c r="V67" i="444" s="1"/>
  <c r="W67" i="444" s="1"/>
  <c r="S130" i="444"/>
  <c r="V130" i="444" s="1"/>
  <c r="W130" i="444" s="1"/>
  <c r="S5" i="444"/>
  <c r="V5" i="444" s="1"/>
  <c r="W5" i="444" s="1"/>
  <c r="S72" i="444"/>
  <c r="V72" i="444" s="1"/>
  <c r="W72" i="444" s="1"/>
  <c r="T76" i="444"/>
  <c r="U76" i="444" s="1"/>
  <c r="S76" i="444"/>
  <c r="S84" i="444"/>
  <c r="V84" i="444" s="1"/>
  <c r="W84" i="444" s="1"/>
  <c r="T105" i="444"/>
  <c r="U105" i="444" s="1"/>
  <c r="S105" i="444"/>
  <c r="S118" i="444"/>
  <c r="V118" i="444" s="1"/>
  <c r="W118" i="444" s="1"/>
  <c r="S135" i="444"/>
  <c r="V135" i="444" s="1"/>
  <c r="W135" i="444" s="1"/>
  <c r="V114" i="444"/>
  <c r="W114" i="444" s="1"/>
  <c r="V122" i="444"/>
  <c r="W122" i="444" s="1"/>
  <c r="V139" i="444"/>
  <c r="W139" i="444" s="1"/>
  <c r="S30" i="444"/>
  <c r="V30" i="444" s="1"/>
  <c r="W30" i="444" s="1"/>
  <c r="S93" i="444"/>
  <c r="V93" i="444" s="1"/>
  <c r="W93" i="444" s="1"/>
  <c r="T156" i="444"/>
  <c r="U156" i="444" s="1"/>
  <c r="S156" i="444"/>
  <c r="S33" i="444"/>
  <c r="V33" i="444" s="1"/>
  <c r="W33" i="444" s="1"/>
  <c r="V47" i="444"/>
  <c r="W47" i="444" s="1"/>
  <c r="V110" i="444"/>
  <c r="W110" i="444" s="1"/>
  <c r="V2" i="444"/>
  <c r="W2" i="444" s="1"/>
  <c r="V39" i="444"/>
  <c r="W39" i="444" s="1"/>
  <c r="S52" i="444"/>
  <c r="V52" i="444" s="1"/>
  <c r="W52" i="444" s="1"/>
  <c r="T56" i="444"/>
  <c r="U56" i="444" s="1"/>
  <c r="S56" i="444"/>
  <c r="S85" i="444"/>
  <c r="T85" i="444"/>
  <c r="U85" i="444" s="1"/>
  <c r="S98" i="444"/>
  <c r="V98" i="444" s="1"/>
  <c r="W98" i="444" s="1"/>
  <c r="S115" i="444"/>
  <c r="V115" i="444" s="1"/>
  <c r="W115" i="444" s="1"/>
  <c r="S127" i="444"/>
  <c r="V127" i="444" s="1"/>
  <c r="W127" i="444" s="1"/>
  <c r="V119" i="444"/>
  <c r="W119" i="444" s="1"/>
  <c r="S132" i="444"/>
  <c r="V132" i="444" s="1"/>
  <c r="W132" i="444" s="1"/>
  <c r="T136" i="444"/>
  <c r="U136" i="444" s="1"/>
  <c r="S136" i="444"/>
  <c r="S144" i="444"/>
  <c r="V144" i="444" s="1"/>
  <c r="W144" i="444" s="1"/>
  <c r="S73" i="444"/>
  <c r="V73" i="444" s="1"/>
  <c r="W73" i="444" s="1"/>
  <c r="S161" i="444"/>
  <c r="V161" i="444" s="1"/>
  <c r="W161" i="444" s="1"/>
  <c r="V19" i="444"/>
  <c r="W19" i="444" s="1"/>
  <c r="S61" i="444"/>
  <c r="V61" i="444" s="1"/>
  <c r="W61" i="444" s="1"/>
  <c r="S165" i="444"/>
  <c r="T165" i="444"/>
  <c r="U165" i="444" s="1"/>
  <c r="V10" i="444"/>
  <c r="W10" i="444" s="1"/>
  <c r="S27" i="444"/>
  <c r="V27" i="444" s="1"/>
  <c r="W27" i="444" s="1"/>
  <c r="S44" i="444"/>
  <c r="V44" i="444" s="1"/>
  <c r="W44" i="444" s="1"/>
  <c r="T65" i="444"/>
  <c r="U65" i="444" s="1"/>
  <c r="S65" i="444"/>
  <c r="S78" i="444"/>
  <c r="V78" i="444" s="1"/>
  <c r="W78" i="444" s="1"/>
  <c r="S90" i="444"/>
  <c r="V90" i="444" s="1"/>
  <c r="W90" i="444" s="1"/>
  <c r="S153" i="444"/>
  <c r="V153" i="444" s="1"/>
  <c r="W153" i="444" s="1"/>
  <c r="S13" i="444"/>
  <c r="V13" i="444" s="1"/>
  <c r="W13" i="444" s="1"/>
  <c r="S7" i="444"/>
  <c r="V7" i="444" s="1"/>
  <c r="W7" i="444" s="1"/>
  <c r="S32" i="444"/>
  <c r="V32" i="444" s="1"/>
  <c r="W32" i="444" s="1"/>
  <c r="T36" i="444"/>
  <c r="U36" i="444" s="1"/>
  <c r="S36" i="444"/>
  <c r="V74" i="444"/>
  <c r="W74" i="444" s="1"/>
  <c r="S95" i="444"/>
  <c r="V95" i="444" s="1"/>
  <c r="W95" i="444" s="1"/>
  <c r="S107" i="444"/>
  <c r="V107" i="444" s="1"/>
  <c r="W107" i="444" s="1"/>
  <c r="S124" i="444"/>
  <c r="V124" i="444" s="1"/>
  <c r="W124" i="444" s="1"/>
  <c r="S141" i="444"/>
  <c r="V141" i="444" s="1"/>
  <c r="W141" i="444" s="1"/>
  <c r="V82" i="444"/>
  <c r="W82" i="444" s="1"/>
  <c r="V99" i="444"/>
  <c r="W99" i="444" s="1"/>
  <c r="T116" i="444"/>
  <c r="U116" i="444" s="1"/>
  <c r="S116" i="444"/>
  <c r="T145" i="444"/>
  <c r="U145" i="444" s="1"/>
  <c r="S145" i="444"/>
  <c r="S88" i="444"/>
  <c r="V88" i="444" s="1"/>
  <c r="W88" i="444" s="1"/>
  <c r="S11" i="444"/>
  <c r="V11" i="444" s="1"/>
  <c r="W11" i="444" s="1"/>
  <c r="S31" i="444"/>
  <c r="V31" i="444" s="1"/>
  <c r="W31" i="444" s="1"/>
  <c r="T48" i="444"/>
  <c r="U48" i="444" s="1"/>
  <c r="V48" i="444" s="1"/>
  <c r="W48" i="444" s="1"/>
  <c r="S51" i="444"/>
  <c r="V51" i="444" s="1"/>
  <c r="W51" i="444" s="1"/>
  <c r="T68" i="444"/>
  <c r="U68" i="444" s="1"/>
  <c r="V68" i="444" s="1"/>
  <c r="W68" i="444" s="1"/>
  <c r="S71" i="444"/>
  <c r="V71" i="444" s="1"/>
  <c r="W71" i="444" s="1"/>
  <c r="S91" i="444"/>
  <c r="V91" i="444" s="1"/>
  <c r="W91" i="444" s="1"/>
  <c r="T108" i="444"/>
  <c r="U108" i="444" s="1"/>
  <c r="V108" i="444" s="1"/>
  <c r="W108" i="444" s="1"/>
  <c r="S111" i="444"/>
  <c r="V111" i="444" s="1"/>
  <c r="W111" i="444" s="1"/>
  <c r="T128" i="444"/>
  <c r="U128" i="444" s="1"/>
  <c r="V128" i="444" s="1"/>
  <c r="W128" i="444" s="1"/>
  <c r="S131" i="444"/>
  <c r="V131" i="444" s="1"/>
  <c r="W131" i="444" s="1"/>
  <c r="T148" i="444"/>
  <c r="U148" i="444" s="1"/>
  <c r="V148" i="444" s="1"/>
  <c r="W148" i="444" s="1"/>
  <c r="S151" i="444"/>
  <c r="V151" i="444" s="1"/>
  <c r="W151" i="444" s="1"/>
  <c r="S40" i="444"/>
  <c r="V40" i="444" s="1"/>
  <c r="W40" i="444" s="1"/>
  <c r="S60" i="444"/>
  <c r="V60" i="444" s="1"/>
  <c r="W60" i="444" s="1"/>
  <c r="S80" i="444"/>
  <c r="V80" i="444" s="1"/>
  <c r="W80" i="444" s="1"/>
  <c r="S100" i="444"/>
  <c r="V100" i="444" s="1"/>
  <c r="W100" i="444" s="1"/>
  <c r="S120" i="444"/>
  <c r="V120" i="444" s="1"/>
  <c r="W120" i="444" s="1"/>
  <c r="S3" i="444"/>
  <c r="V3" i="444" s="1"/>
  <c r="W3" i="444" s="1"/>
  <c r="T20" i="444"/>
  <c r="U20" i="444" s="1"/>
  <c r="V20" i="444" s="1"/>
  <c r="W20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B5" i="383"/>
  <c r="B4" i="383"/>
  <c r="R28" i="385"/>
  <c r="R56" i="385"/>
  <c r="R16" i="385"/>
  <c r="R20" i="385"/>
  <c r="R24" i="385"/>
  <c r="S23" i="385"/>
  <c r="S55" i="385"/>
  <c r="R39" i="385"/>
  <c r="R19" i="385"/>
  <c r="R59" i="385"/>
  <c r="R18" i="385"/>
  <c r="H9" i="385"/>
  <c r="R54" i="385"/>
  <c r="R58" i="385"/>
  <c r="S22" i="385"/>
  <c r="H44" i="385"/>
  <c r="J44" i="385"/>
  <c r="R49" i="385"/>
  <c r="R57" i="385"/>
  <c r="R61" i="385"/>
  <c r="R65" i="385"/>
  <c r="R21" i="385"/>
  <c r="R17" i="385"/>
  <c r="H52" i="54"/>
  <c r="C43" i="54"/>
  <c r="C45" i="54" s="1"/>
  <c r="D45" i="54" s="1"/>
  <c r="F41" i="54"/>
  <c r="C36" i="54"/>
  <c r="C38" i="54" s="1"/>
  <c r="D38" i="54" s="1"/>
  <c r="I31" i="54"/>
  <c r="I30" i="54"/>
  <c r="C29" i="54"/>
  <c r="C31" i="54" s="1"/>
  <c r="D31" i="54" s="1"/>
  <c r="E23" i="54"/>
  <c r="I22" i="54"/>
  <c r="K21" i="54"/>
  <c r="K19" i="54" s="1"/>
  <c r="E18" i="54"/>
  <c r="E17" i="54"/>
  <c r="G14" i="54"/>
  <c r="H14" i="54" s="1"/>
  <c r="G13" i="54"/>
  <c r="H13" i="54" s="1"/>
  <c r="G12" i="54"/>
  <c r="H12" i="54" s="1"/>
  <c r="G11" i="54"/>
  <c r="H11" i="54" s="1"/>
  <c r="G10" i="54"/>
  <c r="H10" i="54" s="1"/>
  <c r="G9" i="54"/>
  <c r="H9" i="54" s="1"/>
  <c r="C3" i="54"/>
  <c r="D3" i="54" s="1"/>
  <c r="D2" i="54"/>
  <c r="E248" i="89"/>
  <c r="F244" i="89"/>
  <c r="F245" i="89" s="1"/>
  <c r="F246" i="89" s="1"/>
  <c r="F247" i="89" s="1"/>
  <c r="AE237" i="89"/>
  <c r="W237" i="89" a="1"/>
  <c r="R5" i="385" l="1"/>
  <c r="S75" i="385"/>
  <c r="S72" i="385"/>
  <c r="R31" i="385"/>
  <c r="R62" i="385"/>
  <c r="R30" i="385"/>
  <c r="R63" i="385"/>
  <c r="J39" i="385"/>
  <c r="M14" i="385"/>
  <c r="E14" i="385" s="1"/>
  <c r="R77" i="385"/>
  <c r="R7" i="385"/>
  <c r="R74" i="385"/>
  <c r="S73" i="385"/>
  <c r="S42" i="385"/>
  <c r="J17" i="385"/>
  <c r="H24" i="385"/>
  <c r="J13" i="385"/>
  <c r="J34" i="385"/>
  <c r="H29" i="385"/>
  <c r="H50" i="385"/>
  <c r="J36" i="385"/>
  <c r="R78" i="385"/>
  <c r="M51" i="385"/>
  <c r="E51" i="385" s="1"/>
  <c r="S37" i="385"/>
  <c r="J45" i="385"/>
  <c r="S76" i="385"/>
  <c r="H36" i="385"/>
  <c r="J12" i="385"/>
  <c r="M49" i="385"/>
  <c r="E49" i="385" s="1"/>
  <c r="S26" i="385"/>
  <c r="R60" i="385"/>
  <c r="J49" i="385"/>
  <c r="M12" i="385"/>
  <c r="E12" i="385" s="1"/>
  <c r="M25" i="385"/>
  <c r="E25" i="385" s="1"/>
  <c r="H31" i="385"/>
  <c r="J14" i="385"/>
  <c r="H39" i="385"/>
  <c r="R34" i="385"/>
  <c r="S6" i="385"/>
  <c r="R10" i="385"/>
  <c r="S11" i="385"/>
  <c r="R51" i="385"/>
  <c r="R48" i="385"/>
  <c r="S66" i="385"/>
  <c r="S25" i="385"/>
  <c r="S47" i="385"/>
  <c r="R32" i="385"/>
  <c r="R29" i="385"/>
  <c r="M44" i="385"/>
  <c r="E44" i="385" s="1"/>
  <c r="H40" i="385"/>
  <c r="H47" i="385"/>
  <c r="M43" i="385"/>
  <c r="E43" i="385" s="1"/>
  <c r="J41" i="385"/>
  <c r="J38" i="385"/>
  <c r="M13" i="385"/>
  <c r="E13" i="385" s="1"/>
  <c r="R50" i="385"/>
  <c r="R41" i="385"/>
  <c r="J6" i="385"/>
  <c r="H20" i="385"/>
  <c r="H33" i="385"/>
  <c r="J25" i="385"/>
  <c r="J40" i="385"/>
  <c r="J47" i="385"/>
  <c r="J11" i="385"/>
  <c r="H25" i="385"/>
  <c r="R15" i="385"/>
  <c r="J32" i="385"/>
  <c r="J43" i="385"/>
  <c r="S68" i="385"/>
  <c r="M6" i="385"/>
  <c r="E6" i="385" s="1"/>
  <c r="R8" i="385"/>
  <c r="J31" i="385"/>
  <c r="S36" i="385"/>
  <c r="J20" i="385"/>
  <c r="J21" i="385"/>
  <c r="J10" i="385"/>
  <c r="H14" i="385"/>
  <c r="H48" i="385"/>
  <c r="R33" i="385"/>
  <c r="S43" i="385"/>
  <c r="J9" i="385"/>
  <c r="S45" i="385"/>
  <c r="J15" i="385"/>
  <c r="J28" i="385"/>
  <c r="J16" i="385"/>
  <c r="H46" i="385"/>
  <c r="J48" i="385"/>
  <c r="S14" i="385"/>
  <c r="H32" i="385"/>
  <c r="R9" i="385"/>
  <c r="M21" i="385"/>
  <c r="E21" i="385" s="1"/>
  <c r="R64" i="385"/>
  <c r="H21" i="385"/>
  <c r="M17" i="385"/>
  <c r="E17" i="385" s="1"/>
  <c r="S67" i="385"/>
  <c r="H17" i="385"/>
  <c r="M48" i="385"/>
  <c r="E48" i="385" s="1"/>
  <c r="H13" i="385"/>
  <c r="M10" i="385"/>
  <c r="E10" i="385" s="1"/>
  <c r="M39" i="385"/>
  <c r="E39" i="385" s="1"/>
  <c r="E40" i="415"/>
  <c r="M28" i="385"/>
  <c r="E28" i="385" s="1"/>
  <c r="M36" i="385"/>
  <c r="E36" i="385" s="1"/>
  <c r="M37" i="385"/>
  <c r="E37" i="385" s="1"/>
  <c r="E48" i="415"/>
  <c r="E36" i="415"/>
  <c r="E35" i="415"/>
  <c r="E33" i="415"/>
  <c r="M47" i="385"/>
  <c r="E47" i="385" s="1"/>
  <c r="E24" i="415"/>
  <c r="E49" i="415"/>
  <c r="M20" i="385"/>
  <c r="E20" i="385" s="1"/>
  <c r="M31" i="385"/>
  <c r="E31" i="385" s="1"/>
  <c r="E50" i="415"/>
  <c r="E54" i="415"/>
  <c r="E41" i="415"/>
  <c r="E23" i="415"/>
  <c r="E25" i="415"/>
  <c r="M8" i="385"/>
  <c r="E8" i="385" s="1"/>
  <c r="E47" i="415"/>
  <c r="M40" i="385"/>
  <c r="E40" i="385" s="1"/>
  <c r="M29" i="385"/>
  <c r="E29" i="385" s="1"/>
  <c r="M7" i="385"/>
  <c r="E7" i="385" s="1"/>
  <c r="M9" i="385"/>
  <c r="E9" i="385" s="1"/>
  <c r="M34" i="385"/>
  <c r="E34" i="385" s="1"/>
  <c r="M45" i="385"/>
  <c r="E45" i="385" s="1"/>
  <c r="J29" i="385"/>
  <c r="J42" i="385"/>
  <c r="J33" i="385"/>
  <c r="H28" i="385"/>
  <c r="M5" i="385"/>
  <c r="E5" i="385" s="1"/>
  <c r="J18" i="385"/>
  <c r="J37" i="385"/>
  <c r="H23" i="385"/>
  <c r="H45" i="385"/>
  <c r="H34" i="385"/>
  <c r="R13" i="385"/>
  <c r="S27" i="385"/>
  <c r="M16" i="385"/>
  <c r="E16" i="385" s="1"/>
  <c r="H19" i="385"/>
  <c r="H27" i="385"/>
  <c r="M32" i="385"/>
  <c r="E32" i="385" s="1"/>
  <c r="R46" i="385"/>
  <c r="J35" i="385"/>
  <c r="H16" i="385"/>
  <c r="S35" i="385"/>
  <c r="R71" i="385"/>
  <c r="M38" i="385"/>
  <c r="E38" i="385" s="1"/>
  <c r="J24" i="385"/>
  <c r="M46" i="385"/>
  <c r="E46" i="385" s="1"/>
  <c r="S38" i="385"/>
  <c r="H7" i="385"/>
  <c r="H30" i="385"/>
  <c r="H41" i="385"/>
  <c r="J7" i="385"/>
  <c r="M27" i="385"/>
  <c r="E27" i="385" s="1"/>
  <c r="M18" i="385"/>
  <c r="E18" i="385" s="1"/>
  <c r="J30" i="385"/>
  <c r="J46" i="385"/>
  <c r="M24" i="385"/>
  <c r="H18" i="385"/>
  <c r="H10" i="385"/>
  <c r="R40" i="385"/>
  <c r="H42" i="385"/>
  <c r="M19" i="385"/>
  <c r="E19" i="385" s="1"/>
  <c r="H8" i="385"/>
  <c r="R12" i="385"/>
  <c r="J26" i="385"/>
  <c r="J22" i="385"/>
  <c r="M41" i="385"/>
  <c r="E41" i="385" s="1"/>
  <c r="S70" i="385"/>
  <c r="M22" i="385"/>
  <c r="E22" i="385" s="1"/>
  <c r="J19" i="385"/>
  <c r="H35" i="385"/>
  <c r="H6" i="385"/>
  <c r="S69" i="385"/>
  <c r="H43" i="385"/>
  <c r="J23" i="385"/>
  <c r="H5" i="385"/>
  <c r="M35" i="385"/>
  <c r="E35" i="385" s="1"/>
  <c r="J8" i="385"/>
  <c r="M26" i="385"/>
  <c r="E26" i="385" s="1"/>
  <c r="J27" i="385"/>
  <c r="H38" i="385"/>
  <c r="H11" i="385"/>
  <c r="J5" i="385"/>
  <c r="M30" i="385"/>
  <c r="E30" i="385" s="1"/>
  <c r="M33" i="385"/>
  <c r="E33" i="385" s="1"/>
  <c r="H15" i="385"/>
  <c r="M11" i="385"/>
  <c r="E11" i="385" s="1"/>
  <c r="E27" i="415"/>
  <c r="E31" i="415"/>
  <c r="M15" i="385"/>
  <c r="E15" i="385" s="1"/>
  <c r="M42" i="385"/>
  <c r="E42" i="385" s="1"/>
  <c r="E7" i="415"/>
  <c r="E51" i="415"/>
  <c r="E52" i="415"/>
  <c r="E32" i="415"/>
  <c r="E6" i="415"/>
  <c r="E22" i="415"/>
  <c r="E46" i="415"/>
  <c r="E37" i="415"/>
  <c r="E18" i="415"/>
  <c r="E53" i="415"/>
  <c r="E8" i="415"/>
  <c r="E34" i="415"/>
  <c r="E20" i="415"/>
  <c r="E39" i="415"/>
  <c r="E5" i="415"/>
  <c r="E38" i="415"/>
  <c r="E28" i="415"/>
  <c r="E30" i="415"/>
  <c r="E29" i="415"/>
  <c r="E19" i="415"/>
  <c r="E21" i="415"/>
  <c r="E9" i="415"/>
  <c r="V145" i="444"/>
  <c r="W145" i="444" s="1"/>
  <c r="V65" i="444"/>
  <c r="W65" i="444" s="1"/>
  <c r="V105" i="444"/>
  <c r="W105" i="444" s="1"/>
  <c r="V45" i="444"/>
  <c r="W45" i="444" s="1"/>
  <c r="V116" i="444"/>
  <c r="W116" i="444" s="1"/>
  <c r="V136" i="444"/>
  <c r="W136" i="444" s="1"/>
  <c r="V125" i="444"/>
  <c r="W125" i="444" s="1"/>
  <c r="V76" i="444"/>
  <c r="W76" i="444" s="1"/>
  <c r="V16" i="444"/>
  <c r="W16" i="444" s="1"/>
  <c r="V36" i="444"/>
  <c r="W36" i="444" s="1"/>
  <c r="V156" i="444"/>
  <c r="W156" i="444" s="1"/>
  <c r="V96" i="444"/>
  <c r="W96" i="444" s="1"/>
  <c r="I32" i="54"/>
  <c r="V85" i="444"/>
  <c r="W85" i="444" s="1"/>
  <c r="V165" i="444"/>
  <c r="W165" i="444" s="1"/>
  <c r="V28" i="444"/>
  <c r="W28" i="444" s="1"/>
  <c r="V8" i="444"/>
  <c r="W8" i="444" s="1"/>
  <c r="V56" i="444"/>
  <c r="W56" i="444" s="1"/>
  <c r="I53" i="54"/>
  <c r="H53" i="54"/>
  <c r="H54" i="54" s="1"/>
  <c r="I52" i="54"/>
  <c r="W237" i="89"/>
  <c r="J53" i="54" l="1"/>
  <c r="I54" i="54"/>
  <c r="J52" i="54"/>
  <c r="L237" i="89" a="1"/>
  <c r="J54" i="54" l="1"/>
  <c r="L237" i="89"/>
  <c r="K237" i="89" a="1"/>
  <c r="K237" i="89" l="1"/>
  <c r="M237" i="89" s="1"/>
  <c r="I237" i="89"/>
  <c r="AA237" i="89" a="1"/>
  <c r="F237" i="89" a="1"/>
  <c r="AA237" i="89" l="1"/>
  <c r="F237" i="89"/>
  <c r="N237" i="89" a="1"/>
  <c r="N237" i="89" l="1"/>
  <c r="P237" i="89"/>
  <c r="Q237" i="89" s="1"/>
  <c r="AE236" i="89"/>
  <c r="Z237" i="89" a="1"/>
  <c r="Z237" i="89" l="1"/>
  <c r="AC237" i="89"/>
  <c r="Y237" i="89"/>
  <c r="U237" i="89"/>
  <c r="J237" i="89"/>
  <c r="D237" i="89" l="1"/>
  <c r="A237" i="89"/>
  <c r="W236" i="89" a="1"/>
  <c r="W236" i="89" l="1"/>
  <c r="L236" i="89" a="1"/>
  <c r="L236" i="89" l="1"/>
  <c r="K236" i="89" a="1"/>
  <c r="K236" i="89" l="1"/>
  <c r="M236" i="89" s="1"/>
  <c r="I236" i="89"/>
  <c r="AA236" i="89" a="1"/>
  <c r="F236" i="89" a="1"/>
  <c r="AA236" i="89" l="1"/>
  <c r="F236" i="89"/>
  <c r="N236" i="89" a="1"/>
  <c r="N236" i="89" l="1"/>
  <c r="AE235" i="89"/>
  <c r="Z236" i="89" a="1"/>
  <c r="Z236" i="89" l="1"/>
  <c r="P236" i="89"/>
  <c r="Q236" i="89" s="1"/>
  <c r="AC236" i="89"/>
  <c r="Y236" i="89"/>
  <c r="U236" i="89"/>
  <c r="J236" i="89"/>
  <c r="D236" i="89" l="1"/>
  <c r="A236" i="89"/>
  <c r="W235" i="89" a="1"/>
  <c r="W235" i="89" l="1"/>
  <c r="L235" i="89" a="1"/>
  <c r="L235" i="89" l="1"/>
  <c r="K235" i="89" a="1"/>
  <c r="K235" i="89" l="1"/>
  <c r="M235" i="89" s="1"/>
  <c r="I235" i="89"/>
  <c r="AA235" i="89" a="1"/>
  <c r="F235" i="89" a="1"/>
  <c r="AA235" i="89" l="1"/>
  <c r="F235" i="89"/>
  <c r="N235" i="89" a="1"/>
  <c r="N235" i="89" l="1"/>
  <c r="P235" i="89"/>
  <c r="Q235" i="89" s="1"/>
  <c r="AE234" i="89"/>
  <c r="Z235" i="89" a="1"/>
  <c r="Z235" i="89" l="1"/>
  <c r="AC235" i="89"/>
  <c r="Y235" i="89"/>
  <c r="U235" i="89"/>
  <c r="J235" i="89"/>
  <c r="D235" i="89" l="1"/>
  <c r="A235" i="89"/>
  <c r="W234" i="89" a="1"/>
  <c r="W234" i="89" l="1"/>
  <c r="L234" i="89" a="1"/>
  <c r="L234" i="89" l="1"/>
  <c r="K234" i="89" a="1"/>
  <c r="K234" i="89" l="1"/>
  <c r="M234" i="89" s="1"/>
  <c r="I234" i="89"/>
  <c r="AA234" i="89" a="1"/>
  <c r="F234" i="89" a="1"/>
  <c r="AA234" i="89" l="1"/>
  <c r="F234" i="89"/>
  <c r="N234" i="89" a="1"/>
  <c r="N234" i="89" l="1"/>
  <c r="AE233" i="89"/>
  <c r="Z234" i="89" a="1"/>
  <c r="Z234" i="89" l="1"/>
  <c r="P234" i="89"/>
  <c r="Q234" i="89" s="1"/>
  <c r="AC234" i="89"/>
  <c r="Y234" i="89"/>
  <c r="U234" i="89"/>
  <c r="J234" i="89"/>
  <c r="D234" i="89" l="1"/>
  <c r="A234" i="89"/>
  <c r="W233" i="89" a="1"/>
  <c r="W233" i="89" l="1"/>
  <c r="L233" i="89" a="1"/>
  <c r="L233" i="89" l="1"/>
  <c r="K233" i="89" a="1"/>
  <c r="K233" i="89" l="1"/>
  <c r="K239" i="89" s="1"/>
  <c r="I233" i="89"/>
  <c r="AA233" i="89" a="1"/>
  <c r="F233" i="89" a="1"/>
  <c r="AA233" i="89" l="1"/>
  <c r="M233" i="89"/>
  <c r="F233" i="89"/>
  <c r="I239" i="89"/>
  <c r="N233" i="89" a="1"/>
  <c r="N233" i="89" l="1"/>
  <c r="Z233" i="89" a="1"/>
  <c r="Z233" i="89" l="1"/>
  <c r="P233" i="89"/>
  <c r="Q233" i="89" s="1"/>
  <c r="AC233" i="89"/>
  <c r="Y233" i="89"/>
  <c r="U233" i="89"/>
  <c r="J233" i="89"/>
  <c r="D233" i="89" l="1"/>
  <c r="A233" i="89"/>
  <c r="W225" i="89" a="1"/>
  <c r="W225" i="89" l="1"/>
  <c r="L225" i="89" a="1"/>
  <c r="L225" i="89" l="1"/>
  <c r="K225" i="89" a="1"/>
  <c r="K225" i="89" l="1"/>
  <c r="M225" i="89" s="1"/>
  <c r="I225" i="89"/>
  <c r="AA225" i="89" a="1"/>
  <c r="F225" i="89" a="1"/>
  <c r="AA225" i="89" l="1"/>
  <c r="F225" i="89"/>
  <c r="N225" i="89" a="1"/>
  <c r="N225" i="89" l="1"/>
  <c r="U225" i="89"/>
  <c r="J225" i="89"/>
  <c r="Z225" i="89" a="1"/>
  <c r="W224" i="89" a="1"/>
  <c r="Z225" i="89" l="1"/>
  <c r="W224" i="89"/>
  <c r="L224" i="89" a="1"/>
  <c r="L224" i="89" l="1"/>
  <c r="K224" i="89" a="1"/>
  <c r="K224" i="89" l="1"/>
  <c r="I224" i="89" s="1"/>
  <c r="H224" i="89"/>
  <c r="AA224" i="89" a="1"/>
  <c r="F224" i="89" a="1"/>
  <c r="AA224" i="89" l="1"/>
  <c r="M224" i="89"/>
  <c r="F224" i="89"/>
  <c r="H225" i="89"/>
  <c r="I229" i="89"/>
  <c r="N224" i="89" a="1"/>
  <c r="N224" i="89" l="1"/>
  <c r="P225" i="89"/>
  <c r="Q225" i="89" s="1"/>
  <c r="AC225" i="89"/>
  <c r="Y225" i="89"/>
  <c r="Z224" i="89" a="1"/>
  <c r="Z224" i="89" l="1"/>
  <c r="P224" i="89"/>
  <c r="Q224" i="89" s="1"/>
  <c r="AC224" i="89" l="1"/>
  <c r="Y224" i="89"/>
  <c r="U224" i="89"/>
  <c r="J224" i="89"/>
  <c r="W223" i="89" a="1"/>
  <c r="W223" i="89" l="1"/>
  <c r="L223" i="89" a="1"/>
  <c r="L223" i="89" l="1"/>
  <c r="K223" i="89" a="1"/>
  <c r="K223" i="89" l="1"/>
  <c r="M223" i="89" s="1"/>
  <c r="K226" i="89"/>
  <c r="I223" i="89"/>
  <c r="AA223" i="89" a="1"/>
  <c r="F223" i="89" a="1"/>
  <c r="AA223" i="89" l="1"/>
  <c r="F223" i="89"/>
  <c r="N223" i="89" a="1"/>
  <c r="N223" i="89" l="1"/>
  <c r="Z223" i="89" a="1"/>
  <c r="Z223" i="89" l="1"/>
  <c r="P223" i="89"/>
  <c r="Q223" i="89" s="1"/>
  <c r="AC223" i="89" l="1"/>
  <c r="Y223" i="89"/>
  <c r="U223" i="89"/>
  <c r="J223" i="89"/>
  <c r="W222" i="89" a="1"/>
  <c r="W222" i="89" l="1"/>
  <c r="L222" i="89" a="1"/>
  <c r="L222" i="89" l="1"/>
  <c r="K222" i="89" a="1"/>
  <c r="K222" i="89" l="1"/>
  <c r="K227" i="89" s="1"/>
  <c r="H222" i="89"/>
  <c r="F222" i="89" a="1"/>
  <c r="I222" i="89" l="1"/>
  <c r="M222" i="89"/>
  <c r="F222" i="89"/>
  <c r="AA222" i="89" a="1"/>
  <c r="N222" i="89" a="1"/>
  <c r="AA222" i="89" l="1"/>
  <c r="K228" i="89"/>
  <c r="I226" i="89"/>
  <c r="M229" i="89" s="1"/>
  <c r="I228" i="89"/>
  <c r="I230" i="89" s="1"/>
  <c r="N222" i="89"/>
  <c r="P222" i="89"/>
  <c r="Z222" i="89" a="1"/>
  <c r="Z222" i="89" l="1"/>
  <c r="P226" i="89"/>
  <c r="Q226" i="89" s="1"/>
  <c r="Q222" i="89"/>
  <c r="W221" i="89"/>
  <c r="J221" i="89"/>
  <c r="I221" i="89"/>
  <c r="S222" i="89" a="1"/>
  <c r="S222" i="89" l="1"/>
  <c r="R222" i="89" a="1"/>
  <c r="R222" i="89" l="1"/>
  <c r="AC222" i="89"/>
  <c r="Y222" i="89"/>
  <c r="U222" i="89"/>
  <c r="J222" i="89"/>
  <c r="Y227" i="89" l="1"/>
  <c r="M213" i="89" l="1"/>
  <c r="I213" i="89"/>
  <c r="AA213" i="89" a="1"/>
  <c r="AA213" i="89" l="1"/>
  <c r="I218" i="89"/>
  <c r="N213" i="89" a="1"/>
  <c r="N213" i="89" l="1"/>
  <c r="Z213" i="89" a="1"/>
  <c r="Z213" i="89" l="1"/>
  <c r="P213" i="89"/>
  <c r="Q213" i="89" s="1"/>
  <c r="AC213" i="89"/>
  <c r="Y213" i="89"/>
  <c r="U213" i="89"/>
  <c r="J213" i="89"/>
  <c r="K215" i="89" l="1"/>
  <c r="M212" i="89"/>
  <c r="I212" i="89"/>
  <c r="AA212" i="89" a="1"/>
  <c r="N212" i="89" a="1"/>
  <c r="AA212" i="89" l="1"/>
  <c r="N212" i="89"/>
  <c r="Z212" i="89" a="1"/>
  <c r="S212" i="89" a="1"/>
  <c r="Z212" i="89" l="1"/>
  <c r="P212" i="89"/>
  <c r="Q212" i="89" s="1"/>
  <c r="S212" i="89"/>
  <c r="R212" i="89" a="1"/>
  <c r="R212" i="89" l="1"/>
  <c r="AC212" i="89"/>
  <c r="Y212" i="89"/>
  <c r="U212" i="89"/>
  <c r="J212" i="89"/>
  <c r="K216" i="89" l="1"/>
  <c r="I211" i="89"/>
  <c r="H211" i="89"/>
  <c r="AA211" i="89" a="1"/>
  <c r="AA211" i="89" l="1"/>
  <c r="M211" i="89"/>
  <c r="K217" i="89"/>
  <c r="I215" i="89"/>
  <c r="M218" i="89" s="1"/>
  <c r="I217" i="89"/>
  <c r="I219" i="89" s="1"/>
  <c r="N211" i="89" a="1"/>
  <c r="N211" i="89" l="1"/>
  <c r="P211" i="89"/>
  <c r="W210" i="89"/>
  <c r="I210" i="89"/>
  <c r="Z211" i="89" a="1"/>
  <c r="S211" i="89" a="1"/>
  <c r="Z211" i="89" l="1"/>
  <c r="S211" i="89"/>
  <c r="P215" i="89"/>
  <c r="Q211" i="89"/>
  <c r="R211" i="89" a="1"/>
  <c r="R211" i="89" l="1"/>
  <c r="Q215" i="89"/>
  <c r="C217" i="89"/>
  <c r="C218" i="89" s="1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F205" i="89" a="1"/>
  <c r="I205" i="89" l="1"/>
  <c r="F205" i="89"/>
  <c r="AE205" i="89"/>
  <c r="AA205" i="89" a="1"/>
  <c r="N205" i="89" a="1"/>
  <c r="AA205" i="89" l="1"/>
  <c r="N205" i="89"/>
  <c r="Z205" i="89" a="1"/>
  <c r="Z205" i="89" l="1"/>
  <c r="P205" i="89"/>
  <c r="Q205" i="89" s="1"/>
  <c r="AE204" i="89" l="1"/>
  <c r="S205" i="89" a="1"/>
  <c r="S205" i="89" l="1"/>
  <c r="R205" i="89" a="1"/>
  <c r="R205" i="89" l="1"/>
  <c r="AC205" i="89"/>
  <c r="Y205" i="89"/>
  <c r="U205" i="89"/>
  <c r="J205" i="89"/>
  <c r="K206" i="89" l="1"/>
  <c r="M204" i="89"/>
  <c r="I204" i="89"/>
  <c r="AA204" i="89" a="1"/>
  <c r="N204" i="89" a="1"/>
  <c r="AA204" i="89" l="1"/>
  <c r="N204" i="89"/>
  <c r="Z204" i="89" a="1"/>
  <c r="Z204" i="89" l="1"/>
  <c r="P204" i="89"/>
  <c r="Q204" i="89" l="1"/>
  <c r="S204" i="89"/>
  <c r="R204" i="89" s="1" a="1"/>
  <c r="R204" i="89" l="1"/>
  <c r="AC204" i="89"/>
  <c r="Y204" i="89"/>
  <c r="U204" i="89"/>
  <c r="J204" i="89"/>
  <c r="K207" i="89" l="1"/>
  <c r="H203" i="89"/>
  <c r="I203" i="89" l="1"/>
  <c r="M203" i="89"/>
  <c r="AE203" i="89"/>
  <c r="AA203" i="89" a="1"/>
  <c r="N203" i="89" a="1"/>
  <c r="AA203" i="89" l="1"/>
  <c r="I206" i="89"/>
  <c r="I208" i="89"/>
  <c r="N203" i="89"/>
  <c r="Z203" i="89" a="1"/>
  <c r="Z203" i="89" l="1"/>
  <c r="P203" i="89"/>
  <c r="P206" i="89" l="1"/>
  <c r="Q206" i="89" s="1"/>
  <c r="Q203" i="89"/>
  <c r="Q202" i="89" s="1"/>
  <c r="I202" i="89"/>
  <c r="S203" i="89" a="1"/>
  <c r="S203" i="89" l="1"/>
  <c r="R203" i="89" a="1"/>
  <c r="R203" i="89" l="1"/>
  <c r="AC203" i="89"/>
  <c r="Y203" i="89"/>
  <c r="U203" i="89"/>
  <c r="J203" i="89"/>
  <c r="Y207" i="89" l="1"/>
  <c r="W197" i="89" a="1"/>
  <c r="W197" i="89" l="1"/>
  <c r="L197" i="89" a="1"/>
  <c r="L197" i="89" l="1"/>
  <c r="K197" i="89" a="1"/>
  <c r="K197" i="89" l="1"/>
  <c r="M197" i="89" s="1"/>
  <c r="H197" i="89"/>
  <c r="F197" i="89" a="1"/>
  <c r="I197" i="89" l="1"/>
  <c r="F197" i="89"/>
  <c r="AE197" i="89"/>
  <c r="AA197" i="89" a="1"/>
  <c r="N197" i="89" a="1"/>
  <c r="AA197" i="89" l="1"/>
  <c r="N197" i="89"/>
  <c r="Z197" i="89" a="1"/>
  <c r="Z197" i="89" l="1"/>
  <c r="P197" i="89"/>
  <c r="Q197" i="89" s="1"/>
  <c r="AE196" i="89"/>
  <c r="AC197" i="89" l="1"/>
  <c r="Y197" i="89"/>
  <c r="U197" i="89"/>
  <c r="J197" i="89"/>
  <c r="W196" i="89" a="1"/>
  <c r="W196" i="89" l="1"/>
  <c r="L196" i="89" a="1"/>
  <c r="L196" i="89" l="1"/>
  <c r="K196" i="89" a="1"/>
  <c r="K196" i="89" l="1"/>
  <c r="M196" i="89" s="1"/>
  <c r="K198" i="89"/>
  <c r="I196" i="89"/>
  <c r="AA196" i="89" a="1"/>
  <c r="F196" i="89" a="1"/>
  <c r="AA196" i="89" l="1"/>
  <c r="F196" i="89"/>
  <c r="N196" i="89" a="1"/>
  <c r="N196" i="89" l="1"/>
  <c r="Z196" i="89" a="1"/>
  <c r="Z196" i="89" l="1"/>
  <c r="P196" i="89"/>
  <c r="Q196" i="89" s="1"/>
  <c r="S196" i="89"/>
  <c r="R196" i="89" s="1" a="1"/>
  <c r="R196" i="89" l="1"/>
  <c r="AC196" i="89"/>
  <c r="Y196" i="89"/>
  <c r="U196" i="89"/>
  <c r="J196" i="89"/>
  <c r="W195" i="89" a="1"/>
  <c r="W195" i="89" l="1"/>
  <c r="L195" i="89" a="1"/>
  <c r="L195" i="89" l="1"/>
  <c r="K195" i="89" a="1"/>
  <c r="K195" i="89" l="1"/>
  <c r="K199" i="89" s="1"/>
  <c r="H195" i="89"/>
  <c r="F195" i="89" a="1"/>
  <c r="I195" i="89" l="1"/>
  <c r="M195" i="89"/>
  <c r="F195" i="89"/>
  <c r="AE195" i="89"/>
  <c r="AA195" i="89" a="1"/>
  <c r="N195" i="89" a="1"/>
  <c r="AA195" i="89" l="1"/>
  <c r="I200" i="89"/>
  <c r="I198" i="89"/>
  <c r="N195" i="89"/>
  <c r="Z195" i="89" a="1"/>
  <c r="Z195" i="89" l="1"/>
  <c r="P195" i="89"/>
  <c r="P198" i="89" s="1"/>
  <c r="Q198" i="89" s="1"/>
  <c r="I194" i="89"/>
  <c r="Q193" i="89"/>
  <c r="I193" i="89"/>
  <c r="S195" i="89" a="1"/>
  <c r="Q195" i="89" l="1"/>
  <c r="Q194" i="89" s="1"/>
  <c r="S195" i="89"/>
  <c r="R195" i="89" a="1"/>
  <c r="R195" i="89" l="1"/>
  <c r="AC195" i="89"/>
  <c r="Y195" i="89"/>
  <c r="U195" i="89"/>
  <c r="J195" i="89"/>
  <c r="Y199" i="89" l="1"/>
  <c r="M188" i="89" l="1"/>
  <c r="I188" i="89" l="1"/>
  <c r="AE188" i="89"/>
  <c r="AA188" i="89" a="1"/>
  <c r="N188" i="89" a="1"/>
  <c r="AA188" i="89" l="1"/>
  <c r="N188" i="89"/>
  <c r="D188" i="89"/>
  <c r="Z188" i="89" a="1"/>
  <c r="Z188" i="89" l="1"/>
  <c r="P188" i="89"/>
  <c r="Q188" i="89" s="1"/>
  <c r="AE187" i="89"/>
  <c r="AC188" i="89" l="1"/>
  <c r="Y188" i="89"/>
  <c r="U188" i="89"/>
  <c r="J188" i="89"/>
  <c r="M187" i="89" l="1"/>
  <c r="K189" i="89"/>
  <c r="I187" i="89" l="1"/>
  <c r="AA187" i="89" a="1"/>
  <c r="N187" i="89" a="1"/>
  <c r="AA187" i="89" l="1"/>
  <c r="N187" i="89"/>
  <c r="D187" i="89"/>
  <c r="Z187" i="89" a="1"/>
  <c r="Z187" i="89" l="1"/>
  <c r="P187" i="89"/>
  <c r="S187" i="89" a="1"/>
  <c r="S187" i="89" l="1"/>
  <c r="Q187" i="89"/>
  <c r="R187" i="89" a="1"/>
  <c r="R187" i="89" l="1"/>
  <c r="AC187" i="89"/>
  <c r="Y187" i="89"/>
  <c r="U187" i="89"/>
  <c r="J187" i="89"/>
  <c r="K190" i="89" l="1"/>
  <c r="I186" i="89" l="1"/>
  <c r="M186" i="89"/>
  <c r="AE186" i="89"/>
  <c r="AA186" i="89" a="1"/>
  <c r="N186" i="89" a="1"/>
  <c r="AA186" i="89" l="1"/>
  <c r="I191" i="89"/>
  <c r="I189" i="89"/>
  <c r="N186" i="89"/>
  <c r="D186" i="89"/>
  <c r="Z186" i="89" a="1"/>
  <c r="Z186" i="89" l="1"/>
  <c r="P186" i="89"/>
  <c r="J185" i="89"/>
  <c r="I185" i="89"/>
  <c r="AE180" i="89"/>
  <c r="K185" i="89" l="1"/>
  <c r="P189" i="89"/>
  <c r="B191" i="89" s="1"/>
  <c r="Q186" i="89"/>
  <c r="Q185" i="89" s="1"/>
  <c r="Q189" i="89" l="1"/>
  <c r="AC186" i="89"/>
  <c r="Y186" i="89"/>
  <c r="U186" i="89"/>
  <c r="J186" i="89"/>
  <c r="Y190" i="89" l="1"/>
  <c r="W180" i="89" a="1"/>
  <c r="W180" i="89" l="1"/>
  <c r="L180" i="89" a="1"/>
  <c r="L180" i="89" l="1"/>
  <c r="K180" i="89" a="1"/>
  <c r="K180" i="89" l="1"/>
  <c r="M180" i="89" s="1"/>
  <c r="I180" i="89"/>
  <c r="AA180" i="89" a="1"/>
  <c r="F180" i="89" a="1"/>
  <c r="AA180" i="89" l="1"/>
  <c r="F180" i="89"/>
  <c r="N180" i="89" a="1"/>
  <c r="N180" i="89" l="1"/>
  <c r="D180" i="89"/>
  <c r="Z180" i="89" a="1"/>
  <c r="Z180" i="89" l="1"/>
  <c r="P180" i="89"/>
  <c r="Q180" i="89" s="1"/>
  <c r="AE179" i="89"/>
  <c r="AC180" i="89" l="1"/>
  <c r="Y180" i="89"/>
  <c r="U180" i="89"/>
  <c r="J180" i="89"/>
  <c r="W179" i="89" a="1"/>
  <c r="W179" i="89" l="1"/>
  <c r="L179" i="89" a="1"/>
  <c r="L179" i="89" l="1"/>
  <c r="K179" i="89" a="1"/>
  <c r="K179" i="89" l="1"/>
  <c r="K181" i="89"/>
  <c r="M179" i="89"/>
  <c r="I179" i="89"/>
  <c r="F179" i="89" a="1"/>
  <c r="AA179" i="89" a="1"/>
  <c r="AA179" i="89" l="1"/>
  <c r="F179" i="89"/>
  <c r="N179" i="89" a="1"/>
  <c r="N179" i="89" l="1"/>
  <c r="D179" i="89"/>
  <c r="Z179" i="89" a="1"/>
  <c r="Z179" i="89" l="1"/>
  <c r="P179" i="89"/>
  <c r="S179" i="89" a="1"/>
  <c r="AB179" i="89" a="1"/>
  <c r="AB179" i="89" l="1"/>
  <c r="S179" i="89"/>
  <c r="Q179" i="89"/>
  <c r="R179" i="89" a="1"/>
  <c r="R179" i="89" l="1"/>
  <c r="AC179" i="89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I178" i="89"/>
  <c r="H178" i="89"/>
  <c r="F178" i="89" a="1"/>
  <c r="AA178" i="89" a="1"/>
  <c r="AA178" i="89" l="1"/>
  <c r="M178" i="89"/>
  <c r="F178" i="89"/>
  <c r="AE178" i="89"/>
  <c r="I183" i="89"/>
  <c r="I181" i="89"/>
  <c r="N178" i="89" a="1"/>
  <c r="N178" i="89" l="1"/>
  <c r="D178" i="89"/>
  <c r="Z178" i="89" a="1"/>
  <c r="Z178" i="89" l="1"/>
  <c r="P178" i="89"/>
  <c r="J177" i="89"/>
  <c r="I177" i="89"/>
  <c r="AB178" i="89" a="1"/>
  <c r="S178" i="89" a="1"/>
  <c r="K177" i="89" l="1"/>
  <c r="AB178" i="89"/>
  <c r="S178" i="89"/>
  <c r="P181" i="89"/>
  <c r="Q181" i="89" s="1"/>
  <c r="Q178" i="89"/>
  <c r="Q177" i="89" s="1"/>
  <c r="R178" i="89" a="1"/>
  <c r="R178" i="89" l="1"/>
  <c r="AC178" i="89"/>
  <c r="Y178" i="89"/>
  <c r="U178" i="89"/>
  <c r="J178" i="89"/>
  <c r="Y182" i="89" l="1"/>
  <c r="M171" i="89" l="1"/>
  <c r="I171" i="89" l="1"/>
  <c r="AE171" i="89"/>
  <c r="AA171" i="89" a="1"/>
  <c r="N171" i="89" a="1"/>
  <c r="AA171" i="89" l="1"/>
  <c r="N171" i="89"/>
  <c r="D171" i="89"/>
  <c r="Z171" i="89" a="1"/>
  <c r="Z171" i="89" l="1"/>
  <c r="P171" i="89"/>
  <c r="Q171" i="89" s="1"/>
  <c r="AE170" i="89"/>
  <c r="S171" i="89" a="1"/>
  <c r="S171" i="89" l="1"/>
  <c r="R171" i="89" a="1"/>
  <c r="R171" i="89" l="1"/>
  <c r="AC171" i="89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F170" i="89" a="1"/>
  <c r="I170" i="89" l="1"/>
  <c r="F170" i="89"/>
  <c r="AA170" i="89" a="1"/>
  <c r="N170" i="89" a="1"/>
  <c r="AA170" i="89" l="1"/>
  <c r="I175" i="89"/>
  <c r="N170" i="89"/>
  <c r="D170" i="89"/>
  <c r="Z170" i="89" a="1"/>
  <c r="Z170" i="89" l="1"/>
  <c r="P170" i="89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F169" i="89" a="1"/>
  <c r="I169" i="89" l="1"/>
  <c r="M169" i="89"/>
  <c r="F169" i="89"/>
  <c r="AE169" i="89"/>
  <c r="AA169" i="89" a="1"/>
  <c r="N169" i="89" a="1"/>
  <c r="AA169" i="89" l="1"/>
  <c r="I174" i="89"/>
  <c r="I172" i="89"/>
  <c r="N169" i="89"/>
  <c r="D169" i="89"/>
  <c r="Z169" i="89" a="1"/>
  <c r="Z169" i="89" l="1"/>
  <c r="P169" i="89"/>
  <c r="I168" i="89"/>
  <c r="I167" i="89"/>
  <c r="AG160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W160" i="89" a="1"/>
  <c r="W160" i="89" l="1"/>
  <c r="T162" i="89" l="1"/>
  <c r="L160" i="89" a="1"/>
  <c r="L160" i="89" l="1"/>
  <c r="K160" i="89" a="1"/>
  <c r="K160" i="89" l="1"/>
  <c r="L164" i="89"/>
  <c r="K162" i="89"/>
  <c r="M160" i="89"/>
  <c r="I160" i="89"/>
  <c r="AA160" i="89" a="1"/>
  <c r="AA160" i="89" l="1"/>
  <c r="I162" i="89"/>
  <c r="I163" i="89" s="1"/>
  <c r="P160" i="89"/>
  <c r="Q160" i="89" s="1"/>
  <c r="Q162" i="89" s="1"/>
  <c r="K163" i="89"/>
  <c r="K164" i="89"/>
  <c r="AC160" i="89" l="1"/>
  <c r="Y160" i="89"/>
  <c r="U160" i="89"/>
  <c r="J160" i="89"/>
  <c r="Y162" i="89" l="1"/>
  <c r="Y163" i="89" s="1"/>
  <c r="I155" i="89" l="1"/>
  <c r="AG153" i="89" l="1"/>
  <c r="T155" i="89" l="1"/>
  <c r="I156" i="89" s="1"/>
  <c r="M153" i="89" l="1"/>
  <c r="L157" i="89"/>
  <c r="L166" i="89" s="1"/>
  <c r="K155" i="89"/>
  <c r="K157" i="89" l="1"/>
  <c r="K166" i="89" s="1"/>
  <c r="K156" i="89"/>
  <c r="N153" i="89" a="1"/>
  <c r="N153" i="89" l="1"/>
  <c r="Z153" i="89" a="1"/>
  <c r="Z153" i="89" l="1"/>
  <c r="P153" i="89"/>
  <c r="Q153" i="89" s="1"/>
  <c r="Q155" i="89" s="1"/>
  <c r="Q165" i="89" s="1"/>
  <c r="Z152" i="89" l="1"/>
  <c r="AC153" i="89" l="1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/>
  <c r="I145" i="89"/>
  <c r="H145" i="89"/>
  <c r="AA145" i="89" a="1"/>
  <c r="F145" i="89" a="1"/>
  <c r="AA145" i="89" l="1"/>
  <c r="F145" i="89"/>
  <c r="AG145" i="89"/>
  <c r="N145" i="89"/>
  <c r="Z145" i="89" s="1" a="1"/>
  <c r="Z145" i="89" l="1"/>
  <c r="P145" i="89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M144" i="89" s="1"/>
  <c r="L148" i="89"/>
  <c r="K146" i="89"/>
  <c r="I144" i="89"/>
  <c r="AA144" i="89" a="1"/>
  <c r="F144" i="89" a="1"/>
  <c r="AA144" i="89" l="1"/>
  <c r="F144" i="89"/>
  <c r="I146" i="89"/>
  <c r="I147" i="89" s="1"/>
  <c r="K148" i="89"/>
  <c r="K147" i="89"/>
  <c r="N144" i="89" a="1"/>
  <c r="N144" i="89" l="1"/>
  <c r="Z144" i="89" a="1"/>
  <c r="Z144" i="89" l="1"/>
  <c r="P144" i="89"/>
  <c r="Q144" i="89" s="1"/>
  <c r="Q146" i="89" s="1"/>
  <c r="S144" i="89" a="1"/>
  <c r="S144" i="89" l="1"/>
  <c r="R144" i="89" a="1"/>
  <c r="R144" i="89" l="1"/>
  <c r="AC144" i="89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 s="1"/>
  <c r="I138" i="89"/>
  <c r="H138" i="89"/>
  <c r="AA138" i="89" a="1"/>
  <c r="F138" i="89" a="1"/>
  <c r="AA138" i="89" l="1"/>
  <c r="F138" i="89"/>
  <c r="AG138" i="89"/>
  <c r="N138" i="89"/>
  <c r="Z138" i="89" s="1" a="1"/>
  <c r="Z138" i="89" l="1"/>
  <c r="P138" i="89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I137" i="89"/>
  <c r="AA137" i="89" a="1"/>
  <c r="F137" i="89" a="1"/>
  <c r="AA137" i="89" l="1"/>
  <c r="M137" i="89"/>
  <c r="F137" i="89"/>
  <c r="N137" i="89"/>
  <c r="Z137" i="89" s="1" a="1"/>
  <c r="Z137" i="89" l="1"/>
  <c r="P137" i="89"/>
  <c r="Q137" i="89" l="1"/>
  <c r="S137" i="89" a="1"/>
  <c r="S137" i="89" l="1"/>
  <c r="R137" i="89" a="1"/>
  <c r="R137" i="89" l="1"/>
  <c r="AC137" i="89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H136" i="89"/>
  <c r="F136" i="89" a="1"/>
  <c r="I136" i="89" l="1"/>
  <c r="M136" i="89"/>
  <c r="F136" i="89"/>
  <c r="AG136" i="89"/>
  <c r="AA136" i="89" a="1"/>
  <c r="N136" i="89"/>
  <c r="Z136" i="89" s="1" a="1"/>
  <c r="Z136" i="89" l="1"/>
  <c r="AA136" i="89"/>
  <c r="I139" i="89"/>
  <c r="I140" i="89" s="1"/>
  <c r="P136" i="89"/>
  <c r="P139" i="89" l="1"/>
  <c r="Q139" i="89" s="1"/>
  <c r="Q148" i="89" s="1"/>
  <c r="Q136" i="89"/>
  <c r="K135" i="89" l="1"/>
  <c r="AG129" i="89"/>
  <c r="S136" i="89" a="1"/>
  <c r="S136" i="89" l="1"/>
  <c r="R136" i="89" a="1"/>
  <c r="R136" i="89" l="1"/>
  <c r="AC136" i="89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M129" i="89" s="1"/>
  <c r="L133" i="89"/>
  <c r="K131" i="89"/>
  <c r="I129" i="89"/>
  <c r="AA129" i="89" a="1"/>
  <c r="F129" i="89" a="1"/>
  <c r="AA129" i="89" l="1"/>
  <c r="F129" i="89"/>
  <c r="I131" i="89"/>
  <c r="I132" i="89" s="1"/>
  <c r="K132" i="89"/>
  <c r="K133" i="89"/>
  <c r="N129" i="89"/>
  <c r="Z129" i="89" s="1" a="1"/>
  <c r="Z129" i="89" l="1"/>
  <c r="P129" i="89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 s="1"/>
  <c r="I123" i="89"/>
  <c r="H123" i="89"/>
  <c r="AA123" i="89" a="1"/>
  <c r="F123" i="89" a="1"/>
  <c r="AA123" i="89" l="1"/>
  <c r="F123" i="89"/>
  <c r="AG123" i="89"/>
  <c r="N123" i="89"/>
  <c r="Z123" i="89" s="1" a="1"/>
  <c r="Z123" i="89" l="1"/>
  <c r="P123" i="89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L126" i="89"/>
  <c r="K124" i="89"/>
  <c r="M122" i="89"/>
  <c r="I122" i="89"/>
  <c r="AA122" i="89" a="1"/>
  <c r="F122" i="89" a="1"/>
  <c r="AA122" i="89" l="1"/>
  <c r="F122" i="89"/>
  <c r="I124" i="89"/>
  <c r="I125" i="89" s="1"/>
  <c r="K125" i="89"/>
  <c r="K126" i="89"/>
  <c r="N122" i="89"/>
  <c r="Z122" i="89" s="1" a="1"/>
  <c r="Z122" i="89" l="1"/>
  <c r="P122" i="89"/>
  <c r="Q122" i="89" s="1"/>
  <c r="Q124" i="89" s="1"/>
  <c r="D121" i="89" l="1"/>
  <c r="I119" i="89"/>
  <c r="S122" i="89" a="1"/>
  <c r="S122" i="89" l="1"/>
  <c r="R122" i="89" a="1"/>
  <c r="R122" i="89" l="1"/>
  <c r="AC122" i="89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 s="1"/>
  <c r="I116" i="89"/>
  <c r="H116" i="89"/>
  <c r="AA116" i="89" a="1"/>
  <c r="F116" i="89" a="1"/>
  <c r="AA116" i="89" l="1"/>
  <c r="F116" i="89"/>
  <c r="AG116" i="89"/>
  <c r="N116" i="89"/>
  <c r="Z116" i="89" s="1" a="1"/>
  <c r="Z116" i="89" l="1"/>
  <c r="P116" i="89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I115" i="89"/>
  <c r="AA115" i="89" a="1"/>
  <c r="F115" i="89" a="1"/>
  <c r="AA115" i="89" l="1"/>
  <c r="M115" i="89"/>
  <c r="F115" i="89"/>
  <c r="I117" i="89"/>
  <c r="I118" i="89" s="1"/>
  <c r="N115" i="89"/>
  <c r="Z115" i="89" s="1" a="1"/>
  <c r="Z115" i="89" l="1"/>
  <c r="P115" i="89"/>
  <c r="Q115" i="89" s="1"/>
  <c r="Q117" i="89" s="1"/>
  <c r="D114" i="89" l="1"/>
  <c r="S115" i="89" a="1"/>
  <c r="S115" i="89" l="1"/>
  <c r="R115" i="89" a="1"/>
  <c r="R115" i="89" l="1"/>
  <c r="AC115" i="89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H109" i="89"/>
  <c r="F109" i="89" a="1"/>
  <c r="F109" i="89" l="1"/>
  <c r="AG109" i="89"/>
  <c r="I109" i="89"/>
  <c r="M109" i="89"/>
  <c r="AA109" i="89" a="1"/>
  <c r="N109" i="89"/>
  <c r="Z109" i="89" s="1" a="1"/>
  <c r="Z109" i="89" l="1"/>
  <c r="AA109" i="89"/>
  <c r="P109" i="89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I108" i="89"/>
  <c r="AA108" i="89" a="1"/>
  <c r="F108" i="89" a="1"/>
  <c r="AA108" i="89" l="1"/>
  <c r="M108" i="89"/>
  <c r="F108" i="89"/>
  <c r="I110" i="89"/>
  <c r="I111" i="89" s="1"/>
  <c r="N108" i="89"/>
  <c r="Z108" i="89" s="1" a="1"/>
  <c r="Z108" i="89" l="1"/>
  <c r="P108" i="89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 s="1"/>
  <c r="H102" i="89"/>
  <c r="I102" i="89" l="1"/>
  <c r="AG102" i="89"/>
  <c r="AA102" i="89" a="1"/>
  <c r="AA102" i="89" l="1"/>
  <c r="P102" i="89"/>
  <c r="Q102" i="89" s="1"/>
  <c r="AG101" i="89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M101" i="89" s="1"/>
  <c r="L105" i="89"/>
  <c r="K103" i="89"/>
  <c r="I101" i="89"/>
  <c r="AA101" i="89" a="1"/>
  <c r="AA101" i="89" l="1"/>
  <c r="I103" i="89"/>
  <c r="I104" i="89" s="1"/>
  <c r="P101" i="89"/>
  <c r="Q101" i="89" s="1"/>
  <c r="Q103" i="89" s="1"/>
  <c r="K105" i="89"/>
  <c r="K104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/>
  <c r="I96" i="89"/>
  <c r="H96" i="89"/>
  <c r="AA96" i="89" a="1"/>
  <c r="F96" i="89" a="1"/>
  <c r="AA96" i="89" l="1"/>
  <c r="F96" i="89"/>
  <c r="AG96" i="89"/>
  <c r="N96" i="89"/>
  <c r="Z96" i="89" s="1" a="1"/>
  <c r="Z96" i="89" l="1"/>
  <c r="P96" i="89"/>
  <c r="Q96" i="89" s="1"/>
  <c r="AG95" i="89" l="1"/>
  <c r="S96" i="89" a="1"/>
  <c r="S96" i="89" l="1"/>
  <c r="R96" i="89" a="1"/>
  <c r="R96" i="89" l="1"/>
  <c r="AC96" i="89"/>
  <c r="Y96" i="89"/>
  <c r="U96" i="89"/>
  <c r="J96" i="89"/>
  <c r="W95" i="89" a="1"/>
  <c r="W95" i="89" l="1"/>
  <c r="T97" i="89" l="1"/>
  <c r="L95" i="89" a="1"/>
  <c r="L95" i="89" l="1"/>
  <c r="K95" i="89" a="1"/>
  <c r="K95" i="89" l="1"/>
  <c r="M95" i="89" s="1"/>
  <c r="L99" i="89"/>
  <c r="L106" i="89" s="1"/>
  <c r="K97" i="89"/>
  <c r="I95" i="89" l="1"/>
  <c r="K99" i="89"/>
  <c r="K106" i="89" s="1"/>
  <c r="K98" i="89"/>
  <c r="AA95" i="89" a="1"/>
  <c r="AA95" i="89" l="1"/>
  <c r="P95" i="89"/>
  <c r="Q95" i="89" s="1"/>
  <c r="Q97" i="89" s="1"/>
  <c r="Q93" i="89" s="1"/>
  <c r="I97" i="89"/>
  <c r="I98" i="89" s="1"/>
  <c r="K94" i="89"/>
  <c r="I94" i="89"/>
  <c r="I99" i="89" s="1"/>
  <c r="D94" i="89"/>
  <c r="L93" i="89"/>
  <c r="S95" i="89" a="1"/>
  <c r="P94" i="89" l="1"/>
  <c r="S95" i="89"/>
  <c r="R95" i="89" a="1"/>
  <c r="R95" i="89" l="1"/>
  <c r="AC95" i="89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M90" i="89" s="1"/>
  <c r="I90" i="89"/>
  <c r="H90" i="89"/>
  <c r="AA90" i="89" a="1"/>
  <c r="F90" i="89" a="1"/>
  <c r="AA90" i="89" l="1"/>
  <c r="F90" i="89"/>
  <c r="AG90" i="89"/>
  <c r="N90" i="89"/>
  <c r="Z90" i="89" s="1" a="1"/>
  <c r="Z90" i="89" l="1"/>
  <c r="P90" i="89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I89" i="89"/>
  <c r="AA89" i="89" a="1"/>
  <c r="F89" i="89" a="1"/>
  <c r="AA89" i="89" l="1"/>
  <c r="M89" i="89"/>
  <c r="F89" i="89"/>
  <c r="N89" i="89"/>
  <c r="Z89" i="89" s="1" a="1"/>
  <c r="Z89" i="89" l="1"/>
  <c r="P89" i="89"/>
  <c r="Q89" i="89" s="1"/>
  <c r="Q91" i="89" s="1"/>
  <c r="D88" i="89" l="1"/>
  <c r="L87" i="89"/>
  <c r="S89" i="89" a="1"/>
  <c r="S89" i="89" l="1"/>
  <c r="R89" i="89" a="1"/>
  <c r="R89" i="89" l="1"/>
  <c r="AC89" i="89"/>
  <c r="Y89" i="89"/>
  <c r="U89" i="89"/>
  <c r="J89" i="89"/>
  <c r="Y91" i="89" l="1"/>
  <c r="Y92" i="89" s="1"/>
  <c r="M82" i="89" l="1"/>
  <c r="H82" i="89"/>
  <c r="I82" i="89" l="1"/>
  <c r="AE82" i="89"/>
  <c r="AA82" i="89" a="1"/>
  <c r="AA82" i="89" l="1"/>
  <c r="P82" i="89"/>
  <c r="Q82" i="89" s="1"/>
  <c r="AE81" i="89"/>
  <c r="S82" i="89" a="1"/>
  <c r="S82" i="89" l="1"/>
  <c r="R82" i="89" a="1"/>
  <c r="R82" i="89" l="1"/>
  <c r="AC82" i="89"/>
  <c r="Y82" i="89"/>
  <c r="U82" i="89"/>
  <c r="J82" i="89"/>
  <c r="T83" i="89" l="1"/>
  <c r="K84" i="89" l="1"/>
  <c r="K83" i="89"/>
  <c r="M81" i="89"/>
  <c r="I81" i="89"/>
  <c r="AA81" i="89" a="1"/>
  <c r="AA81" i="89" l="1"/>
  <c r="I83" i="89"/>
  <c r="I84" i="89" s="1"/>
  <c r="N81" i="89" a="1"/>
  <c r="N81" i="89" l="1"/>
  <c r="P81" i="89" l="1"/>
  <c r="Q81" i="89" s="1"/>
  <c r="Q83" i="89" s="1"/>
  <c r="AC81" i="89"/>
  <c r="Y81" i="89"/>
  <c r="U81" i="89"/>
  <c r="J81" i="89"/>
  <c r="Y84" i="89" l="1"/>
  <c r="Y85" i="89" s="1"/>
  <c r="M76" i="89" l="1"/>
  <c r="I76" i="89"/>
  <c r="H76" i="89"/>
  <c r="Z76" i="89" a="1"/>
  <c r="AA76" i="89" a="1"/>
  <c r="Z76" i="89" l="1"/>
  <c r="AA76" i="89"/>
  <c r="P76" i="89"/>
  <c r="Q76" i="89" s="1"/>
  <c r="AE76" i="89"/>
  <c r="AE75" i="89" l="1"/>
  <c r="S76" i="89" a="1"/>
  <c r="S76" i="89" l="1"/>
  <c r="R76" i="89" a="1"/>
  <c r="R76" i="89" l="1"/>
  <c r="AC76" i="89"/>
  <c r="Y76" i="89"/>
  <c r="U76" i="89"/>
  <c r="J76" i="89"/>
  <c r="W79" i="89" l="1"/>
  <c r="T77" i="89" l="1"/>
  <c r="K78" i="89" l="1"/>
  <c r="K77" i="89"/>
  <c r="I75" i="89"/>
  <c r="AA75" i="89" a="1"/>
  <c r="AA75" i="89" l="1"/>
  <c r="M75" i="89"/>
  <c r="I77" i="89"/>
  <c r="I78" i="89" s="1"/>
  <c r="K85" i="89"/>
  <c r="N75" i="89" a="1"/>
  <c r="N75" i="89" l="1"/>
  <c r="Z75" i="89" a="1"/>
  <c r="Z75" i="89" l="1"/>
  <c r="P75" i="89"/>
  <c r="Q75" i="89" s="1"/>
  <c r="Q77" i="89" s="1"/>
  <c r="L74" i="89"/>
  <c r="S75" i="89" a="1"/>
  <c r="S75" i="89" l="1"/>
  <c r="R75" i="89" a="1"/>
  <c r="R75" i="89" l="1"/>
  <c r="AC75" i="89"/>
  <c r="Y75" i="89"/>
  <c r="U75" i="89"/>
  <c r="J75" i="89"/>
  <c r="Y78" i="89" l="1"/>
  <c r="Y79" i="89" s="1"/>
  <c r="W69" i="89" a="1"/>
  <c r="W69" i="89" l="1"/>
  <c r="L69" i="89" a="1"/>
  <c r="L69" i="89" l="1"/>
  <c r="K69" i="89" a="1"/>
  <c r="K69" i="89" l="1"/>
  <c r="M69" i="89" s="1"/>
  <c r="H69" i="89"/>
  <c r="F69" i="89" a="1"/>
  <c r="I69" i="89" l="1"/>
  <c r="F69" i="89"/>
  <c r="AE69" i="89"/>
  <c r="AA69" i="89" a="1"/>
  <c r="N69" i="89" a="1"/>
  <c r="AA69" i="89" l="1"/>
  <c r="N69" i="89"/>
  <c r="Z69" i="89" a="1"/>
  <c r="Z69" i="89" l="1"/>
  <c r="P69" i="89"/>
  <c r="Q69" i="89" s="1"/>
  <c r="AE68" i="89" l="1"/>
  <c r="S69" i="89" a="1"/>
  <c r="S69" i="89" l="1"/>
  <c r="R69" i="89" a="1"/>
  <c r="R69" i="89" l="1"/>
  <c r="AC69" i="89"/>
  <c r="Y69" i="89"/>
  <c r="U69" i="89"/>
  <c r="J69" i="89"/>
  <c r="W68" i="89" a="1"/>
  <c r="W68" i="89" l="1"/>
  <c r="T70" i="89" l="1"/>
  <c r="L68" i="89" a="1"/>
  <c r="L68" i="89" l="1"/>
  <c r="K68" i="89" a="1"/>
  <c r="K68" i="89" l="1"/>
  <c r="K71" i="89" s="1"/>
  <c r="L72" i="89"/>
  <c r="K70" i="89"/>
  <c r="I68" i="89"/>
  <c r="AA68" i="89" a="1"/>
  <c r="F68" i="89" a="1"/>
  <c r="AA68" i="89" l="1"/>
  <c r="M68" i="89"/>
  <c r="F68" i="89"/>
  <c r="I70" i="89"/>
  <c r="I71" i="89" s="1"/>
  <c r="N79" i="89"/>
  <c r="K79" i="89"/>
  <c r="N68" i="89" a="1"/>
  <c r="N68" i="89" l="1"/>
  <c r="Z68" i="89" a="1"/>
  <c r="Z68" i="89" l="1"/>
  <c r="P68" i="89"/>
  <c r="Q68" i="89" s="1"/>
  <c r="Q70" i="89" s="1"/>
  <c r="AC68" i="89" l="1"/>
  <c r="Y68" i="89"/>
  <c r="U68" i="89"/>
  <c r="J68" i="89"/>
  <c r="Y71" i="89" l="1"/>
  <c r="Y72" i="89" s="1"/>
  <c r="W63" i="89" a="1"/>
  <c r="W63" i="89" l="1"/>
  <c r="L63" i="89" a="1"/>
  <c r="L63" i="89" l="1"/>
  <c r="K63" i="89" a="1"/>
  <c r="K63" i="89" l="1"/>
  <c r="M63" i="89" s="1"/>
  <c r="H63" i="89"/>
  <c r="F63" i="89" a="1"/>
  <c r="I63" i="89" l="1"/>
  <c r="F63" i="89"/>
  <c r="AE63" i="89"/>
  <c r="AA63" i="89" a="1"/>
  <c r="N63" i="89" a="1"/>
  <c r="AA63" i="89" l="1"/>
  <c r="N63" i="89"/>
  <c r="Z63" i="89" a="1"/>
  <c r="Z63" i="89" l="1"/>
  <c r="P63" i="89"/>
  <c r="Q63" i="89" s="1"/>
  <c r="AE62" i="89"/>
  <c r="AC63" i="89" l="1"/>
  <c r="Y63" i="89"/>
  <c r="U63" i="89"/>
  <c r="J63" i="89"/>
  <c r="W62" i="89" a="1"/>
  <c r="W62" i="89" l="1"/>
  <c r="T64" i="89" l="1"/>
  <c r="L62" i="89" a="1"/>
  <c r="L62" i="89" l="1"/>
  <c r="K62" i="89" a="1"/>
  <c r="K62" i="89" l="1"/>
  <c r="M62" i="89" s="1"/>
  <c r="K64" i="89"/>
  <c r="I62" i="89"/>
  <c r="AA62" i="89" a="1"/>
  <c r="F62" i="89" a="1"/>
  <c r="AA62" i="89" l="1"/>
  <c r="F62" i="89"/>
  <c r="I64" i="89"/>
  <c r="I65" i="89" s="1"/>
  <c r="K72" i="89"/>
  <c r="K65" i="89"/>
  <c r="K73" i="89" s="1"/>
  <c r="N62" i="89" a="1"/>
  <c r="N62" i="89" l="1"/>
  <c r="Z62" i="89" a="1"/>
  <c r="Z62" i="89" l="1"/>
  <c r="P62" i="89"/>
  <c r="P72" i="89" s="1"/>
  <c r="L61" i="89"/>
  <c r="S62" i="89" a="1"/>
  <c r="Q62" i="89" l="1"/>
  <c r="Q64" i="89" s="1"/>
  <c r="S62" i="89"/>
  <c r="R62" i="89" a="1"/>
  <c r="R62" i="89" l="1"/>
  <c r="AC62" i="89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I56" i="89" s="1"/>
  <c r="H56" i="89"/>
  <c r="AA56" i="89" a="1"/>
  <c r="F56" i="89" a="1"/>
  <c r="AA56" i="89" l="1"/>
  <c r="M56" i="89"/>
  <c r="F56" i="89"/>
  <c r="AE56" i="89"/>
  <c r="N56" i="89" a="1"/>
  <c r="N56" i="89" l="1"/>
  <c r="Z56" i="89" a="1"/>
  <c r="Z56" i="89" l="1"/>
  <c r="P56" i="89"/>
  <c r="Q56" i="89" s="1"/>
  <c r="AE55" i="89"/>
  <c r="AC56" i="89" l="1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I55" i="89"/>
  <c r="AA55" i="89" a="1"/>
  <c r="F55" i="89" a="1"/>
  <c r="AA55" i="89" l="1"/>
  <c r="M55" i="89"/>
  <c r="F55" i="89"/>
  <c r="I57" i="89"/>
  <c r="N55" i="89" a="1"/>
  <c r="N55" i="89" l="1"/>
  <c r="I60" i="89"/>
  <c r="G57" i="89"/>
  <c r="I58" i="89"/>
  <c r="Z55" i="89" a="1"/>
  <c r="Z55" i="89" l="1"/>
  <c r="P55" i="89"/>
  <c r="Q55" i="89" s="1"/>
  <c r="Q57" i="89" s="1"/>
  <c r="P54" i="89" l="1"/>
  <c r="A51" i="89"/>
  <c r="AC55" i="89" l="1"/>
  <c r="Y55" i="89"/>
  <c r="U55" i="89"/>
  <c r="J55" i="89"/>
  <c r="J54" i="89" s="1"/>
  <c r="Y58" i="89" l="1"/>
  <c r="Y59" i="89" s="1"/>
  <c r="M50" i="89" l="1"/>
  <c r="I50" i="89"/>
  <c r="AA50" i="89" a="1"/>
  <c r="AA50" i="89" l="1"/>
  <c r="AE50" i="89"/>
  <c r="N50" i="89" a="1"/>
  <c r="N50" i="89" l="1"/>
  <c r="Z50" i="89" a="1"/>
  <c r="Z50" i="89" l="1"/>
  <c r="P50" i="89"/>
  <c r="Q50" i="89" s="1"/>
  <c r="AE49" i="89"/>
  <c r="AC50" i="89" l="1"/>
  <c r="Y50" i="89"/>
  <c r="U50" i="89"/>
  <c r="J50" i="89"/>
  <c r="T51" i="89" l="1"/>
  <c r="I52" i="89" s="1"/>
  <c r="K52" i="89" l="1"/>
  <c r="K51" i="89"/>
  <c r="I49" i="89" l="1"/>
  <c r="M49" i="89"/>
  <c r="K60" i="89"/>
  <c r="K59" i="89"/>
  <c r="AA49" i="89" a="1"/>
  <c r="N49" i="89" a="1"/>
  <c r="AA49" i="89" l="1"/>
  <c r="N49" i="89"/>
  <c r="Z49" i="89" a="1"/>
  <c r="Z49" i="89" l="1"/>
  <c r="P49" i="89"/>
  <c r="Q49" i="89" s="1"/>
  <c r="Q51" i="89" s="1"/>
  <c r="I48" i="89"/>
  <c r="L46" i="89"/>
  <c r="K46" i="89"/>
  <c r="AE40" i="89"/>
  <c r="P47" i="89" l="1"/>
  <c r="AC49" i="89"/>
  <c r="Y49" i="89"/>
  <c r="U49" i="89"/>
  <c r="J49" i="89"/>
  <c r="Y51" i="89" l="1"/>
  <c r="Z52" i="89" s="1"/>
  <c r="M40" i="89" l="1"/>
  <c r="I40" i="89"/>
  <c r="AA40" i="89" a="1"/>
  <c r="N40" i="89" a="1"/>
  <c r="AA40" i="89" l="1"/>
  <c r="N40" i="89"/>
  <c r="P40" i="89"/>
  <c r="Q40" i="89" s="1"/>
  <c r="Z40" i="89" a="1"/>
  <c r="Z40" i="89" l="1"/>
  <c r="AE39" i="89"/>
  <c r="AC40" i="89" l="1"/>
  <c r="Y40" i="89"/>
  <c r="U40" i="89"/>
  <c r="J40" i="89"/>
  <c r="A40" i="89"/>
  <c r="W43" i="89" l="1"/>
  <c r="T41" i="89" l="1"/>
  <c r="K42" i="89" l="1"/>
  <c r="K41" i="89"/>
  <c r="M39" i="89"/>
  <c r="I39" i="89"/>
  <c r="AA39" i="89" a="1"/>
  <c r="AA39" i="89" l="1"/>
  <c r="I41" i="89"/>
  <c r="I42" i="89" s="1"/>
  <c r="N39" i="89" a="1"/>
  <c r="N39" i="89" l="1"/>
  <c r="Z39" i="89" a="1"/>
  <c r="Z39" i="89" l="1"/>
  <c r="P39" i="89"/>
  <c r="P42" i="89" s="1"/>
  <c r="Q39" i="89" l="1"/>
  <c r="Q41" i="89" s="1"/>
  <c r="AC39" i="89"/>
  <c r="Y39" i="89"/>
  <c r="U39" i="89"/>
  <c r="J39" i="89"/>
  <c r="J38" i="89" s="1"/>
  <c r="A39" i="89"/>
  <c r="Y41" i="89" l="1"/>
  <c r="Y42" i="89" l="1"/>
  <c r="P43" i="89"/>
  <c r="M34" i="89" l="1"/>
  <c r="I34" i="89" l="1"/>
  <c r="AE34" i="89"/>
  <c r="AA34" i="89" a="1"/>
  <c r="N34" i="89" a="1"/>
  <c r="AA34" i="89" l="1"/>
  <c r="N34" i="89"/>
  <c r="Z34" i="89" a="1"/>
  <c r="Z34" i="89" l="1"/>
  <c r="P34" i="89"/>
  <c r="Q34" i="89" s="1"/>
  <c r="AE33" i="89"/>
  <c r="AC34" i="89" l="1"/>
  <c r="Y34" i="89"/>
  <c r="U34" i="89"/>
  <c r="J34" i="89"/>
  <c r="W37" i="89" l="1"/>
  <c r="T35" i="89" l="1"/>
  <c r="K36" i="89" l="1"/>
  <c r="K35" i="89"/>
  <c r="I33" i="89"/>
  <c r="AA33" i="89" a="1"/>
  <c r="AA33" i="89" l="1"/>
  <c r="M33" i="89"/>
  <c r="K37" i="89"/>
  <c r="I35" i="89"/>
  <c r="K44" i="89"/>
  <c r="K43" i="89"/>
  <c r="L44" i="89"/>
  <c r="N33" i="89" a="1"/>
  <c r="N33" i="89" l="1"/>
  <c r="I36" i="89"/>
  <c r="Z33" i="89" a="1"/>
  <c r="Z33" i="89" l="1"/>
  <c r="P33" i="89"/>
  <c r="P36" i="89" l="1"/>
  <c r="Q33" i="89"/>
  <c r="Q35" i="89" s="1"/>
  <c r="AE27" i="89"/>
  <c r="AC33" i="89" l="1"/>
  <c r="Y33" i="89"/>
  <c r="U33" i="89"/>
  <c r="J33" i="89"/>
  <c r="I37" i="89"/>
  <c r="P44" i="89"/>
  <c r="P37" i="89"/>
  <c r="Y35" i="89" l="1"/>
  <c r="Y36" i="89" s="1"/>
  <c r="Y43" i="89" s="1"/>
  <c r="W27" i="89" a="1"/>
  <c r="W27" i="89" l="1"/>
  <c r="L27" i="89" a="1"/>
  <c r="L27" i="89" l="1"/>
  <c r="K27" i="89" a="1"/>
  <c r="K27" i="89" l="1"/>
  <c r="M27" i="89" s="1"/>
  <c r="F27" i="89" a="1"/>
  <c r="I27" i="89" l="1"/>
  <c r="F27" i="89"/>
  <c r="AA27" i="89" a="1"/>
  <c r="N27" i="89" a="1"/>
  <c r="AA27" i="89" l="1"/>
  <c r="N27" i="89"/>
  <c r="Z27" i="89" a="1"/>
  <c r="Z27" i="89" l="1"/>
  <c r="P27" i="89"/>
  <c r="Q27" i="89" s="1"/>
  <c r="A27" i="89"/>
  <c r="AE26" i="89"/>
  <c r="AC27" i="89" l="1"/>
  <c r="Y27" i="89"/>
  <c r="U27" i="89"/>
  <c r="J27" i="89"/>
  <c r="T28" i="89" l="1"/>
  <c r="M26" i="89" l="1"/>
  <c r="L30" i="89"/>
  <c r="K28" i="89"/>
  <c r="I26" i="89" l="1"/>
  <c r="K30" i="89"/>
  <c r="K29" i="89"/>
  <c r="AA26" i="89" a="1"/>
  <c r="N26" i="89" a="1"/>
  <c r="AA26" i="89" l="1"/>
  <c r="I28" i="89"/>
  <c r="I29" i="89" s="1"/>
  <c r="K31" i="89"/>
  <c r="N26" i="89"/>
  <c r="Z26" i="89" a="1"/>
  <c r="Z26" i="89" l="1"/>
  <c r="P26" i="89"/>
  <c r="P29" i="89" l="1"/>
  <c r="Q26" i="89"/>
  <c r="Q28" i="89" s="1"/>
  <c r="A26" i="89"/>
  <c r="A29" i="89" s="1"/>
  <c r="I25" i="89"/>
  <c r="AL24" i="89"/>
  <c r="AK24" i="89"/>
  <c r="AL21" i="89"/>
  <c r="AK21" i="89"/>
  <c r="AJ20" i="89"/>
  <c r="AC26" i="89" l="1"/>
  <c r="Y26" i="89"/>
  <c r="U26" i="89"/>
  <c r="J26" i="89"/>
  <c r="I30" i="89"/>
  <c r="Y28" i="89" l="1"/>
  <c r="W20" i="89" a="1"/>
  <c r="W20" i="89" l="1"/>
  <c r="Y30" i="89"/>
  <c r="X30" i="89" s="1"/>
  <c r="P30" i="89"/>
  <c r="L20" i="89" a="1"/>
  <c r="L20" i="89" l="1"/>
  <c r="K20" i="89" a="1"/>
  <c r="K20" i="89" l="1"/>
  <c r="I20" i="89" s="1"/>
  <c r="H20" i="89"/>
  <c r="AA20" i="89" a="1"/>
  <c r="F20" i="89" a="1"/>
  <c r="AA20" i="89" l="1"/>
  <c r="M20" i="89"/>
  <c r="F20" i="89"/>
  <c r="AE20" i="89"/>
  <c r="I23" i="89"/>
  <c r="N20" i="89" a="1"/>
  <c r="N20" i="89" l="1"/>
  <c r="Z20" i="89" a="1"/>
  <c r="Z20" i="89" l="1"/>
  <c r="P20" i="89"/>
  <c r="Q20" i="89" s="1"/>
  <c r="AJ19" i="89"/>
  <c r="AE19" i="89"/>
  <c r="AC20" i="89" l="1"/>
  <c r="Y20" i="89"/>
  <c r="U20" i="89"/>
  <c r="J20" i="89"/>
  <c r="W19" i="89"/>
  <c r="T21" i="89" l="1"/>
  <c r="L19" i="89"/>
  <c r="K19" i="89"/>
  <c r="K22" i="89" l="1"/>
  <c r="K23" i="89"/>
  <c r="L23" i="89"/>
  <c r="K21" i="89"/>
  <c r="M19" i="89"/>
  <c r="I19" i="89"/>
  <c r="AA19" i="89" a="1"/>
  <c r="F19" i="89"/>
  <c r="AA19" i="89" l="1"/>
  <c r="I21" i="89"/>
  <c r="I22" i="89" s="1"/>
  <c r="J19" i="89"/>
  <c r="G18" i="89"/>
  <c r="N19" i="89" a="1"/>
  <c r="N19" i="89" l="1"/>
  <c r="U19" i="89"/>
  <c r="Z19" i="89" a="1"/>
  <c r="Z19" i="89" l="1"/>
  <c r="Y19" i="89"/>
  <c r="Y21" i="89" s="1"/>
  <c r="Y22" i="89" s="1"/>
  <c r="AC19" i="89"/>
  <c r="P19" i="89"/>
  <c r="W14" i="89" a="1"/>
  <c r="P22" i="89" l="1"/>
  <c r="P23" i="89" s="1"/>
  <c r="Q19" i="89"/>
  <c r="Q21" i="89" s="1"/>
  <c r="W14" i="89"/>
  <c r="L14" i="89" a="1"/>
  <c r="L14" i="89" l="1"/>
  <c r="K14" i="89" a="1"/>
  <c r="K14" i="89" l="1"/>
  <c r="M14" i="89" s="1"/>
  <c r="H14" i="89"/>
  <c r="F14" i="89" a="1"/>
  <c r="I14" i="89" l="1"/>
  <c r="F14" i="89"/>
  <c r="AF14" i="89"/>
  <c r="AE14" i="89"/>
  <c r="AA14" i="89" a="1"/>
  <c r="N14" i="89" a="1"/>
  <c r="AA14" i="89" l="1"/>
  <c r="N14" i="89"/>
  <c r="Z14" i="89" a="1"/>
  <c r="Z14" i="89" l="1"/>
  <c r="P14" i="89"/>
  <c r="Q14" i="89" s="1"/>
  <c r="AF13" i="89"/>
  <c r="AE13" i="89"/>
  <c r="AC14" i="89" l="1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F13" i="89" a="1"/>
  <c r="I13" i="89" l="1"/>
  <c r="F13" i="89"/>
  <c r="K16" i="89"/>
  <c r="K17" i="89"/>
  <c r="AA13" i="89" a="1"/>
  <c r="N13" i="89" a="1"/>
  <c r="AA13" i="89" l="1"/>
  <c r="I15" i="89"/>
  <c r="I16" i="89" s="1"/>
  <c r="N13" i="89"/>
  <c r="Z13" i="89" a="1"/>
  <c r="Z13" i="89" l="1"/>
  <c r="P13" i="89"/>
  <c r="P16" i="89" s="1"/>
  <c r="AI12" i="89"/>
  <c r="AH12" i="89"/>
  <c r="AI11" i="89"/>
  <c r="AH11" i="89"/>
  <c r="AJ11" i="89" s="1"/>
  <c r="Q13" i="89" l="1"/>
  <c r="Q15" i="89" s="1"/>
  <c r="Q17" i="89" s="1"/>
  <c r="AC13" i="89"/>
  <c r="Y13" i="89"/>
  <c r="U13" i="89"/>
  <c r="J13" i="89"/>
  <c r="J17" i="89" s="1"/>
  <c r="Y15" i="89" l="1"/>
  <c r="Y16" i="89" l="1"/>
  <c r="P17" i="89"/>
  <c r="M8" i="89" l="1"/>
  <c r="I8" i="89"/>
  <c r="AA8" i="89" a="1"/>
  <c r="AA8" i="89" l="1"/>
  <c r="AF8" i="89"/>
  <c r="AE8" i="89"/>
  <c r="N8" i="89" a="1"/>
  <c r="N8" i="89" l="1"/>
  <c r="Z8" i="89" a="1"/>
  <c r="Z8" i="89" l="1"/>
  <c r="P8" i="89"/>
  <c r="Q8" i="89" s="1"/>
  <c r="AF7" i="89"/>
  <c r="AE7" i="89"/>
  <c r="AC8" i="89" l="1"/>
  <c r="Y8" i="89"/>
  <c r="U8" i="89"/>
  <c r="J8" i="89"/>
  <c r="T9" i="89" l="1"/>
  <c r="M7" i="89" l="1"/>
  <c r="L11" i="89"/>
  <c r="K9" i="89"/>
  <c r="I7" i="89" l="1"/>
  <c r="K11" i="89"/>
  <c r="K10" i="89"/>
  <c r="K18" i="89" s="1"/>
  <c r="AA7" i="89"/>
  <c r="N7" i="89" a="1"/>
  <c r="I9" i="89" l="1"/>
  <c r="I10" i="89" s="1"/>
  <c r="N7" i="89"/>
  <c r="K5" i="89"/>
  <c r="H46" i="2"/>
  <c r="H45" i="2"/>
  <c r="H44" i="2"/>
  <c r="H43" i="2"/>
  <c r="J41" i="2"/>
  <c r="J40" i="2"/>
  <c r="J39" i="2"/>
  <c r="J38" i="2"/>
  <c r="J37" i="2"/>
  <c r="J36" i="2"/>
  <c r="J35" i="2"/>
  <c r="J34" i="2"/>
  <c r="I32" i="2"/>
  <c r="I31" i="2"/>
  <c r="BA25" i="2"/>
  <c r="Z7" i="89"/>
  <c r="J45" i="2" l="1"/>
  <c r="I45" i="2" s="1"/>
  <c r="J44" i="2"/>
  <c r="I44" i="2" s="1"/>
  <c r="J43" i="2"/>
  <c r="I43" i="2" s="1"/>
  <c r="J46" i="2"/>
  <c r="I46" i="2" s="1"/>
  <c r="P7" i="89"/>
  <c r="P10" i="89" l="1"/>
  <c r="Q7" i="89"/>
  <c r="Q9" i="89" s="1"/>
  <c r="AC7" i="89"/>
  <c r="Y7" i="89"/>
  <c r="U7" i="89"/>
  <c r="J7" i="89"/>
  <c r="J11" i="89" s="1"/>
  <c r="Y9" i="89" l="1"/>
  <c r="Y10" i="89" s="1"/>
  <c r="Q11" i="89"/>
  <c r="Q5" i="89"/>
  <c r="P11" i="89" l="1"/>
  <c r="R25" i="2" l="1"/>
  <c r="BB25" i="2" l="1"/>
  <c r="BC25" i="2" s="1"/>
  <c r="O25" i="2" l="1"/>
  <c r="S25" i="2" a="1"/>
  <c r="S25" i="2" l="1"/>
  <c r="U25" i="2" s="1"/>
  <c r="Z25" i="2"/>
  <c r="AV25" i="2" s="1" a="1"/>
  <c r="AV25" i="2" l="1"/>
  <c r="AP25" i="2"/>
  <c r="AO25" i="2"/>
  <c r="AE25" i="2"/>
  <c r="AT25" i="2"/>
  <c r="AS25" i="2"/>
  <c r="AL25" i="2"/>
  <c r="AB25" i="2"/>
  <c r="M25" i="2"/>
  <c r="BA24" i="2"/>
  <c r="AM25" i="2" l="1"/>
  <c r="X25" i="2"/>
  <c r="Y25" i="2" s="1"/>
  <c r="I30" i="2" l="1"/>
  <c r="R24" i="2" l="1"/>
  <c r="BB24" i="2" l="1"/>
  <c r="BC24" i="2" s="1"/>
  <c r="L30" i="2" l="1"/>
  <c r="O24" i="2"/>
  <c r="S24" i="2" a="1"/>
  <c r="S24" i="2" l="1"/>
  <c r="AO24" i="2" s="1"/>
  <c r="Z24" i="2"/>
  <c r="AV24" i="2" s="1" a="1"/>
  <c r="AV24" i="2" l="1"/>
  <c r="AP24" i="2"/>
  <c r="U24" i="2"/>
  <c r="AE24" i="2"/>
  <c r="AT24" i="2"/>
  <c r="AS24" i="2"/>
  <c r="AL24" i="2"/>
  <c r="AB24" i="2"/>
  <c r="M24" i="2"/>
  <c r="AM24" i="2" l="1"/>
  <c r="X24" i="2"/>
  <c r="Y24" i="2" s="1"/>
  <c r="BA21" i="2" l="1"/>
  <c r="AF21" i="2" a="1"/>
  <c r="AF21" i="2" l="1"/>
  <c r="Q21" i="2" a="1"/>
  <c r="Q21" i="2" l="1"/>
  <c r="P21" i="2" a="1"/>
  <c r="P21" i="2" l="1"/>
  <c r="R21" i="2" s="1"/>
  <c r="BB21" i="2" l="1"/>
  <c r="BC21" i="2" s="1"/>
  <c r="G21" i="2" a="1"/>
  <c r="G21" i="2" l="1"/>
  <c r="O21" i="2"/>
  <c r="S21" i="2" a="1"/>
  <c r="S21" i="2" l="1"/>
  <c r="U21" i="2" s="1"/>
  <c r="Z21" i="2"/>
  <c r="AV21" i="2" s="1" a="1"/>
  <c r="AV21" i="2" l="1"/>
  <c r="AO21" i="2"/>
  <c r="AP21" i="2"/>
  <c r="AE21" i="2"/>
  <c r="AS21" i="2"/>
  <c r="AT21" i="2"/>
  <c r="AL21" i="2"/>
  <c r="AB21" i="2"/>
  <c r="M21" i="2"/>
  <c r="BA20" i="2"/>
  <c r="AM21" i="2" l="1"/>
  <c r="X21" i="2"/>
  <c r="Y21" i="2" s="1"/>
  <c r="AN20" i="2" a="1"/>
  <c r="AN20" i="2" l="1"/>
  <c r="AF20" i="2" a="1"/>
  <c r="AF20" i="2" l="1"/>
  <c r="Q20" i="2" a="1"/>
  <c r="Q20" i="2" l="1"/>
  <c r="P20" i="2" a="1"/>
  <c r="P20" i="2" l="1"/>
  <c r="R20" i="2" s="1"/>
  <c r="L20" i="2" a="1"/>
  <c r="L20" i="2" l="1"/>
  <c r="BB20" i="2"/>
  <c r="BC20" i="2" s="1"/>
  <c r="G20" i="2" a="1"/>
  <c r="G20" i="2" l="1"/>
  <c r="O20" i="2"/>
  <c r="S20" i="2" a="1"/>
  <c r="S20" i="2" l="1"/>
  <c r="AO20" i="2" s="1"/>
  <c r="Z20" i="2"/>
  <c r="AV20" i="2" s="1" a="1"/>
  <c r="AV20" i="2" l="1"/>
  <c r="U20" i="2"/>
  <c r="AP20" i="2"/>
  <c r="AE20" i="2"/>
  <c r="AT20" i="2"/>
  <c r="AS20" i="2"/>
  <c r="AL20" i="2"/>
  <c r="AB20" i="2"/>
  <c r="M20" i="2"/>
  <c r="BA19" i="2"/>
  <c r="AM20" i="2" l="1"/>
  <c r="X20" i="2"/>
  <c r="Y20" i="2" s="1"/>
  <c r="AF19" i="2" a="1"/>
  <c r="AF19" i="2" l="1"/>
  <c r="Q19" i="2" a="1"/>
  <c r="Q19" i="2" l="1"/>
  <c r="P19" i="2" a="1"/>
  <c r="P19" i="2" l="1"/>
  <c r="R19" i="2" s="1"/>
  <c r="BB19" i="2" l="1"/>
  <c r="BC19" i="2" s="1"/>
  <c r="G19" i="2" a="1"/>
  <c r="G19" i="2" l="1"/>
  <c r="K32" i="2"/>
  <c r="L32" i="2"/>
  <c r="O19" i="2"/>
  <c r="S19" i="2" a="1"/>
  <c r="S19" i="2" l="1"/>
  <c r="AP19" i="2" s="1"/>
  <c r="Z19" i="2"/>
  <c r="AV19" i="2" s="1" a="1"/>
  <c r="AV19" i="2" l="1"/>
  <c r="AO19" i="2"/>
  <c r="U19" i="2"/>
  <c r="AE19" i="2"/>
  <c r="AT19" i="2"/>
  <c r="AS19" i="2"/>
  <c r="AL19" i="2"/>
  <c r="AB19" i="2"/>
  <c r="M19" i="2"/>
  <c r="AM19" i="2" l="1"/>
  <c r="X19" i="2"/>
  <c r="Y19" i="2" s="1"/>
  <c r="J42" i="531" l="1"/>
  <c r="BA14" i="2" l="1"/>
  <c r="AF14" i="2" a="1"/>
  <c r="AF14" i="2" l="1"/>
  <c r="Q14" i="2" a="1"/>
  <c r="Q14" i="2" l="1"/>
  <c r="P14" i="2" a="1"/>
  <c r="P14" i="2" l="1"/>
  <c r="R14" i="2" s="1"/>
  <c r="BB14" i="2" l="1"/>
  <c r="BC14" i="2" s="1"/>
  <c r="G14" i="2" a="1"/>
  <c r="G14" i="2" l="1"/>
  <c r="O14" i="2"/>
  <c r="S14" i="2" a="1"/>
  <c r="S14" i="2" l="1"/>
  <c r="AO14" i="2" s="1"/>
  <c r="Z14" i="2"/>
  <c r="AV14" i="2" s="1" a="1"/>
  <c r="AV14" i="2" l="1"/>
  <c r="U14" i="2"/>
  <c r="AP14" i="2"/>
  <c r="AE14" i="2"/>
  <c r="AS14" i="2"/>
  <c r="AT14" i="2"/>
  <c r="AL14" i="2"/>
  <c r="AB14" i="2"/>
  <c r="M14" i="2"/>
  <c r="BA13" i="2"/>
  <c r="AM14" i="2" l="1"/>
  <c r="X14" i="2"/>
  <c r="Y14" i="2" s="1"/>
  <c r="AF13" i="2" a="1"/>
  <c r="AF13" i="2" l="1"/>
  <c r="Q13" i="2" a="1"/>
  <c r="Q13" i="2" l="1"/>
  <c r="P13" i="2" a="1"/>
  <c r="P13" i="2" l="1"/>
  <c r="R13" i="2" s="1"/>
  <c r="BB13" i="2" l="1"/>
  <c r="BC13" i="2" s="1"/>
  <c r="G13" i="2" a="1"/>
  <c r="G13" i="2" l="1"/>
  <c r="O13" i="2"/>
  <c r="S13" i="2" a="1"/>
  <c r="S13" i="2" l="1"/>
  <c r="AO13" i="2" s="1"/>
  <c r="Z13" i="2"/>
  <c r="AV13" i="2" s="1" a="1"/>
  <c r="AV13" i="2" l="1"/>
  <c r="AP13" i="2"/>
  <c r="U13" i="2"/>
  <c r="AE13" i="2"/>
  <c r="AS13" i="2"/>
  <c r="AT13" i="2"/>
  <c r="AL13" i="2"/>
  <c r="AB13" i="2"/>
  <c r="M13" i="2"/>
  <c r="BA12" i="2"/>
  <c r="AM13" i="2" l="1"/>
  <c r="X13" i="2"/>
  <c r="Y13" i="2" s="1"/>
  <c r="R12" i="2" l="1"/>
  <c r="BB12" i="2" l="1"/>
  <c r="BC12" i="2" s="1"/>
  <c r="S12" i="2" a="1"/>
  <c r="S12" i="2" l="1"/>
  <c r="AP12" i="2" s="1"/>
  <c r="O12" i="2"/>
  <c r="AO12" i="2" l="1"/>
  <c r="U12" i="2"/>
  <c r="AE12" i="2" l="1"/>
  <c r="AS12" i="2"/>
  <c r="AT12" i="2"/>
  <c r="AL12" i="2"/>
  <c r="AB12" i="2"/>
  <c r="M12" i="2"/>
  <c r="BA11" i="2"/>
  <c r="AM12" i="2" l="1"/>
  <c r="X12" i="2"/>
  <c r="Y12" i="2" s="1"/>
  <c r="R11" i="2" l="1"/>
  <c r="BB11" i="2" l="1"/>
  <c r="BC11" i="2" s="1"/>
  <c r="O11" i="2" l="1"/>
  <c r="S11" i="2" a="1"/>
  <c r="S11" i="2" l="1"/>
  <c r="U11" i="2" s="1"/>
  <c r="AP11" i="2"/>
  <c r="Z11" i="2"/>
  <c r="AV11" i="2" s="1" a="1"/>
  <c r="AV11" i="2" l="1"/>
  <c r="AO11" i="2"/>
  <c r="AE11" i="2"/>
  <c r="AT11" i="2"/>
  <c r="AS11" i="2"/>
  <c r="AL11" i="2"/>
  <c r="AB11" i="2"/>
  <c r="M11" i="2"/>
  <c r="AM11" i="2" l="1"/>
  <c r="X11" i="2"/>
  <c r="Y11" i="2" s="1"/>
  <c r="J27" i="531" l="1"/>
  <c r="BA7" i="2"/>
  <c r="R7" i="2" l="1"/>
  <c r="BB7" i="2" l="1"/>
  <c r="BC7" i="2" s="1"/>
  <c r="O7" i="2" l="1"/>
  <c r="S7" i="2" a="1"/>
  <c r="S7" i="2" l="1"/>
  <c r="AO7" i="2" s="1"/>
  <c r="U7" i="2" l="1"/>
  <c r="AP7" i="2"/>
  <c r="AE7" i="2"/>
  <c r="AS7" i="2"/>
  <c r="AT7" i="2"/>
  <c r="AL7" i="2"/>
  <c r="AB7" i="2"/>
  <c r="M7" i="2"/>
  <c r="AM7" i="2" l="1"/>
  <c r="X7" i="2"/>
  <c r="Y7" i="2" s="1"/>
  <c r="L31" i="2" l="1"/>
  <c r="BA5" i="2" l="1"/>
  <c r="AF5" i="2" a="1"/>
  <c r="AF5" i="2" l="1"/>
  <c r="Q5" i="2" a="1"/>
  <c r="Q5" i="2" l="1"/>
  <c r="P5" i="2" a="1"/>
  <c r="P5" i="2" l="1"/>
  <c r="R5" i="2" s="1"/>
  <c r="BB5" i="2" l="1"/>
  <c r="BC5" i="2" s="1"/>
  <c r="G5" i="2" a="1"/>
  <c r="G5" i="2" l="1"/>
  <c r="O5" i="2"/>
  <c r="S5" i="2" a="1"/>
  <c r="S5" i="2" l="1"/>
  <c r="AO5" i="2" s="1"/>
  <c r="Z5" i="2"/>
  <c r="AV5" i="2" s="1" a="1"/>
  <c r="AV5" i="2" l="1"/>
  <c r="U5" i="2"/>
  <c r="AP5" i="2"/>
  <c r="AE5" i="2"/>
  <c r="AS5" i="2"/>
  <c r="AT5" i="2"/>
  <c r="AL5" i="2"/>
  <c r="AB5" i="2"/>
  <c r="M5" i="2"/>
  <c r="BA4" i="2"/>
  <c r="T47" i="1" l="1"/>
  <c r="AM5" i="2"/>
  <c r="X5" i="2"/>
  <c r="Y5" i="2" s="1"/>
  <c r="R4" i="2" l="1"/>
  <c r="BB4" i="2" l="1"/>
  <c r="BC4" i="2" s="1"/>
  <c r="O4" i="2" l="1"/>
  <c r="S4" i="2" a="1"/>
  <c r="S4" i="2" l="1"/>
  <c r="AO4" i="2" s="1"/>
  <c r="AP4" i="2" l="1"/>
  <c r="U4" i="2"/>
  <c r="AE4" i="2"/>
  <c r="AS4" i="2"/>
  <c r="AT4" i="2"/>
  <c r="AL4" i="2"/>
  <c r="AB4" i="2"/>
  <c r="M4" i="2"/>
  <c r="AM4" i="2" l="1"/>
  <c r="X4" i="2"/>
  <c r="Y4" i="2" s="1"/>
  <c r="J8" i="531" l="1"/>
  <c r="U2" i="2"/>
  <c r="R2" i="2"/>
  <c r="Q2" i="2" a="1"/>
  <c r="Q2" i="2" l="1"/>
  <c r="S2" i="2" s="1"/>
  <c r="P2" i="2" a="1"/>
  <c r="P2" i="2" l="1"/>
  <c r="I2" i="2" l="1"/>
  <c r="X1" i="2"/>
  <c r="R1" i="2"/>
  <c r="O1" i="2"/>
  <c r="H1" i="2" l="1"/>
  <c r="S56" i="1"/>
  <c r="Q56" i="1"/>
  <c r="N56" i="1" l="1"/>
  <c r="J56" i="1"/>
  <c r="T56" i="1" l="1"/>
  <c r="S55" i="1"/>
  <c r="Q55" i="1"/>
  <c r="N55" i="1" l="1"/>
  <c r="J55" i="1"/>
  <c r="T55" i="1" l="1"/>
  <c r="S54" i="1"/>
  <c r="Q54" i="1"/>
  <c r="N54" i="1" l="1"/>
  <c r="J54" i="1"/>
  <c r="T54" i="1" l="1"/>
  <c r="S53" i="1"/>
  <c r="Q53" i="1"/>
  <c r="N53" i="1" l="1"/>
  <c r="J53" i="1"/>
  <c r="T53" i="1" l="1"/>
  <c r="Q52" i="1"/>
  <c r="N52" i="1" l="1"/>
  <c r="J52" i="1"/>
  <c r="T52" i="1" l="1"/>
  <c r="Q51" i="1"/>
  <c r="C24" i="385" l="1"/>
  <c r="E24" i="385" s="1"/>
  <c r="Q53" i="385"/>
  <c r="N51" i="1"/>
  <c r="J51" i="1"/>
  <c r="S53" i="385" l="1"/>
  <c r="R53" i="385"/>
  <c r="T51" i="1"/>
  <c r="Q50" i="1" l="1"/>
  <c r="N50" i="1" l="1"/>
  <c r="J50" i="1"/>
  <c r="T50" i="1" l="1"/>
  <c r="Q48" i="1"/>
  <c r="N48" i="1" l="1"/>
  <c r="J48" i="1"/>
  <c r="T48" i="1" l="1"/>
  <c r="Q46" i="1"/>
  <c r="N46" i="1" l="1"/>
  <c r="J46" i="1"/>
  <c r="T46" i="1" l="1"/>
  <c r="N42" i="1" l="1"/>
  <c r="J42" i="1"/>
  <c r="T42" i="1" l="1"/>
  <c r="S41" i="1"/>
  <c r="Q41" i="1"/>
  <c r="N41" i="1" l="1"/>
  <c r="J41" i="1"/>
  <c r="T41" i="1" l="1"/>
  <c r="Q38" i="1"/>
  <c r="N38" i="1" l="1"/>
  <c r="J38" i="1"/>
  <c r="T38" i="1" l="1"/>
  <c r="S36" i="1"/>
  <c r="Q36" i="1"/>
  <c r="N36" i="1" l="1"/>
  <c r="J36" i="1"/>
  <c r="T36" i="1" l="1"/>
  <c r="S32" i="1"/>
  <c r="Q32" i="1"/>
  <c r="N32" i="1" l="1"/>
  <c r="J32" i="1"/>
  <c r="T32" i="1" l="1"/>
  <c r="Q29" i="1"/>
  <c r="N29" i="1" l="1"/>
  <c r="J29" i="1"/>
  <c r="T29" i="1" l="1"/>
  <c r="Q28" i="1"/>
  <c r="R14" i="531" l="1"/>
  <c r="P14" i="531" l="1"/>
  <c r="S14" i="531"/>
  <c r="T14" i="531"/>
  <c r="Q14" i="531"/>
  <c r="N28" i="1"/>
  <c r="J28" i="1"/>
  <c r="T28" i="1" l="1"/>
  <c r="Q26" i="1"/>
  <c r="N26" i="1" l="1"/>
  <c r="J26" i="1"/>
  <c r="T26" i="1" l="1"/>
  <c r="Q24" i="1"/>
  <c r="N24" i="1" l="1"/>
  <c r="J24" i="1"/>
  <c r="T24" i="1" l="1"/>
  <c r="S23" i="1"/>
  <c r="Q23" i="1"/>
  <c r="N23" i="1" l="1"/>
  <c r="J23" i="1"/>
  <c r="T23" i="1" l="1"/>
  <c r="Q21" i="1"/>
  <c r="N21" i="1" l="1"/>
  <c r="T21" i="1" l="1"/>
  <c r="S19" i="1" l="1"/>
  <c r="Q19" i="1"/>
  <c r="N19" i="1" l="1"/>
  <c r="J19" i="1"/>
  <c r="T19" i="1" l="1"/>
  <c r="F19" i="1" l="1"/>
  <c r="Q14" i="1"/>
  <c r="I14" i="1" a="1"/>
  <c r="I14" i="1" l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J10" i="1" l="1"/>
  <c r="F12" i="1"/>
  <c r="D10" i="1" l="1"/>
  <c r="J9" i="1" l="1"/>
  <c r="D9" i="1" l="1"/>
  <c r="J8" i="1" l="1"/>
  <c r="D8" i="1" l="1"/>
  <c r="AD7" i="1"/>
  <c r="AH18" i="1" l="1"/>
  <c r="AI22" i="2"/>
  <c r="BD17" i="2"/>
  <c r="BD18" i="2"/>
  <c r="AI18" i="2"/>
  <c r="V17" i="2"/>
  <c r="AI17" i="2"/>
  <c r="AK17" i="2"/>
  <c r="V18" i="2"/>
  <c r="AK18" i="2"/>
  <c r="W17" i="2"/>
  <c r="W18" i="2"/>
  <c r="BD9" i="2"/>
  <c r="BD22" i="2"/>
  <c r="V9" i="2"/>
  <c r="AI9" i="2"/>
  <c r="AK9" i="2"/>
  <c r="V22" i="2"/>
  <c r="W22" i="2"/>
  <c r="AK22" i="2"/>
  <c r="W9" i="2"/>
  <c r="P47" i="1"/>
  <c r="AD47" i="1" s="1"/>
  <c r="AH47" i="1"/>
  <c r="P49" i="1"/>
  <c r="AH49" i="1"/>
  <c r="P39" i="1"/>
  <c r="P40" i="1"/>
  <c r="P27" i="1"/>
  <c r="P43" i="1"/>
  <c r="AH39" i="1"/>
  <c r="AH43" i="1"/>
  <c r="AH40" i="1"/>
  <c r="AH27" i="1"/>
  <c r="P25" i="1"/>
  <c r="AH25" i="1"/>
  <c r="P31" i="1"/>
  <c r="AH31" i="1"/>
  <c r="P37" i="1"/>
  <c r="AH37" i="1"/>
  <c r="P20" i="1"/>
  <c r="AH20" i="1"/>
  <c r="P22" i="1"/>
  <c r="AH22" i="1"/>
  <c r="P16" i="1"/>
  <c r="AH16" i="1"/>
  <c r="BD23" i="2"/>
  <c r="AK23" i="2"/>
  <c r="W23" i="2"/>
  <c r="V23" i="2"/>
  <c r="P17" i="1"/>
  <c r="AH17" i="1"/>
  <c r="P33" i="1"/>
  <c r="AH33" i="1"/>
  <c r="P35" i="1"/>
  <c r="AH35" i="1"/>
  <c r="P45" i="1"/>
  <c r="AH45" i="1"/>
  <c r="P15" i="1"/>
  <c r="AH15" i="1"/>
  <c r="BD16" i="2"/>
  <c r="BD15" i="2"/>
  <c r="AI15" i="2"/>
  <c r="V16" i="2"/>
  <c r="AI16" i="2"/>
  <c r="AK15" i="2"/>
  <c r="AK16" i="2"/>
  <c r="W15" i="2"/>
  <c r="W16" i="2"/>
  <c r="V15" i="2"/>
  <c r="BD8" i="2"/>
  <c r="AI8" i="2"/>
  <c r="V8" i="2"/>
  <c r="AK8" i="2"/>
  <c r="W8" i="2"/>
  <c r="P34" i="1"/>
  <c r="AH34" i="1"/>
  <c r="P30" i="1"/>
  <c r="AH30" i="1"/>
  <c r="BD10" i="2"/>
  <c r="V10" i="2"/>
  <c r="I17" i="531" s="1"/>
  <c r="AK10" i="2"/>
  <c r="W10" i="2"/>
  <c r="BD6" i="2"/>
  <c r="AK6" i="2"/>
  <c r="AI6" i="2"/>
  <c r="V6" i="2"/>
  <c r="W6" i="2"/>
  <c r="P44" i="1"/>
  <c r="AH44" i="1"/>
  <c r="F67" i="54"/>
  <c r="F72" i="54"/>
  <c r="F73" i="54"/>
  <c r="J55" i="54"/>
  <c r="BD25" i="2"/>
  <c r="V25" i="2"/>
  <c r="AI25" i="2"/>
  <c r="AK25" i="2"/>
  <c r="W25" i="2"/>
  <c r="BD24" i="2"/>
  <c r="AK24" i="2"/>
  <c r="V24" i="2"/>
  <c r="AI24" i="2"/>
  <c r="W24" i="2"/>
  <c r="BD21" i="2"/>
  <c r="V21" i="2"/>
  <c r="AK21" i="2"/>
  <c r="AI21" i="2"/>
  <c r="W21" i="2"/>
  <c r="BD20" i="2"/>
  <c r="V20" i="2"/>
  <c r="AK20" i="2"/>
  <c r="AI20" i="2"/>
  <c r="W20" i="2"/>
  <c r="BD19" i="2"/>
  <c r="V19" i="2"/>
  <c r="AI19" i="2"/>
  <c r="AK19" i="2"/>
  <c r="W19" i="2"/>
  <c r="I42" i="531"/>
  <c r="BD14" i="2"/>
  <c r="V14" i="2"/>
  <c r="AK14" i="2"/>
  <c r="AI14" i="2"/>
  <c r="W14" i="2"/>
  <c r="BD13" i="2"/>
  <c r="V13" i="2"/>
  <c r="AK13" i="2"/>
  <c r="AI13" i="2"/>
  <c r="W13" i="2"/>
  <c r="BD12" i="2"/>
  <c r="AK12" i="2"/>
  <c r="V12" i="2"/>
  <c r="AI12" i="2"/>
  <c r="W12" i="2"/>
  <c r="BD11" i="2"/>
  <c r="AK11" i="2"/>
  <c r="AI11" i="2"/>
  <c r="V11" i="2"/>
  <c r="W11" i="2"/>
  <c r="I27" i="531"/>
  <c r="BD7" i="2"/>
  <c r="V7" i="2"/>
  <c r="AK7" i="2"/>
  <c r="AI7" i="2"/>
  <c r="W7" i="2"/>
  <c r="BD5" i="2"/>
  <c r="V5" i="2"/>
  <c r="AK5" i="2"/>
  <c r="AI5" i="2"/>
  <c r="W5" i="2"/>
  <c r="BD4" i="2"/>
  <c r="V4" i="2"/>
  <c r="AK4" i="2"/>
  <c r="S14" i="1" s="1"/>
  <c r="AI4" i="2"/>
  <c r="W4" i="2"/>
  <c r="I8" i="531"/>
  <c r="P56" i="1"/>
  <c r="AH56" i="1"/>
  <c r="P55" i="1"/>
  <c r="AH55" i="1"/>
  <c r="P54" i="1"/>
  <c r="AH54" i="1"/>
  <c r="P53" i="1"/>
  <c r="AH53" i="1"/>
  <c r="P52" i="1"/>
  <c r="AH52" i="1"/>
  <c r="P51" i="1"/>
  <c r="AH51" i="1"/>
  <c r="P50" i="1"/>
  <c r="AH50" i="1"/>
  <c r="P48" i="1"/>
  <c r="AH48" i="1"/>
  <c r="P46" i="1"/>
  <c r="AH46" i="1"/>
  <c r="P42" i="1"/>
  <c r="AH42" i="1"/>
  <c r="P41" i="1"/>
  <c r="AH41" i="1"/>
  <c r="P38" i="1"/>
  <c r="AH38" i="1"/>
  <c r="P36" i="1"/>
  <c r="AH36" i="1"/>
  <c r="P32" i="1"/>
  <c r="AH32" i="1"/>
  <c r="P29" i="1"/>
  <c r="AH29" i="1"/>
  <c r="P28" i="1"/>
  <c r="AH28" i="1"/>
  <c r="P26" i="1"/>
  <c r="AH26" i="1"/>
  <c r="P24" i="1"/>
  <c r="AH24" i="1"/>
  <c r="P23" i="1"/>
  <c r="AH23" i="1"/>
  <c r="P21" i="1"/>
  <c r="AH21" i="1"/>
  <c r="P19" i="1"/>
  <c r="V19" i="1" s="1"/>
  <c r="AH19" i="1"/>
  <c r="P14" i="1"/>
  <c r="AH14" i="1"/>
  <c r="P13" i="1"/>
  <c r="AH13" i="1"/>
  <c r="P12" i="1"/>
  <c r="AH12" i="1"/>
  <c r="AH10" i="1" s="1"/>
  <c r="AD8" i="1"/>
  <c r="S18" i="1" l="1"/>
  <c r="V18" i="1" s="1"/>
  <c r="S17" i="1"/>
  <c r="V17" i="1" s="1"/>
  <c r="V47" i="1"/>
  <c r="AD49" i="1"/>
  <c r="V49" i="1"/>
  <c r="V43" i="1"/>
  <c r="AD43" i="1"/>
  <c r="AD27" i="1"/>
  <c r="V27" i="1"/>
  <c r="V40" i="1"/>
  <c r="AD40" i="1"/>
  <c r="AD39" i="1"/>
  <c r="V39" i="1"/>
  <c r="AD31" i="1"/>
  <c r="V31" i="1"/>
  <c r="AD25" i="1"/>
  <c r="V25" i="1"/>
  <c r="AD37" i="1"/>
  <c r="V37" i="1"/>
  <c r="V20" i="1"/>
  <c r="AD20" i="1"/>
  <c r="V22" i="1"/>
  <c r="AD22" i="1"/>
  <c r="V16" i="1"/>
  <c r="AD16" i="1"/>
  <c r="V33" i="1"/>
  <c r="AD33" i="1"/>
  <c r="AD17" i="1"/>
  <c r="V35" i="1"/>
  <c r="AD35" i="1"/>
  <c r="AD45" i="1"/>
  <c r="V45" i="1"/>
  <c r="AD15" i="1"/>
  <c r="V15" i="1"/>
  <c r="S38" i="1"/>
  <c r="V38" i="1" s="1"/>
  <c r="S24" i="1"/>
  <c r="V24" i="1" s="1"/>
  <c r="AD34" i="1"/>
  <c r="V34" i="1"/>
  <c r="AI1" i="2"/>
  <c r="AJ22" i="2" s="1"/>
  <c r="V30" i="1"/>
  <c r="AD30" i="1"/>
  <c r="S51" i="1"/>
  <c r="V51" i="1" s="1"/>
  <c r="S21" i="531"/>
  <c r="S22" i="531" s="1"/>
  <c r="T21" i="531"/>
  <c r="T22" i="531" s="1"/>
  <c r="Q21" i="531"/>
  <c r="Q22" i="531" s="1"/>
  <c r="P21" i="531"/>
  <c r="P22" i="531" s="1"/>
  <c r="R21" i="531"/>
  <c r="R22" i="531" s="1"/>
  <c r="P46" i="531"/>
  <c r="P47" i="531" s="1"/>
  <c r="P49" i="531" s="1"/>
  <c r="Q46" i="531"/>
  <c r="Q47" i="531" s="1"/>
  <c r="S46" i="531"/>
  <c r="S47" i="531" s="1"/>
  <c r="T46" i="531"/>
  <c r="T47" i="531" s="1"/>
  <c r="R46" i="531"/>
  <c r="R47" i="531" s="1"/>
  <c r="R31" i="531"/>
  <c r="R32" i="531" s="1"/>
  <c r="S31" i="531"/>
  <c r="S32" i="531" s="1"/>
  <c r="T31" i="531"/>
  <c r="T32" i="531" s="1"/>
  <c r="Q31" i="531"/>
  <c r="Q32" i="531" s="1"/>
  <c r="P31" i="531"/>
  <c r="P32" i="531" s="1"/>
  <c r="S46" i="1"/>
  <c r="V46" i="1" s="1"/>
  <c r="S26" i="1"/>
  <c r="V26" i="1" s="1"/>
  <c r="AD44" i="1"/>
  <c r="V44" i="1"/>
  <c r="S48" i="1"/>
  <c r="V48" i="1" s="1"/>
  <c r="S28" i="1"/>
  <c r="V28" i="1" s="1"/>
  <c r="S50" i="1"/>
  <c r="V50" i="1" s="1"/>
  <c r="S21" i="1"/>
  <c r="V21" i="1" s="1"/>
  <c r="V9" i="1" s="1"/>
  <c r="S52" i="1"/>
  <c r="V52" i="1" s="1"/>
  <c r="W1" i="2"/>
  <c r="S29" i="1"/>
  <c r="V29" i="1" s="1"/>
  <c r="V1" i="2"/>
  <c r="J7" i="1"/>
  <c r="AD29" i="1"/>
  <c r="AD42" i="1"/>
  <c r="V42" i="1"/>
  <c r="AD21" i="1"/>
  <c r="AD48" i="1"/>
  <c r="AD28" i="1"/>
  <c r="AD54" i="1"/>
  <c r="V54" i="1"/>
  <c r="AD50" i="1"/>
  <c r="AD12" i="1"/>
  <c r="V12" i="1"/>
  <c r="P10" i="1"/>
  <c r="P7" i="1"/>
  <c r="AD13" i="1"/>
  <c r="V13" i="1"/>
  <c r="AD14" i="1"/>
  <c r="V14" i="1"/>
  <c r="AD55" i="1"/>
  <c r="V55" i="1"/>
  <c r="AD46" i="1"/>
  <c r="AD24" i="1"/>
  <c r="AD51" i="1"/>
  <c r="AD52" i="1"/>
  <c r="AD53" i="1"/>
  <c r="V53" i="1"/>
  <c r="AD38" i="1"/>
  <c r="AD23" i="1"/>
  <c r="V23" i="1"/>
  <c r="AD26" i="1"/>
  <c r="AD32" i="1"/>
  <c r="V32" i="1"/>
  <c r="AD36" i="1"/>
  <c r="V36" i="1"/>
  <c r="AD19" i="1"/>
  <c r="AD41" i="1"/>
  <c r="V41" i="1"/>
  <c r="AD56" i="1"/>
  <c r="V56" i="1"/>
  <c r="AJ9" i="2" l="1"/>
  <c r="AJ18" i="2"/>
  <c r="AJ17" i="2"/>
  <c r="T1" i="1"/>
  <c r="AJ16" i="2"/>
  <c r="AJ15" i="2"/>
  <c r="AJ8" i="2"/>
  <c r="Q36" i="531"/>
  <c r="P36" i="531"/>
  <c r="T36" i="531"/>
  <c r="S36" i="531"/>
  <c r="R36" i="531"/>
  <c r="P51" i="531"/>
  <c r="R49" i="531"/>
  <c r="R51" i="531"/>
  <c r="T51" i="531"/>
  <c r="T49" i="531"/>
  <c r="S51" i="531"/>
  <c r="S49" i="531"/>
  <c r="Q49" i="531"/>
  <c r="Q51" i="531"/>
  <c r="AJ6" i="2"/>
  <c r="AJ24" i="2"/>
  <c r="S7" i="1"/>
  <c r="S10" i="1"/>
  <c r="AJ25" i="2"/>
  <c r="AJ14" i="2"/>
  <c r="AJ13" i="2"/>
  <c r="AJ5" i="2"/>
  <c r="AJ4" i="2"/>
  <c r="AJ12" i="2"/>
  <c r="AJ7" i="2"/>
  <c r="AJ20" i="2"/>
  <c r="AJ11" i="2"/>
  <c r="AJ19" i="2"/>
  <c r="AJ21" i="2"/>
  <c r="AD10" i="1"/>
  <c r="D7" i="1"/>
  <c r="AE6" i="1"/>
  <c r="V6" i="1"/>
  <c r="S6" i="1"/>
  <c r="P6" i="1"/>
  <c r="J6" i="1" l="1"/>
  <c r="D6" i="1" l="1"/>
  <c r="AE5" i="1"/>
  <c r="V5" i="1"/>
  <c r="V7" i="1" s="1"/>
  <c r="S5" i="1"/>
  <c r="P5" i="1"/>
  <c r="AE7" i="1" l="1"/>
  <c r="AD237" i="89"/>
  <c r="X237" i="89"/>
  <c r="AD236" i="89"/>
  <c r="X236" i="89"/>
  <c r="AD235" i="89"/>
  <c r="X235" i="89"/>
  <c r="AD234" i="89"/>
  <c r="X234" i="89"/>
  <c r="AD233" i="89"/>
  <c r="X233" i="89"/>
  <c r="X225" i="89"/>
  <c r="AD225" i="89"/>
  <c r="X224" i="89"/>
  <c r="AD224" i="89"/>
  <c r="X223" i="89"/>
  <c r="AD223" i="89"/>
  <c r="AD226" i="89" s="1"/>
  <c r="AD222" i="89"/>
  <c r="X222" i="89"/>
  <c r="X213" i="89"/>
  <c r="AD213" i="89"/>
  <c r="X212" i="89"/>
  <c r="AD212" i="89"/>
  <c r="AD215" i="89" s="1"/>
  <c r="AD211" i="89"/>
  <c r="X211" i="89"/>
  <c r="X205" i="89"/>
  <c r="AD205" i="89"/>
  <c r="X204" i="89"/>
  <c r="AD204" i="89"/>
  <c r="AD206" i="89" s="1"/>
  <c r="AD203" i="89"/>
  <c r="X203" i="89"/>
  <c r="X197" i="89"/>
  <c r="AD197" i="89"/>
  <c r="X196" i="89"/>
  <c r="AD196" i="89"/>
  <c r="AD198" i="89" s="1"/>
  <c r="AD195" i="89"/>
  <c r="X195" i="89"/>
  <c r="X188" i="89"/>
  <c r="AD188" i="89"/>
  <c r="X187" i="89"/>
  <c r="AD187" i="89"/>
  <c r="AD189" i="89" s="1"/>
  <c r="AD186" i="89"/>
  <c r="X186" i="89"/>
  <c r="X180" i="89"/>
  <c r="AD180" i="89"/>
  <c r="X179" i="89"/>
  <c r="AD179" i="89"/>
  <c r="AD181" i="89" s="1"/>
  <c r="AD178" i="89"/>
  <c r="X178" i="89"/>
  <c r="X171" i="89"/>
  <c r="AD171" i="89"/>
  <c r="X170" i="89"/>
  <c r="AD170" i="89"/>
  <c r="AD172" i="89" s="1"/>
  <c r="AD169" i="89"/>
  <c r="X169" i="89"/>
  <c r="AD160" i="89"/>
  <c r="AD162" i="89" s="1"/>
  <c r="X160" i="89"/>
  <c r="X162" i="89" s="1"/>
  <c r="AD153" i="89"/>
  <c r="AD155" i="89" s="1"/>
  <c r="X153" i="89"/>
  <c r="X145" i="89"/>
  <c r="AD145" i="89"/>
  <c r="AD144" i="89"/>
  <c r="AD146" i="89" s="1"/>
  <c r="X144" i="89"/>
  <c r="X138" i="89"/>
  <c r="AD138" i="89"/>
  <c r="X137" i="89"/>
  <c r="AD137" i="89"/>
  <c r="AD139" i="89" s="1"/>
  <c r="AD136" i="89"/>
  <c r="X136" i="89"/>
  <c r="AD129" i="89"/>
  <c r="AD131" i="89" s="1"/>
  <c r="X129" i="89"/>
  <c r="X131" i="89" s="1"/>
  <c r="X123" i="89"/>
  <c r="AD123" i="89"/>
  <c r="AD122" i="89"/>
  <c r="AD124" i="89" s="1"/>
  <c r="X122" i="89"/>
  <c r="X116" i="89"/>
  <c r="AD116" i="89"/>
  <c r="AD115" i="89"/>
  <c r="AD117" i="89" s="1"/>
  <c r="X115" i="89"/>
  <c r="X109" i="89"/>
  <c r="AD109" i="89"/>
  <c r="AD108" i="89"/>
  <c r="AD110" i="89" s="1"/>
  <c r="X108" i="89"/>
  <c r="X102" i="89"/>
  <c r="AD102" i="89"/>
  <c r="AD101" i="89"/>
  <c r="AD103" i="89" s="1"/>
  <c r="X101" i="89"/>
  <c r="X96" i="89"/>
  <c r="AD96" i="89"/>
  <c r="AD95" i="89"/>
  <c r="AD97" i="89" s="1"/>
  <c r="X95" i="89"/>
  <c r="X90" i="89"/>
  <c r="AD90" i="89"/>
  <c r="AD89" i="89"/>
  <c r="AD91" i="89" s="1"/>
  <c r="X89" i="89"/>
  <c r="X82" i="89"/>
  <c r="AD82" i="89"/>
  <c r="AD81" i="89"/>
  <c r="AD83" i="89" s="1"/>
  <c r="X81" i="89"/>
  <c r="X76" i="89"/>
  <c r="AD76" i="89"/>
  <c r="AD75" i="89"/>
  <c r="AD77" i="89" s="1"/>
  <c r="X75" i="89"/>
  <c r="X69" i="89"/>
  <c r="AD69" i="89"/>
  <c r="AD68" i="89"/>
  <c r="AD70" i="89" s="1"/>
  <c r="X68" i="89"/>
  <c r="X63" i="89"/>
  <c r="AD63" i="89"/>
  <c r="AD62" i="89"/>
  <c r="AD64" i="89" s="1"/>
  <c r="X62" i="89"/>
  <c r="X56" i="89"/>
  <c r="AD56" i="89"/>
  <c r="AD55" i="89"/>
  <c r="AD57" i="89" s="1"/>
  <c r="X55" i="89"/>
  <c r="X50" i="89"/>
  <c r="AD50" i="89"/>
  <c r="AD49" i="89"/>
  <c r="AD51" i="89" s="1"/>
  <c r="X49" i="89"/>
  <c r="X40" i="89"/>
  <c r="AD40" i="89"/>
  <c r="AD39" i="89"/>
  <c r="AD41" i="89" s="1"/>
  <c r="X39" i="89"/>
  <c r="X34" i="89"/>
  <c r="AD34" i="89"/>
  <c r="AD33" i="89"/>
  <c r="AD35" i="89" s="1"/>
  <c r="X33" i="89"/>
  <c r="X27" i="89"/>
  <c r="AD27" i="89"/>
  <c r="AD26" i="89"/>
  <c r="AD28" i="89" s="1"/>
  <c r="X26" i="89"/>
  <c r="X20" i="89"/>
  <c r="AD20" i="89"/>
  <c r="AD19" i="89"/>
  <c r="AD21" i="89" s="1"/>
  <c r="X19" i="89"/>
  <c r="X14" i="89"/>
  <c r="AD14" i="89"/>
  <c r="AD13" i="89"/>
  <c r="AD15" i="89" s="1"/>
  <c r="X13" i="89"/>
  <c r="X8" i="89"/>
  <c r="AD8" i="89"/>
  <c r="AD7" i="89"/>
  <c r="AD9" i="89" s="1"/>
  <c r="X7" i="89"/>
  <c r="R56" i="1"/>
  <c r="O56" i="1"/>
  <c r="O55" i="1"/>
  <c r="R54" i="1"/>
  <c r="U55" i="1"/>
  <c r="O54" i="1"/>
  <c r="R53" i="1"/>
  <c r="U54" i="1"/>
  <c r="U53" i="1"/>
  <c r="O52" i="1"/>
  <c r="R51" i="1"/>
  <c r="U52" i="1"/>
  <c r="O51" i="1"/>
  <c r="U51" i="1"/>
  <c r="O50" i="1"/>
  <c r="R48" i="1"/>
  <c r="U50" i="1"/>
  <c r="O48" i="1"/>
  <c r="R46" i="1"/>
  <c r="U48" i="1"/>
  <c r="O46" i="1"/>
  <c r="U46" i="1"/>
  <c r="O42" i="1"/>
  <c r="R41" i="1"/>
  <c r="U42" i="1"/>
  <c r="O41" i="1"/>
  <c r="R38" i="1"/>
  <c r="U41" i="1"/>
  <c r="O38" i="1"/>
  <c r="R36" i="1"/>
  <c r="U38" i="1"/>
  <c r="O36" i="1"/>
  <c r="R32" i="1"/>
  <c r="U36" i="1"/>
  <c r="O32" i="1"/>
  <c r="R29" i="1"/>
  <c r="U32" i="1"/>
  <c r="O29" i="1"/>
  <c r="R28" i="1"/>
  <c r="U29" i="1"/>
  <c r="O28" i="1"/>
  <c r="R26" i="1"/>
  <c r="U28" i="1"/>
  <c r="O26" i="1"/>
  <c r="R24" i="1"/>
  <c r="U26" i="1"/>
  <c r="O24" i="1"/>
  <c r="R23" i="1"/>
  <c r="U24" i="1"/>
  <c r="O23" i="1"/>
  <c r="R21" i="1"/>
  <c r="U23" i="1"/>
  <c r="O21" i="1"/>
  <c r="U21" i="1"/>
  <c r="R19" i="1"/>
  <c r="O19" i="1"/>
  <c r="U19" i="1"/>
  <c r="R14" i="1"/>
  <c r="O14" i="1"/>
  <c r="U14" i="1"/>
  <c r="R13" i="1"/>
  <c r="O13" i="1"/>
  <c r="U13" i="1"/>
  <c r="R12" i="1"/>
  <c r="W10" i="1"/>
  <c r="O12" i="1"/>
  <c r="U12" i="1"/>
  <c r="V10" i="1"/>
  <c r="B1" i="2" s="1"/>
  <c r="K1" i="2"/>
  <c r="W18" i="1" l="1"/>
  <c r="R18" i="1"/>
  <c r="U18" i="1"/>
  <c r="W47" i="1"/>
  <c r="AH17" i="2"/>
  <c r="AH18" i="2"/>
  <c r="AG18" i="2"/>
  <c r="AG17" i="2"/>
  <c r="AH9" i="2"/>
  <c r="AG9" i="2"/>
  <c r="AH22" i="2"/>
  <c r="AG22" i="2"/>
  <c r="O47" i="1"/>
  <c r="U47" i="1"/>
  <c r="W49" i="1"/>
  <c r="O49" i="1"/>
  <c r="U49" i="1"/>
  <c r="W43" i="1"/>
  <c r="W40" i="1"/>
  <c r="W39" i="1"/>
  <c r="W27" i="1"/>
  <c r="O43" i="1"/>
  <c r="O40" i="1"/>
  <c r="O39" i="1"/>
  <c r="O27" i="1"/>
  <c r="U27" i="1"/>
  <c r="U39" i="1"/>
  <c r="U43" i="1"/>
  <c r="U40" i="1"/>
  <c r="W31" i="1"/>
  <c r="W25" i="1"/>
  <c r="O25" i="1"/>
  <c r="U25" i="1"/>
  <c r="O31" i="1"/>
  <c r="R31" i="1"/>
  <c r="U31" i="1"/>
  <c r="W37" i="1"/>
  <c r="O37" i="1"/>
  <c r="U37" i="1"/>
  <c r="W20" i="1"/>
  <c r="O20" i="1"/>
  <c r="U20" i="1"/>
  <c r="W22" i="1"/>
  <c r="O22" i="1"/>
  <c r="U22" i="1"/>
  <c r="W16" i="1"/>
  <c r="R16" i="1"/>
  <c r="O16" i="1"/>
  <c r="U16" i="1"/>
  <c r="AH23" i="2"/>
  <c r="AG23" i="2"/>
  <c r="R17" i="1"/>
  <c r="W17" i="1"/>
  <c r="W33" i="1"/>
  <c r="O17" i="1"/>
  <c r="U17" i="1"/>
  <c r="R33" i="1"/>
  <c r="O33" i="1"/>
  <c r="U33" i="1"/>
  <c r="W35" i="1"/>
  <c r="R35" i="1"/>
  <c r="O35" i="1"/>
  <c r="U35" i="1"/>
  <c r="W45" i="1"/>
  <c r="R55" i="1"/>
  <c r="O45" i="1"/>
  <c r="U45" i="1"/>
  <c r="R52" i="1"/>
  <c r="U56" i="1"/>
  <c r="AA56" i="1" s="1"/>
  <c r="R50" i="1"/>
  <c r="O53" i="1"/>
  <c r="W15" i="1"/>
  <c r="R15" i="1"/>
  <c r="O15" i="1"/>
  <c r="U15" i="1"/>
  <c r="R30" i="1"/>
  <c r="U9" i="1"/>
  <c r="AH16" i="2"/>
  <c r="AG16" i="2"/>
  <c r="AG15" i="2"/>
  <c r="AH15" i="2"/>
  <c r="AH8" i="2"/>
  <c r="AG8" i="2"/>
  <c r="R34" i="1"/>
  <c r="O34" i="1"/>
  <c r="U34" i="1"/>
  <c r="W34" i="1"/>
  <c r="O30" i="1"/>
  <c r="W30" i="1"/>
  <c r="U30" i="1"/>
  <c r="X103" i="89"/>
  <c r="X110" i="89"/>
  <c r="X146" i="89"/>
  <c r="L17" i="531"/>
  <c r="L16" i="531" s="1"/>
  <c r="K17" i="531"/>
  <c r="I24" i="531" s="1"/>
  <c r="AH6" i="2"/>
  <c r="AG6" i="2"/>
  <c r="R42" i="1"/>
  <c r="R44" i="1"/>
  <c r="O44" i="1"/>
  <c r="X41" i="89"/>
  <c r="X181" i="89"/>
  <c r="X9" i="89"/>
  <c r="X35" i="89"/>
  <c r="X70" i="89"/>
  <c r="X77" i="89"/>
  <c r="X206" i="89"/>
  <c r="X208" i="89" s="1"/>
  <c r="X226" i="89"/>
  <c r="X28" i="89"/>
  <c r="X64" i="89"/>
  <c r="X97" i="89"/>
  <c r="X139" i="89"/>
  <c r="X172" i="89"/>
  <c r="X12" i="89" s="1"/>
  <c r="W44" i="1"/>
  <c r="U44" i="1"/>
  <c r="X21" i="89"/>
  <c r="X57" i="89"/>
  <c r="X91" i="89"/>
  <c r="X124" i="89"/>
  <c r="X198" i="89"/>
  <c r="X200" i="89" s="1"/>
  <c r="X215" i="89"/>
  <c r="X189" i="89"/>
  <c r="X15" i="89"/>
  <c r="X51" i="89"/>
  <c r="X83" i="89"/>
  <c r="X117" i="89"/>
  <c r="X155" i="89"/>
  <c r="AG25" i="2"/>
  <c r="AH25" i="2"/>
  <c r="AG24" i="2"/>
  <c r="AH24" i="2"/>
  <c r="AG21" i="2"/>
  <c r="AH21" i="2"/>
  <c r="AG20" i="2"/>
  <c r="AH20" i="2"/>
  <c r="AG19" i="2"/>
  <c r="AH19" i="2"/>
  <c r="K42" i="531"/>
  <c r="L42" i="531"/>
  <c r="L41" i="531" s="1"/>
  <c r="AG14" i="2"/>
  <c r="AH14" i="2"/>
  <c r="AG13" i="2"/>
  <c r="AH13" i="2"/>
  <c r="AG12" i="2"/>
  <c r="AH12" i="2"/>
  <c r="AG11" i="2"/>
  <c r="AH11" i="2"/>
  <c r="K27" i="531"/>
  <c r="I34" i="531" s="1"/>
  <c r="L27" i="531"/>
  <c r="L26" i="531" s="1"/>
  <c r="AG7" i="2"/>
  <c r="AH7" i="2"/>
  <c r="AG5" i="2"/>
  <c r="AH5" i="2"/>
  <c r="AG4" i="2"/>
  <c r="AH4" i="2"/>
  <c r="K8" i="531"/>
  <c r="L8" i="531"/>
  <c r="J5" i="1"/>
  <c r="AA36" i="1"/>
  <c r="Y36" i="1"/>
  <c r="Z36" i="1"/>
  <c r="Z38" i="1"/>
  <c r="AA38" i="1"/>
  <c r="Y38" i="1"/>
  <c r="Z24" i="1"/>
  <c r="Y24" i="1"/>
  <c r="AA24" i="1"/>
  <c r="AA13" i="1"/>
  <c r="Y13" i="1"/>
  <c r="Z13" i="1"/>
  <c r="Z46" i="1"/>
  <c r="AA46" i="1"/>
  <c r="Y46" i="1"/>
  <c r="Z48" i="1"/>
  <c r="AA48" i="1"/>
  <c r="Y48" i="1"/>
  <c r="AA51" i="1"/>
  <c r="Y51" i="1"/>
  <c r="Z51" i="1"/>
  <c r="AA52" i="1"/>
  <c r="Z52" i="1"/>
  <c r="Y52" i="1"/>
  <c r="AA41" i="1"/>
  <c r="Z41" i="1"/>
  <c r="Y41" i="1"/>
  <c r="Z54" i="1"/>
  <c r="AA54" i="1"/>
  <c r="Y54" i="1"/>
  <c r="Z29" i="1"/>
  <c r="AA29" i="1"/>
  <c r="Y29" i="1"/>
  <c r="Z23" i="1"/>
  <c r="AA23" i="1"/>
  <c r="Y23" i="1"/>
  <c r="AA12" i="1"/>
  <c r="Y12" i="1"/>
  <c r="Z12" i="1"/>
  <c r="W56" i="1"/>
  <c r="W55" i="1"/>
  <c r="W54" i="1"/>
  <c r="W53" i="1"/>
  <c r="W52" i="1"/>
  <c r="W51" i="1"/>
  <c r="W50" i="1"/>
  <c r="W48" i="1"/>
  <c r="W46" i="1"/>
  <c r="W42" i="1"/>
  <c r="W41" i="1"/>
  <c r="W38" i="1"/>
  <c r="W36" i="1"/>
  <c r="W32" i="1"/>
  <c r="W29" i="1"/>
  <c r="W28" i="1"/>
  <c r="W26" i="1"/>
  <c r="W24" i="1"/>
  <c r="W23" i="1"/>
  <c r="W21" i="1"/>
  <c r="W19" i="1"/>
  <c r="W14" i="1"/>
  <c r="W13" i="1"/>
  <c r="W12" i="1"/>
  <c r="AA26" i="1"/>
  <c r="Z26" i="1"/>
  <c r="Y26" i="1"/>
  <c r="AA42" i="1"/>
  <c r="Z42" i="1"/>
  <c r="Y42" i="1"/>
  <c r="Z28" i="1"/>
  <c r="Y28" i="1"/>
  <c r="AA28" i="1"/>
  <c r="Z32" i="1"/>
  <c r="AA32" i="1"/>
  <c r="Y32" i="1"/>
  <c r="AA50" i="1"/>
  <c r="Z50" i="1"/>
  <c r="Y50" i="1"/>
  <c r="Y53" i="1"/>
  <c r="Z53" i="1"/>
  <c r="AA53" i="1"/>
  <c r="AA14" i="1"/>
  <c r="Z14" i="1"/>
  <c r="Y14" i="1"/>
  <c r="AA55" i="1"/>
  <c r="Y55" i="1"/>
  <c r="Z55" i="1"/>
  <c r="Z19" i="1"/>
  <c r="AA19" i="1"/>
  <c r="Y19" i="1"/>
  <c r="AA21" i="1"/>
  <c r="Y21" i="1"/>
  <c r="Z21" i="1"/>
  <c r="AA18" i="1" l="1"/>
  <c r="Y18" i="1"/>
  <c r="Z18" i="1"/>
  <c r="Y47" i="1"/>
  <c r="Z47" i="1"/>
  <c r="AA47" i="1"/>
  <c r="AA49" i="1"/>
  <c r="Z49" i="1"/>
  <c r="Y49" i="1"/>
  <c r="AA40" i="1"/>
  <c r="Z40" i="1"/>
  <c r="Y40" i="1"/>
  <c r="AA43" i="1"/>
  <c r="Z43" i="1"/>
  <c r="Y43" i="1"/>
  <c r="AA39" i="1"/>
  <c r="Z39" i="1"/>
  <c r="Y39" i="1"/>
  <c r="AA27" i="1"/>
  <c r="Z27" i="1"/>
  <c r="Y27" i="1"/>
  <c r="AA31" i="1"/>
  <c r="Y31" i="1"/>
  <c r="Z31" i="1"/>
  <c r="AA25" i="1"/>
  <c r="Z25" i="1"/>
  <c r="Y25" i="1"/>
  <c r="Y37" i="1"/>
  <c r="AA37" i="1"/>
  <c r="Z37" i="1"/>
  <c r="R1" i="1"/>
  <c r="Y20" i="1"/>
  <c r="Z20" i="1"/>
  <c r="AA20" i="1"/>
  <c r="AA22" i="1"/>
  <c r="Y22" i="1"/>
  <c r="Z22" i="1"/>
  <c r="Y16" i="1"/>
  <c r="AA16" i="1"/>
  <c r="Z16" i="1"/>
  <c r="AA33" i="1"/>
  <c r="Z33" i="1"/>
  <c r="Y33" i="1"/>
  <c r="AA17" i="1"/>
  <c r="Z17" i="1"/>
  <c r="Y17" i="1"/>
  <c r="Y56" i="1"/>
  <c r="Z56" i="1"/>
  <c r="AA35" i="1"/>
  <c r="Y35" i="1"/>
  <c r="Z35" i="1"/>
  <c r="AA45" i="1"/>
  <c r="Y45" i="1"/>
  <c r="Z45" i="1"/>
  <c r="AA15" i="1"/>
  <c r="Y15" i="1"/>
  <c r="Z15" i="1"/>
  <c r="U6" i="1"/>
  <c r="W6" i="1" s="1"/>
  <c r="AA34" i="1"/>
  <c r="Y34" i="1"/>
  <c r="Z34" i="1"/>
  <c r="Y30" i="1"/>
  <c r="AA30" i="1"/>
  <c r="Z30" i="1"/>
  <c r="R24" i="531"/>
  <c r="T24" i="531"/>
  <c r="P24" i="531"/>
  <c r="S24" i="531"/>
  <c r="Q24" i="531"/>
  <c r="R6" i="1"/>
  <c r="P34" i="531"/>
  <c r="Q34" i="531"/>
  <c r="R34" i="531"/>
  <c r="T34" i="531"/>
  <c r="S34" i="531"/>
  <c r="O6" i="1"/>
  <c r="AA44" i="1"/>
  <c r="Y44" i="1"/>
  <c r="Z44" i="1"/>
  <c r="U5" i="1"/>
  <c r="R5" i="1"/>
  <c r="O5" i="1"/>
  <c r="U8" i="1" l="1"/>
  <c r="AA6" i="1"/>
  <c r="AB6" i="1" s="1"/>
  <c r="R8" i="1"/>
  <c r="AA5" i="1"/>
  <c r="AB5" i="1" s="1"/>
  <c r="Z10" i="1"/>
  <c r="O8" i="1"/>
  <c r="R7" i="1"/>
  <c r="W5" i="1"/>
  <c r="U7" i="1"/>
  <c r="U10" i="1" s="1"/>
  <c r="O7" i="1"/>
  <c r="D5" i="1"/>
  <c r="AA8" i="1" l="1"/>
  <c r="AA7" i="1"/>
  <c r="AA10" i="1" s="1"/>
  <c r="W7" i="1"/>
  <c r="J4" i="1"/>
  <c r="D4" i="1" l="1"/>
  <c r="X6" i="1" l="1"/>
  <c r="Y6" i="1" s="1"/>
  <c r="Z5" i="1"/>
  <c r="Z6" i="1"/>
  <c r="X5" i="1"/>
  <c r="Y5" i="1" s="1"/>
  <c r="AD3" i="1"/>
  <c r="U3" i="1"/>
  <c r="Y7" i="1" l="1"/>
  <c r="Z7" i="1"/>
  <c r="J3" i="1" l="1"/>
  <c r="D3" i="1" l="1"/>
  <c r="W2" i="1" l="1"/>
  <c r="J2" i="1" l="1"/>
  <c r="D2" i="1" l="1"/>
  <c r="M1" i="1"/>
  <c r="S1" i="1" l="1"/>
  <c r="L6" i="1" s="1"/>
  <c r="J1" i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K9" i="529"/>
  <c r="M9" i="529" s="1"/>
  <c r="K8" i="529"/>
  <c r="M8" i="529" s="1"/>
  <c r="M6" i="529"/>
  <c r="K6" i="529"/>
  <c r="K5" i="529"/>
  <c r="M5" i="529" s="1"/>
  <c r="Q48" i="446"/>
  <c r="Q47" i="446"/>
  <c r="Q46" i="446"/>
  <c r="Q45" i="446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U55" i="338" a="1"/>
  <c r="V55" i="338" a="1"/>
  <c r="V55" i="338" l="1"/>
  <c r="U55" i="338"/>
  <c r="AD55" i="338"/>
  <c r="AB55" i="338"/>
  <c r="Z55" i="338"/>
  <c r="L55" i="338" a="1"/>
  <c r="I54" i="338" a="1"/>
  <c r="L55" i="338" l="1"/>
  <c r="N55" i="338"/>
  <c r="I54" i="338"/>
  <c r="J54" i="338" a="1"/>
  <c r="G54" i="338" a="1"/>
  <c r="J54" i="338" l="1"/>
  <c r="G54" i="338"/>
  <c r="A54" i="338"/>
  <c r="H54" i="338" a="1"/>
  <c r="H54" i="338" l="1"/>
  <c r="O54" i="338"/>
  <c r="K54" i="338"/>
  <c r="V54" i="338" a="1"/>
  <c r="U54" i="338" a="1"/>
  <c r="L54" i="338" a="1"/>
  <c r="L54" i="338" l="1"/>
  <c r="U54" i="338"/>
  <c r="V54" i="338"/>
  <c r="AD54" i="338"/>
  <c r="AB54" i="338"/>
  <c r="Z54" i="338"/>
  <c r="I53" i="338" a="1"/>
  <c r="N54" i="338" l="1"/>
  <c r="I53" i="338"/>
  <c r="J53" i="338" a="1"/>
  <c r="G53" i="338" a="1"/>
  <c r="J53" i="338" l="1"/>
  <c r="G53" i="338"/>
  <c r="A53" i="338"/>
  <c r="H53" i="338" a="1"/>
  <c r="H53" i="338" l="1"/>
  <c r="O53" i="338"/>
  <c r="K53" i="338"/>
  <c r="V53" i="338" a="1"/>
  <c r="U53" i="338" a="1"/>
  <c r="L53" i="338" a="1"/>
  <c r="L53" i="338" l="1"/>
  <c r="U53" i="338"/>
  <c r="V53" i="338"/>
  <c r="AD53" i="338"/>
  <c r="AB53" i="338"/>
  <c r="Z53" i="338"/>
  <c r="I52" i="338" a="1"/>
  <c r="N53" i="338" l="1"/>
  <c r="I52" i="338"/>
  <c r="J52" i="338" a="1"/>
  <c r="G52" i="338" a="1"/>
  <c r="J52" i="338" l="1"/>
  <c r="G52" i="338"/>
  <c r="A52" i="338"/>
  <c r="H52" i="338" a="1"/>
  <c r="H52" i="338" l="1"/>
  <c r="O52" i="338"/>
  <c r="K52" i="338"/>
  <c r="L52" i="338" a="1"/>
  <c r="U52" i="338" a="1"/>
  <c r="V52" i="338" a="1"/>
  <c r="V52" i="338" l="1"/>
  <c r="U52" i="338"/>
  <c r="L52" i="338"/>
  <c r="AD52" i="338"/>
  <c r="AB52" i="338"/>
  <c r="Z52" i="338"/>
  <c r="I51" i="338" a="1"/>
  <c r="N52" i="338" l="1"/>
  <c r="I51" i="338"/>
  <c r="J51" i="338" a="1"/>
  <c r="G51" i="338" a="1"/>
  <c r="J51" i="338" l="1"/>
  <c r="G51" i="338"/>
  <c r="A51" i="338"/>
  <c r="H51" i="338" a="1"/>
  <c r="H51" i="338" l="1"/>
  <c r="O51" i="338"/>
  <c r="K51" i="338"/>
  <c r="U51" i="338" a="1"/>
  <c r="V51" i="338" a="1"/>
  <c r="L51" i="338" a="1"/>
  <c r="L51" i="338" l="1"/>
  <c r="V51" i="338"/>
  <c r="U51" i="338"/>
  <c r="AD51" i="338"/>
  <c r="AB51" i="338"/>
  <c r="Z51" i="338"/>
  <c r="I50" i="338" a="1"/>
  <c r="N51" i="338" l="1"/>
  <c r="I50" i="338"/>
  <c r="J50" i="338" a="1"/>
  <c r="G50" i="338" a="1"/>
  <c r="J50" i="338" l="1"/>
  <c r="G50" i="338"/>
  <c r="A50" i="338"/>
  <c r="H50" i="338" a="1"/>
  <c r="H50" i="338" l="1"/>
  <c r="O50" i="338"/>
  <c r="K50" i="338"/>
  <c r="L50" i="338" a="1"/>
  <c r="U50" i="338" a="1"/>
  <c r="V50" i="338" a="1"/>
  <c r="V50" i="338" l="1"/>
  <c r="U50" i="338"/>
  <c r="L50" i="338"/>
  <c r="AB50" i="338"/>
  <c r="AD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O49" i="338"/>
  <c r="K49" i="338"/>
  <c r="L49" i="338" a="1"/>
  <c r="V49" i="338" a="1"/>
  <c r="U49" i="338" a="1"/>
  <c r="U49" i="338" l="1"/>
  <c r="V49" i="338"/>
  <c r="L49" i="338"/>
  <c r="AD49" i="338"/>
  <c r="AB49" i="338"/>
  <c r="Z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O48" i="338"/>
  <c r="K48" i="338"/>
  <c r="L48" i="338" a="1"/>
  <c r="U48" i="338" a="1"/>
  <c r="V48" i="338" a="1"/>
  <c r="V48" i="338" l="1"/>
  <c r="U48" i="338"/>
  <c r="L48" i="338"/>
  <c r="AD48" i="338"/>
  <c r="AB48" i="338"/>
  <c r="Z48" i="338"/>
  <c r="I47" i="338" a="1"/>
  <c r="N48" i="338" l="1"/>
  <c r="I47" i="338"/>
  <c r="J47" i="338" a="1"/>
  <c r="G47" i="338" a="1"/>
  <c r="J47" i="338" l="1"/>
  <c r="G47" i="338"/>
  <c r="A47" i="338"/>
  <c r="H47" i="338" a="1"/>
  <c r="H47" i="338" l="1"/>
  <c r="O47" i="338"/>
  <c r="K47" i="338"/>
  <c r="L47" i="338" a="1"/>
  <c r="V47" i="338" a="1"/>
  <c r="U47" i="338" a="1"/>
  <c r="U47" i="338" l="1"/>
  <c r="V47" i="338"/>
  <c r="L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L46" i="338" a="1"/>
  <c r="U46" i="338" a="1"/>
  <c r="V46" i="338" a="1"/>
  <c r="V46" i="338" l="1"/>
  <c r="U46" i="338"/>
  <c r="L46" i="338"/>
  <c r="AD46" i="338"/>
  <c r="AB46" i="338"/>
  <c r="Z46" i="338"/>
  <c r="I45" i="338" a="1"/>
  <c r="N46" i="338" l="1"/>
  <c r="I45" i="338"/>
  <c r="J45" i="338" a="1"/>
  <c r="G45" i="338" a="1"/>
  <c r="J45" i="338" l="1"/>
  <c r="G45" i="338"/>
  <c r="A45" i="338"/>
  <c r="H45" i="338" a="1"/>
  <c r="H45" i="338" l="1"/>
  <c r="O45" i="338"/>
  <c r="K45" i="338"/>
  <c r="L45" i="338" a="1"/>
  <c r="U45" i="338" a="1"/>
  <c r="V45" i="338" a="1"/>
  <c r="V45" i="338" l="1"/>
  <c r="U45" i="338"/>
  <c r="L45" i="338"/>
  <c r="AD45" i="338"/>
  <c r="AB45" i="338"/>
  <c r="Z45" i="338"/>
  <c r="I44" i="338" a="1"/>
  <c r="N45" i="338" l="1"/>
  <c r="I44" i="338"/>
  <c r="J44" i="338" a="1"/>
  <c r="G44" i="338" a="1"/>
  <c r="J44" i="338" l="1"/>
  <c r="G44" i="338"/>
  <c r="A44" i="338"/>
  <c r="H44" i="338" a="1"/>
  <c r="H44" i="338" l="1"/>
  <c r="O44" i="338"/>
  <c r="K44" i="338"/>
  <c r="L44" i="338" a="1"/>
  <c r="U44" i="338" a="1"/>
  <c r="V44" i="338" a="1"/>
  <c r="V44" i="338" l="1"/>
  <c r="U44" i="338"/>
  <c r="L44" i="338"/>
  <c r="AD44" i="338"/>
  <c r="AB44" i="338"/>
  <c r="Z44" i="338"/>
  <c r="N44" i="338" l="1"/>
  <c r="O42" i="338"/>
  <c r="I42" i="338" a="1"/>
  <c r="I42" i="338" l="1"/>
  <c r="J42" i="338" a="1"/>
  <c r="G42" i="338" a="1"/>
  <c r="J42" i="338" l="1"/>
  <c r="G42" i="338"/>
  <c r="H42" i="338" a="1"/>
  <c r="H42" i="338" l="1"/>
  <c r="K42" i="338"/>
  <c r="L42" i="338" a="1"/>
  <c r="U42" i="338" a="1"/>
  <c r="V42" i="338" a="1"/>
  <c r="V42" i="338" l="1"/>
  <c r="U42" i="338"/>
  <c r="L42" i="338"/>
  <c r="AD42" i="338"/>
  <c r="AB42" i="338"/>
  <c r="Z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L41" i="338" a="1"/>
  <c r="V41" i="338" a="1"/>
  <c r="U41" i="338" a="1"/>
  <c r="U41" i="338" l="1"/>
  <c r="V41" i="338"/>
  <c r="L41" i="338"/>
  <c r="AD41" i="338"/>
  <c r="AB41" i="338"/>
  <c r="Z41" i="338"/>
  <c r="I40" i="338" a="1"/>
  <c r="N41" i="338" l="1"/>
  <c r="I40" i="338"/>
  <c r="J40" i="338" a="1"/>
  <c r="G40" i="338" a="1"/>
  <c r="J40" i="338" l="1"/>
  <c r="G40" i="338"/>
  <c r="A40" i="338"/>
  <c r="H40" i="338" a="1"/>
  <c r="H40" i="338" l="1"/>
  <c r="O40" i="338"/>
  <c r="K40" i="338"/>
  <c r="V40" i="338" a="1"/>
  <c r="U40" i="338" a="1"/>
  <c r="L40" i="338" a="1"/>
  <c r="L40" i="338" l="1"/>
  <c r="U40" i="338"/>
  <c r="V40" i="338"/>
  <c r="AD40" i="338"/>
  <c r="Z40" i="338"/>
  <c r="AB40" i="338"/>
  <c r="I39" i="338" a="1"/>
  <c r="N40" i="338" l="1"/>
  <c r="I39" i="338"/>
  <c r="J39" i="338" a="1"/>
  <c r="G39" i="338" a="1"/>
  <c r="J39" i="338" l="1"/>
  <c r="G39" i="338"/>
  <c r="A39" i="338"/>
  <c r="H39" i="338" a="1"/>
  <c r="H39" i="338" l="1"/>
  <c r="O39" i="338"/>
  <c r="K39" i="338"/>
  <c r="V39" i="338" a="1"/>
  <c r="U39" i="338" a="1"/>
  <c r="L39" i="338" a="1"/>
  <c r="L39" i="338" l="1"/>
  <c r="U39" i="338"/>
  <c r="V39" i="338"/>
  <c r="AD39" i="338"/>
  <c r="Z39" i="338"/>
  <c r="AB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U38" i="338" a="1"/>
  <c r="V38" i="338" a="1"/>
  <c r="L38" i="338" a="1"/>
  <c r="L38" i="338" l="1"/>
  <c r="V38" i="338"/>
  <c r="U38" i="338"/>
  <c r="AD38" i="338"/>
  <c r="AB38" i="338"/>
  <c r="Z38" i="338"/>
  <c r="I37" i="338" a="1"/>
  <c r="N38" i="338" l="1"/>
  <c r="I37" i="338"/>
  <c r="J37" i="338" a="1"/>
  <c r="G37" i="338" a="1"/>
  <c r="J37" i="338" l="1"/>
  <c r="G37" i="338"/>
  <c r="A37" i="338"/>
  <c r="H37" i="338" a="1"/>
  <c r="H37" i="338" l="1"/>
  <c r="O37" i="338"/>
  <c r="K37" i="338"/>
  <c r="V37" i="338" a="1"/>
  <c r="U37" i="338" a="1"/>
  <c r="L37" i="338" a="1"/>
  <c r="L37" i="338" l="1"/>
  <c r="U37" i="338"/>
  <c r="V37" i="338"/>
  <c r="AD37" i="338"/>
  <c r="AB37" i="338"/>
  <c r="Z37" i="338"/>
  <c r="I36" i="338" a="1"/>
  <c r="N37" i="338" l="1"/>
  <c r="I36" i="338"/>
  <c r="J36" i="338" a="1"/>
  <c r="G36" i="338" a="1"/>
  <c r="J36" i="338" l="1"/>
  <c r="G36" i="338"/>
  <c r="A36" i="338"/>
  <c r="H36" i="338" a="1"/>
  <c r="H36" i="338" l="1"/>
  <c r="O36" i="338"/>
  <c r="K36" i="338"/>
  <c r="L36" i="338" a="1"/>
  <c r="V36" i="338" a="1"/>
  <c r="U36" i="338" a="1"/>
  <c r="U36" i="338" l="1"/>
  <c r="V36" i="338"/>
  <c r="L36" i="338"/>
  <c r="AD36" i="338"/>
  <c r="AB36" i="338"/>
  <c r="Z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U35" i="338" a="1"/>
  <c r="V35" i="338" a="1"/>
  <c r="L35" i="338" a="1"/>
  <c r="L35" i="338" l="1"/>
  <c r="V35" i="338"/>
  <c r="U35" i="338"/>
  <c r="AD35" i="338"/>
  <c r="AB35" i="338"/>
  <c r="Z35" i="338"/>
  <c r="I34" i="338" a="1"/>
  <c r="N35" i="338" l="1"/>
  <c r="I34" i="338"/>
  <c r="J34" i="338" a="1"/>
  <c r="G34" i="338" a="1"/>
  <c r="J34" i="338" l="1"/>
  <c r="G34" i="338"/>
  <c r="A34" i="338"/>
  <c r="H34" i="338" a="1"/>
  <c r="H34" i="338" l="1"/>
  <c r="O34" i="338"/>
  <c r="K34" i="338"/>
  <c r="L34" i="338" a="1"/>
  <c r="V34" i="338" a="1"/>
  <c r="U34" i="338" a="1"/>
  <c r="U34" i="338" l="1"/>
  <c r="V34" i="338"/>
  <c r="L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L33" i="338" a="1"/>
  <c r="U33" i="338" a="1"/>
  <c r="V33" i="338" a="1"/>
  <c r="V33" i="338" l="1"/>
  <c r="U33" i="338"/>
  <c r="L33" i="338"/>
  <c r="AD33" i="338"/>
  <c r="AB33" i="338"/>
  <c r="Z33" i="338"/>
  <c r="I32" i="338" a="1"/>
  <c r="N33" i="338" l="1"/>
  <c r="I32" i="338"/>
  <c r="J32" i="338" a="1"/>
  <c r="G32" i="338" a="1"/>
  <c r="J32" i="338" l="1"/>
  <c r="G32" i="338"/>
  <c r="A32" i="338"/>
  <c r="H32" i="338" a="1"/>
  <c r="H32" i="338" l="1"/>
  <c r="O32" i="338"/>
  <c r="K32" i="338"/>
  <c r="L32" i="338" a="1"/>
  <c r="V32" i="338" a="1"/>
  <c r="U32" i="338" a="1"/>
  <c r="U32" i="338" l="1"/>
  <c r="V32" i="338"/>
  <c r="L32" i="338"/>
  <c r="AD32" i="338"/>
  <c r="AB32" i="338"/>
  <c r="Z32" i="338"/>
  <c r="I31" i="338" a="1"/>
  <c r="N32" i="338" l="1"/>
  <c r="I31" i="338"/>
  <c r="J31" i="338" a="1"/>
  <c r="G31" i="338" a="1"/>
  <c r="J31" i="338" l="1"/>
  <c r="G31" i="338"/>
  <c r="A31" i="338"/>
  <c r="H31" i="338" a="1"/>
  <c r="H31" i="338" l="1"/>
  <c r="O31" i="338"/>
  <c r="K31" i="338"/>
  <c r="L31" i="338" a="1"/>
  <c r="V31" i="338" a="1"/>
  <c r="U31" i="338" a="1"/>
  <c r="U31" i="338" l="1"/>
  <c r="V31" i="338"/>
  <c r="L31" i="338"/>
  <c r="AD31" i="338"/>
  <c r="AB31" i="338"/>
  <c r="Z31" i="338"/>
  <c r="I30" i="338" a="1"/>
  <c r="N31" i="338" l="1"/>
  <c r="I30" i="338"/>
  <c r="J30" i="338" a="1"/>
  <c r="G30" i="338" a="1"/>
  <c r="J30" i="338" l="1"/>
  <c r="G30" i="338"/>
  <c r="A30" i="338"/>
  <c r="H30" i="338" a="1"/>
  <c r="H30" i="338" l="1"/>
  <c r="O30" i="338"/>
  <c r="K30" i="338"/>
  <c r="U30" i="338" a="1"/>
  <c r="V30" i="338" a="1"/>
  <c r="L30" i="338" a="1"/>
  <c r="L30" i="338" l="1"/>
  <c r="V30" i="338"/>
  <c r="U30" i="338"/>
  <c r="AD30" i="338"/>
  <c r="AB30" i="338"/>
  <c r="Z30" i="338"/>
  <c r="I29" i="338" a="1"/>
  <c r="N30" i="338" l="1"/>
  <c r="I29" i="338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V29" i="338" a="1"/>
  <c r="U29" i="338" a="1"/>
  <c r="L29" i="338" a="1"/>
  <c r="L29" i="338" l="1"/>
  <c r="U29" i="338"/>
  <c r="V29" i="338"/>
  <c r="AD29" i="338"/>
  <c r="AB29" i="338"/>
  <c r="Z29" i="338"/>
  <c r="N29" i="338" l="1"/>
  <c r="O18" i="338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V18" i="338" a="1"/>
  <c r="U18" i="338" a="1"/>
  <c r="L18" i="338" a="1"/>
  <c r="L18" i="338" l="1"/>
  <c r="U18" i="338"/>
  <c r="V18" i="338"/>
  <c r="AD18" i="338"/>
  <c r="AB18" i="338"/>
  <c r="Z18" i="338"/>
  <c r="I17" i="338" a="1"/>
  <c r="N18" i="338" l="1"/>
  <c r="I17" i="338"/>
  <c r="J17" i="338" a="1"/>
  <c r="G17" i="338" a="1"/>
  <c r="J17" i="338" l="1"/>
  <c r="G17" i="338"/>
  <c r="A17" i="338"/>
  <c r="H17" i="338" a="1"/>
  <c r="H17" i="338" l="1"/>
  <c r="O17" i="338"/>
  <c r="K17" i="338"/>
  <c r="L17" i="338" a="1"/>
  <c r="V17" i="338" a="1"/>
  <c r="U17" i="338" a="1"/>
  <c r="U17" i="338" l="1"/>
  <c r="V17" i="338"/>
  <c r="L17" i="338"/>
  <c r="AD17" i="338"/>
  <c r="AB17" i="338"/>
  <c r="Z17" i="338"/>
  <c r="I16" i="338" a="1"/>
  <c r="N17" i="338" l="1"/>
  <c r="I16" i="338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U16" i="338" a="1"/>
  <c r="V16" i="338" a="1"/>
  <c r="L16" i="338" a="1"/>
  <c r="L16" i="338" l="1"/>
  <c r="V16" i="338"/>
  <c r="U16" i="338"/>
  <c r="AD16" i="338"/>
  <c r="AB16" i="338"/>
  <c r="Z16" i="338"/>
  <c r="I15" i="338" a="1"/>
  <c r="N16" i="338" l="1"/>
  <c r="I15" i="338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V15" i="338" a="1"/>
  <c r="U15" i="338" a="1"/>
  <c r="L15" i="338" a="1"/>
  <c r="L15" i="338" l="1"/>
  <c r="U15" i="338"/>
  <c r="V15" i="338"/>
  <c r="AD15" i="338"/>
  <c r="AB15" i="338"/>
  <c r="Z15" i="338"/>
  <c r="N15" i="338" l="1"/>
  <c r="AG14" i="338"/>
  <c r="I14" i="338" a="1"/>
  <c r="I14" i="338" l="1"/>
  <c r="J14" i="338" a="1"/>
  <c r="J14" i="338" l="1"/>
  <c r="AT14" i="338"/>
  <c r="G14" i="338" a="1"/>
  <c r="G14" i="338" l="1"/>
  <c r="D14" i="338"/>
  <c r="A14" i="338"/>
  <c r="H14" i="338" a="1"/>
  <c r="H14" i="338" l="1"/>
  <c r="O14" i="338"/>
  <c r="K14" i="338"/>
  <c r="L14" i="338" a="1"/>
  <c r="V14" i="338" a="1"/>
  <c r="U14" i="338" a="1"/>
  <c r="U14" i="338" l="1"/>
  <c r="V14" i="338"/>
  <c r="L14" i="338"/>
  <c r="AD14" i="338"/>
  <c r="AB14" i="338"/>
  <c r="Z14" i="338"/>
  <c r="I13" i="338" a="1"/>
  <c r="N14" i="338" l="1"/>
  <c r="I13" i="338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L13" i="338" a="1"/>
  <c r="V13" i="338" a="1"/>
  <c r="U13" i="338" a="1"/>
  <c r="U13" i="338" l="1"/>
  <c r="V13" i="338"/>
  <c r="L13" i="338"/>
  <c r="AD13" i="338"/>
  <c r="AB13" i="338"/>
  <c r="Z13" i="338"/>
  <c r="I12" i="338" a="1"/>
  <c r="N13" i="338" l="1"/>
  <c r="I12" i="338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V12" i="338" a="1"/>
  <c r="U12" i="338" a="1"/>
  <c r="L12" i="338" a="1"/>
  <c r="L12" i="338" l="1"/>
  <c r="U12" i="338"/>
  <c r="V12" i="338"/>
  <c r="AD12" i="338"/>
  <c r="AB12" i="338"/>
  <c r="Z12" i="338"/>
  <c r="I11" i="338" a="1"/>
  <c r="N12" i="338" l="1"/>
  <c r="I11" i="338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V10" i="338" a="1"/>
  <c r="U10" i="338" a="1"/>
  <c r="L10" i="338" a="1"/>
  <c r="L10" i="338" l="1"/>
  <c r="U10" i="338"/>
  <c r="V10" i="338"/>
  <c r="AD10" i="338"/>
  <c r="AB10" i="338"/>
  <c r="Z10" i="338"/>
  <c r="I9" i="338" a="1"/>
  <c r="N10" i="338" l="1"/>
  <c r="I9" i="338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L9" i="338" a="1"/>
  <c r="V9" i="338" a="1"/>
  <c r="U9" i="338" a="1"/>
  <c r="U9" i="338" l="1"/>
  <c r="V9" i="338"/>
  <c r="L9" i="338"/>
  <c r="AD9" i="338"/>
  <c r="AB9" i="338"/>
  <c r="Z9" i="338"/>
  <c r="I8" i="338" a="1"/>
  <c r="N9" i="338" l="1"/>
  <c r="I8" i="338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H8" i="338" a="1"/>
  <c r="AU50" i="338" a="1"/>
  <c r="AU13" i="338" a="1"/>
  <c r="AU18" i="338" a="1"/>
  <c r="AP41" i="338" a="1"/>
  <c r="AP47" i="338" a="1"/>
  <c r="AU9" i="338" a="1"/>
  <c r="AU41" i="338" a="1"/>
  <c r="AU52" i="338" a="1"/>
  <c r="AP51" i="338" a="1"/>
  <c r="AP35" i="338" a="1"/>
  <c r="AP34" i="338" a="1"/>
  <c r="AU35" i="338" a="1"/>
  <c r="AP8" i="338" a="1"/>
  <c r="AP44" i="338" a="1"/>
  <c r="AP52" i="338" a="1"/>
  <c r="AU53" i="338" a="1"/>
  <c r="AU54" i="338" a="1"/>
  <c r="AU16" i="338" a="1"/>
  <c r="AP54" i="338" a="1"/>
  <c r="AU48" i="338" a="1"/>
  <c r="AP38" i="338" a="1"/>
  <c r="AU11" i="338" a="1"/>
  <c r="AP45" i="338" a="1"/>
  <c r="AP9" i="338" a="1"/>
  <c r="AU45" i="338" a="1"/>
  <c r="AP15" i="338" a="1"/>
  <c r="AP36" i="338" a="1"/>
  <c r="AP13" i="338" a="1"/>
  <c r="AP46" i="338" a="1"/>
  <c r="AP12" i="338" a="1"/>
  <c r="AU47" i="338" a="1"/>
  <c r="AP30" i="338" a="1"/>
  <c r="AU46" i="338" a="1"/>
  <c r="AU32" i="338" a="1"/>
  <c r="AP11" i="338" a="1"/>
  <c r="AP49" i="338" a="1"/>
  <c r="AU30" i="338" a="1"/>
  <c r="AP32" i="338" a="1"/>
  <c r="AU36" i="338" a="1"/>
  <c r="AP50" i="338" a="1"/>
  <c r="AU15" i="338" a="1"/>
  <c r="AP17" i="338" a="1"/>
  <c r="AP40" i="338" a="1"/>
  <c r="AU42" i="338" a="1"/>
  <c r="AU51" i="338" a="1"/>
  <c r="AU10" i="338" a="1"/>
  <c r="AU44" i="338" a="1"/>
  <c r="AU17" i="338" a="1"/>
  <c r="AP33" i="338" a="1"/>
  <c r="AU37" i="338" a="1"/>
  <c r="AU33" i="338" a="1"/>
  <c r="AP29" i="338" a="1"/>
  <c r="AU12" i="338" a="1"/>
  <c r="AP14" i="338" a="1"/>
  <c r="AP18" i="338" a="1"/>
  <c r="AU8" i="338" a="1"/>
  <c r="AP53" i="338" a="1"/>
  <c r="AU49" i="338" a="1"/>
  <c r="AP48" i="338" a="1"/>
  <c r="AU39" i="338" a="1"/>
  <c r="AP37" i="338" a="1"/>
  <c r="AP42" i="338" a="1"/>
  <c r="AU40" i="338" a="1"/>
  <c r="AP16" i="338" a="1"/>
  <c r="AU29" i="338" a="1"/>
  <c r="AU31" i="338" a="1"/>
  <c r="AP39" i="338" a="1"/>
  <c r="AU34" i="338" a="1"/>
  <c r="AP31" i="338" a="1"/>
  <c r="AP10" i="338" a="1"/>
  <c r="AU38" i="338" a="1"/>
  <c r="H8" i="338" l="1"/>
  <c r="AU18" i="338"/>
  <c r="AU29" i="338"/>
  <c r="AP38" i="338"/>
  <c r="AP54" i="338"/>
  <c r="AP36" i="338"/>
  <c r="AP37" i="338"/>
  <c r="AP41" i="338"/>
  <c r="AU30" i="338"/>
  <c r="AU54" i="338"/>
  <c r="AU40" i="338"/>
  <c r="AP35" i="338"/>
  <c r="AP15" i="338"/>
  <c r="AU39" i="338"/>
  <c r="AP34" i="338"/>
  <c r="AP11" i="338"/>
  <c r="AU49" i="338"/>
  <c r="AU8" i="338"/>
  <c r="AU46" i="338"/>
  <c r="AP29" i="338"/>
  <c r="AP14" i="338"/>
  <c r="AP33" i="338"/>
  <c r="AP13" i="338"/>
  <c r="AP10" i="338"/>
  <c r="AU15" i="338"/>
  <c r="AP8" i="338"/>
  <c r="AP16" i="338"/>
  <c r="AP53" i="338"/>
  <c r="AU17" i="338"/>
  <c r="AP40" i="338"/>
  <c r="AU48" i="338"/>
  <c r="AU50" i="338"/>
  <c r="AP39" i="338"/>
  <c r="AU45" i="338"/>
  <c r="AU38" i="338"/>
  <c r="AP42" i="338"/>
  <c r="AP52" i="338"/>
  <c r="AU52" i="338"/>
  <c r="AP30" i="338"/>
  <c r="AU44" i="338"/>
  <c r="AU32" i="338"/>
  <c r="AU13" i="338"/>
  <c r="AU12" i="338"/>
  <c r="AU11" i="338"/>
  <c r="AU16" i="338"/>
  <c r="AP9" i="338"/>
  <c r="AU41" i="338"/>
  <c r="AP51" i="338"/>
  <c r="AP50" i="338"/>
  <c r="AU31" i="338"/>
  <c r="AP47" i="338"/>
  <c r="AP46" i="338"/>
  <c r="AU42" i="338"/>
  <c r="AP17" i="338"/>
  <c r="AU34" i="338"/>
  <c r="AU53" i="338"/>
  <c r="AP31" i="338"/>
  <c r="AP18" i="338"/>
  <c r="AU9" i="338"/>
  <c r="AU51" i="338"/>
  <c r="AU33" i="338"/>
  <c r="AU37" i="338"/>
  <c r="AU10" i="338"/>
  <c r="AP48" i="338"/>
  <c r="AP49" i="338"/>
  <c r="AP45" i="338"/>
  <c r="AP12" i="338"/>
  <c r="AU35" i="338"/>
  <c r="AP32" i="338"/>
  <c r="AP44" i="338"/>
  <c r="AU36" i="338"/>
  <c r="AU47" i="338"/>
  <c r="O8" i="338"/>
  <c r="AN3" i="338"/>
  <c r="Q2" i="338"/>
  <c r="Q4" i="338" s="1"/>
  <c r="AM3" i="338"/>
  <c r="E4" i="338"/>
  <c r="E1" i="338" s="1"/>
  <c r="K8" i="338"/>
  <c r="U20" i="252"/>
  <c r="V20" i="252"/>
  <c r="L8" i="338" a="1"/>
  <c r="U8" i="338" a="1"/>
  <c r="V8" i="338" a="1"/>
  <c r="Q39" i="338" a="1"/>
  <c r="Q15" i="338" a="1"/>
  <c r="Q17" i="338" a="1"/>
  <c r="Q38" i="338" a="1"/>
  <c r="Q16" i="338" a="1"/>
  <c r="Q44" i="338" a="1"/>
  <c r="Q52" i="338" a="1"/>
  <c r="Q41" i="338" a="1"/>
  <c r="Q47" i="338" a="1"/>
  <c r="Q33" i="338" a="1"/>
  <c r="Q31" i="338" a="1"/>
  <c r="Q51" i="338" a="1"/>
  <c r="Q50" i="338" a="1"/>
  <c r="Q8" i="338" a="1"/>
  <c r="Q32" i="338" a="1"/>
  <c r="Q46" i="338" a="1"/>
  <c r="Q53" i="338" a="1"/>
  <c r="Q10" i="338" a="1"/>
  <c r="Q37" i="338" a="1"/>
  <c r="Q36" i="338" a="1"/>
  <c r="Q35" i="338" a="1"/>
  <c r="Q34" i="338" a="1"/>
  <c r="Q40" i="338" a="1"/>
  <c r="Q45" i="338" a="1"/>
  <c r="Q12" i="338" a="1"/>
  <c r="Q42" i="338" a="1"/>
  <c r="Q11" i="338" a="1"/>
  <c r="Q29" i="338" a="1"/>
  <c r="Q49" i="338" a="1"/>
  <c r="Q48" i="338" a="1"/>
  <c r="Q54" i="338" a="1"/>
  <c r="Q30" i="338" a="1"/>
  <c r="Q13" i="338" a="1"/>
  <c r="Q18" i="338" a="1"/>
  <c r="Q14" i="338" a="1"/>
  <c r="Q9" i="338" a="1"/>
  <c r="Q55" i="338" a="1"/>
  <c r="V8" i="338" l="1"/>
  <c r="U8" i="338"/>
  <c r="L8" i="338"/>
  <c r="Q48" i="338"/>
  <c r="Q49" i="338"/>
  <c r="Q29" i="338"/>
  <c r="Q11" i="338"/>
  <c r="Q42" i="338"/>
  <c r="Q12" i="338"/>
  <c r="Q45" i="338"/>
  <c r="Q40" i="338"/>
  <c r="Q34" i="338"/>
  <c r="Q35" i="338"/>
  <c r="Q36" i="338"/>
  <c r="Q37" i="338"/>
  <c r="Q10" i="338"/>
  <c r="Q53" i="338"/>
  <c r="Q46" i="338"/>
  <c r="Q32" i="338"/>
  <c r="Q8" i="338"/>
  <c r="Q50" i="338"/>
  <c r="Q51" i="338"/>
  <c r="Q31" i="338"/>
  <c r="Q33" i="338"/>
  <c r="Q47" i="338"/>
  <c r="Q41" i="338"/>
  <c r="Q52" i="338"/>
  <c r="Q44" i="338"/>
  <c r="Q16" i="338"/>
  <c r="Q38" i="338"/>
  <c r="Q17" i="338"/>
  <c r="Q15" i="338"/>
  <c r="Q39" i="338"/>
  <c r="Q9" i="338"/>
  <c r="Q14" i="338"/>
  <c r="Q18" i="338"/>
  <c r="Q13" i="338"/>
  <c r="Q30" i="338"/>
  <c r="Q54" i="338"/>
  <c r="Q55" i="338"/>
  <c r="E2" i="338"/>
  <c r="AT34" i="338"/>
  <c r="AT45" i="338"/>
  <c r="AO15" i="338"/>
  <c r="AO35" i="338"/>
  <c r="AO46" i="338"/>
  <c r="AT46" i="338"/>
  <c r="AT47" i="338"/>
  <c r="AO48" i="338"/>
  <c r="AT17" i="338"/>
  <c r="AO38" i="338"/>
  <c r="AT38" i="338"/>
  <c r="AO29" i="338"/>
  <c r="AT29" i="338"/>
  <c r="AO11" i="338"/>
  <c r="AT13" i="338"/>
  <c r="AO34" i="338"/>
  <c r="AO45" i="338"/>
  <c r="AO14" i="338"/>
  <c r="AT15" i="338"/>
  <c r="AT35" i="338"/>
  <c r="AO16" i="338"/>
  <c r="AO36" i="338"/>
  <c r="AO47" i="338"/>
  <c r="AT16" i="338"/>
  <c r="AT36" i="338"/>
  <c r="AO17" i="338"/>
  <c r="AO37" i="338"/>
  <c r="AT37" i="338"/>
  <c r="AT18" i="338"/>
  <c r="AO50" i="338"/>
  <c r="AT39" i="338"/>
  <c r="AO40" i="338"/>
  <c r="AO10" i="338"/>
  <c r="AO52" i="338"/>
  <c r="AO12" i="338"/>
  <c r="AT48" i="338"/>
  <c r="AO18" i="338"/>
  <c r="AO49" i="338"/>
  <c r="AT49" i="338"/>
  <c r="AT8" i="338"/>
  <c r="AO39" i="338"/>
  <c r="AO9" i="338"/>
  <c r="AT50" i="338"/>
  <c r="AT9" i="338"/>
  <c r="AO30" i="338"/>
  <c r="AO51" i="338"/>
  <c r="AT30" i="338"/>
  <c r="AT40" i="338"/>
  <c r="AT51" i="338"/>
  <c r="AT10" i="338"/>
  <c r="AO31" i="338"/>
  <c r="AO41" i="338"/>
  <c r="AT31" i="338"/>
  <c r="AT41" i="338"/>
  <c r="AT52" i="338"/>
  <c r="AD8" i="338"/>
  <c r="AB8" i="338"/>
  <c r="Z8" i="338"/>
  <c r="AT11" i="338"/>
  <c r="AO32" i="338"/>
  <c r="AO42" i="338"/>
  <c r="AO53" i="338"/>
  <c r="AO8" i="338"/>
  <c r="AT32" i="338"/>
  <c r="AT42" i="338"/>
  <c r="AT53" i="338"/>
  <c r="AT12" i="338"/>
  <c r="AO33" i="338"/>
  <c r="AO44" i="338"/>
  <c r="AO54" i="338"/>
  <c r="AO13" i="338"/>
  <c r="AT33" i="338"/>
  <c r="AT44" i="338"/>
  <c r="AT54" i="338"/>
  <c r="AS38" i="338"/>
  <c r="AM48" i="338"/>
  <c r="AN41" i="338"/>
  <c r="AM12" i="338"/>
  <c r="AM13" i="338"/>
  <c r="AS34" i="338"/>
  <c r="AS46" i="338"/>
  <c r="AN37" i="338"/>
  <c r="AS12" i="338"/>
  <c r="AS51" i="338"/>
  <c r="AS9" i="338"/>
  <c r="AS48" i="338"/>
  <c r="AM37" i="338"/>
  <c r="AR48" i="338"/>
  <c r="AN31" i="338"/>
  <c r="AM52" i="338"/>
  <c r="AM32" i="338"/>
  <c r="AS31" i="338"/>
  <c r="AN49" i="338"/>
  <c r="AR54" i="338"/>
  <c r="AR30" i="338"/>
  <c r="AS53" i="338"/>
  <c r="AS8" i="338"/>
  <c r="AR39" i="338"/>
  <c r="AR53" i="338"/>
  <c r="AN53" i="338"/>
  <c r="AR13" i="338"/>
  <c r="AN13" i="338"/>
  <c r="AS13" i="338"/>
  <c r="AS35" i="338"/>
  <c r="AM35" i="338"/>
  <c r="AN38" i="338"/>
  <c r="AN12" i="338"/>
  <c r="AN39" i="338"/>
  <c r="AS40" i="338"/>
  <c r="AR15" i="338"/>
  <c r="AR8" i="338"/>
  <c r="AR32" i="338"/>
  <c r="AR9" i="338"/>
  <c r="AM42" i="338"/>
  <c r="AM9" i="338"/>
  <c r="AM11" i="338"/>
  <c r="AS29" i="338"/>
  <c r="AR46" i="338"/>
  <c r="AS50" i="338"/>
  <c r="AR33" i="338"/>
  <c r="AR34" i="338"/>
  <c r="AR41" i="338"/>
  <c r="AS52" i="338"/>
  <c r="AN44" i="338"/>
  <c r="AN30" i="338"/>
  <c r="AR29" i="338"/>
  <c r="AM49" i="338"/>
  <c r="AN45" i="338"/>
  <c r="AS45" i="338"/>
  <c r="AR10" i="338"/>
  <c r="AN32" i="338"/>
  <c r="AS32" i="338"/>
  <c r="AS42" i="338"/>
  <c r="AN52" i="338"/>
  <c r="AM31" i="338"/>
  <c r="AN10" i="338"/>
  <c r="AM39" i="338"/>
  <c r="AM34" i="338"/>
  <c r="AN33" i="338"/>
  <c r="AN51" i="338"/>
  <c r="AN35" i="338"/>
  <c r="AM10" i="338"/>
  <c r="AR31" i="338"/>
  <c r="AS36" i="338"/>
  <c r="AM47" i="338"/>
  <c r="AM46" i="338"/>
  <c r="AN17" i="338"/>
  <c r="AN34" i="338"/>
  <c r="AS49" i="338"/>
  <c r="AM14" i="338"/>
  <c r="AN18" i="338"/>
  <c r="AS37" i="338"/>
  <c r="AM50" i="338"/>
  <c r="AN48" i="338"/>
  <c r="AM51" i="338"/>
  <c r="AR12" i="338"/>
  <c r="AR16" i="338"/>
  <c r="AN54" i="338"/>
  <c r="AN47" i="338"/>
  <c r="AS33" i="338"/>
  <c r="AR47" i="338"/>
  <c r="AR37" i="338"/>
  <c r="AM17" i="338"/>
  <c r="AM44" i="338"/>
  <c r="AM15" i="338"/>
  <c r="AS18" i="338"/>
  <c r="AS47" i="338"/>
  <c r="AN15" i="338"/>
  <c r="AS39" i="338"/>
  <c r="AM18" i="338"/>
  <c r="AN8" i="338"/>
  <c r="AR45" i="338"/>
  <c r="AN36" i="338"/>
  <c r="AS54" i="338"/>
  <c r="AN14" i="338"/>
  <c r="AM45" i="338"/>
  <c r="AM33" i="338"/>
  <c r="AM53" i="338"/>
  <c r="AM54" i="338"/>
  <c r="AN16" i="338"/>
  <c r="AR17" i="338"/>
  <c r="AS16" i="338"/>
  <c r="AR36" i="338"/>
  <c r="AR42" i="338"/>
  <c r="AS11" i="338"/>
  <c r="AM8" i="338"/>
  <c r="AR52" i="338"/>
  <c r="AN46" i="338"/>
  <c r="AM36" i="338"/>
  <c r="AM38" i="338"/>
  <c r="AR50" i="338"/>
  <c r="AR38" i="338"/>
  <c r="AS17" i="338"/>
  <c r="AM29" i="338"/>
  <c r="AR51" i="338"/>
  <c r="AS44" i="338"/>
  <c r="AM41" i="338"/>
  <c r="AR40" i="338"/>
  <c r="AR49" i="338"/>
  <c r="AS10" i="338"/>
  <c r="AM40" i="338"/>
  <c r="AS15" i="338"/>
  <c r="AN40" i="338"/>
  <c r="AS41" i="338"/>
  <c r="AN29" i="338"/>
  <c r="AR11" i="338"/>
  <c r="AR44" i="338"/>
  <c r="AM30" i="338"/>
  <c r="AS30" i="338"/>
  <c r="AN42" i="338"/>
  <c r="AN9" i="338"/>
  <c r="AN11" i="338"/>
  <c r="AM16" i="338"/>
  <c r="AR35" i="338"/>
  <c r="AR18" i="338"/>
  <c r="AN50" i="338"/>
  <c r="N8" i="338" l="1"/>
  <c r="R20" i="252"/>
  <c r="Q20" i="252"/>
  <c r="H20" i="252" a="1"/>
  <c r="H20" i="252" l="1"/>
  <c r="K20" i="252" l="1"/>
  <c r="I20" i="252"/>
  <c r="V19" i="252" l="1"/>
  <c r="U19" i="252"/>
  <c r="R19" i="252" l="1"/>
  <c r="Q19" i="252"/>
  <c r="H19" i="252" a="1"/>
  <c r="H19" i="252" l="1"/>
  <c r="I19" i="252" l="1"/>
  <c r="K19" i="252"/>
  <c r="V18" i="252" l="1"/>
  <c r="U18" i="252"/>
  <c r="Q18" i="252" l="1"/>
  <c r="R18" i="252"/>
  <c r="H18" i="252" a="1"/>
  <c r="H18" i="252" l="1"/>
  <c r="K18" i="252" l="1"/>
  <c r="I18" i="252"/>
  <c r="V17" i="252" l="1"/>
  <c r="U17" i="252"/>
  <c r="R17" i="252" l="1"/>
  <c r="Q17" i="252"/>
  <c r="H17" i="252" a="1"/>
  <c r="H17" i="252" l="1"/>
  <c r="K17" i="252" l="1"/>
  <c r="I17" i="252"/>
  <c r="U16" i="252" l="1"/>
  <c r="V16" i="252"/>
  <c r="R16" i="252" l="1"/>
  <c r="Q16" i="252"/>
  <c r="H16" i="252" a="1"/>
  <c r="H16" i="252" l="1"/>
  <c r="K16" i="252" l="1"/>
  <c r="I16" i="252"/>
  <c r="H15" i="252" a="1"/>
  <c r="H15" i="252" l="1"/>
  <c r="C15" i="252" s="1"/>
  <c r="B15" i="252" l="1"/>
  <c r="A15" i="252" s="1"/>
  <c r="V14" i="252"/>
  <c r="U14" i="252"/>
  <c r="K15" i="252"/>
  <c r="I15" i="252"/>
  <c r="Q14" i="252" l="1"/>
  <c r="R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C12" i="252" s="1"/>
  <c r="B12" i="252" l="1"/>
  <c r="A12" i="252" s="1"/>
  <c r="V11" i="252"/>
  <c r="U11" i="252"/>
  <c r="K12" i="252"/>
  <c r="I12" i="252"/>
  <c r="R11" i="252" l="1"/>
  <c r="Q11" i="252"/>
  <c r="H11" i="252" a="1"/>
  <c r="H11" i="252" l="1"/>
  <c r="K11" i="252" l="1"/>
  <c r="I11" i="252"/>
  <c r="U10" i="252" l="1"/>
  <c r="V10" i="252"/>
  <c r="R10" i="252" l="1"/>
  <c r="Q10" i="252"/>
  <c r="H10" i="252" a="1"/>
  <c r="H10" i="252" l="1"/>
  <c r="K10" i="252" l="1"/>
  <c r="I10" i="252"/>
  <c r="H9" i="252" a="1"/>
  <c r="H9" i="252" l="1"/>
  <c r="B9" i="252" s="1"/>
  <c r="C9" i="252" l="1"/>
  <c r="A9" i="252" s="1"/>
  <c r="U8" i="252"/>
  <c r="V8" i="252"/>
  <c r="K9" i="252"/>
  <c r="I9" i="252"/>
  <c r="R8" i="252" l="1"/>
  <c r="Q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C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4" i="530"/>
  <c r="J39" i="530" s="1"/>
  <c r="J40" i="530" s="1"/>
  <c r="J33" i="530"/>
  <c r="I33" i="530"/>
  <c r="I34" i="530" s="1"/>
  <c r="I39" i="530" s="1"/>
  <c r="I40" i="530" s="1"/>
  <c r="H33" i="530"/>
  <c r="H34" i="530" s="1"/>
  <c r="H39" i="530" s="1"/>
  <c r="H40" i="530" s="1"/>
  <c r="G33" i="530"/>
  <c r="G34" i="530" s="1"/>
  <c r="G39" i="530" s="1"/>
  <c r="G40" i="530" s="1"/>
  <c r="F33" i="530"/>
  <c r="F34" i="530" s="1"/>
  <c r="F39" i="530" s="1"/>
  <c r="F40" i="530" s="1"/>
  <c r="E33" i="530"/>
  <c r="D33" i="530"/>
  <c r="D32" i="530"/>
  <c r="C34" i="530" s="1"/>
  <c r="C29" i="530"/>
  <c r="J27" i="530"/>
  <c r="C27" i="530"/>
  <c r="D26" i="530"/>
  <c r="A26" i="530"/>
  <c r="D25" i="530"/>
  <c r="U24" i="530"/>
  <c r="U23" i="530"/>
  <c r="C20" i="530"/>
  <c r="J19" i="530"/>
  <c r="L19" i="530" s="1"/>
  <c r="L18" i="530"/>
  <c r="D17" i="530"/>
  <c r="D16" i="530"/>
  <c r="C18" i="530" s="1"/>
  <c r="J14" i="530"/>
  <c r="J15" i="530" s="1"/>
  <c r="J16" i="530" s="1"/>
  <c r="G14" i="530"/>
  <c r="F12" i="530"/>
  <c r="C10" i="530"/>
  <c r="D7" i="530"/>
  <c r="C8" i="530" s="1"/>
  <c r="D6" i="530"/>
  <c r="F3" i="530"/>
  <c r="F4" i="530" s="1"/>
  <c r="B6" i="252" l="1"/>
  <c r="A6" i="252" s="1"/>
  <c r="K6" i="252"/>
  <c r="I6" i="252"/>
  <c r="L16" i="530"/>
  <c r="K16" i="530"/>
  <c r="G42" i="530"/>
  <c r="G41" i="530"/>
  <c r="J42" i="530"/>
  <c r="J41" i="530"/>
  <c r="F41" i="530"/>
  <c r="F42" i="530"/>
  <c r="H41" i="530"/>
  <c r="H42" i="530"/>
  <c r="I42" i="530"/>
  <c r="I41" i="530"/>
  <c r="L20" i="530"/>
  <c r="M20" i="53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<sst xmlns="http://schemas.openxmlformats.org/spreadsheetml/2006/main" count="16898" uniqueCount="2492">
  <si>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</si>
  <si>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</si>
  <si>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</si>
  <si>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</si>
  <si>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</si>
  <si>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</si>
  <si>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</si>
  <si>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</si>
  <si>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</si>
  <si>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</si>
  <si>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</si>
  <si>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</si>
  <si>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</si>
  <si>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</si>
  <si>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</si>
  <si>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</si>
  <si>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</si>
  <si>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</si>
  <si>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</si>
  <si>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</si>
  <si>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</si>
  <si>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</si>
  <si>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</si>
  <si>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</si>
  <si>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</si>
  <si>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</si>
  <si>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</si>
  <si>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</si>
  <si>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</si>
  <si>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</si>
  <si>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</si>
  <si>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</si>
  <si>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</si>
  <si>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</si>
  <si>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</si>
  <si>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</si>
  <si>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</si>
  <si>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</si>
  <si>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</si>
  <si>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</si>
  <si>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</si>
  <si>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</si>
  <si>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</si>
  <si>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</si>
  <si>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</si>
  <si>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</si>
  <si>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</si>
  <si>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</si>
  <si>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</si>
  <si>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</si>
  <si>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</si>
  <si>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</si>
  <si>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</si>
  <si>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</si>
  <si>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</si>
  <si>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</si>
  <si>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</si>
  <si>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</si>
  <si>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</si>
  <si>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</si>
  <si>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</si>
  <si>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</si>
  <si>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</si>
  <si>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</si>
  <si>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</si>
  <si>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</si>
  <si>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</si>
  <si>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</si>
  <si>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</si>
  <si>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</si>
  <si>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</si>
  <si>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</si>
  <si>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</si>
  <si>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</si>
  <si>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</si>
  <si>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</si>
  <si>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</si>
  <si>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</si>
  <si>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</si>
  <si>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</si>
  <si>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</si>
  <si>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</si>
  <si>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</si>
  <si>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</si>
  <si>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</si>
  <si>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</si>
  <si>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</si>
  <si>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</si>
  <si>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</si>
  <si>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</si>
  <si>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</si>
  <si>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</si>
  <si>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</si>
  <si>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</si>
  <si>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</si>
  <si>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</si>
  <si>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</si>
  <si>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</si>
  <si>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</si>
  <si>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</si>
  <si>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</si>
  <si>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</si>
  <si>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</si>
  <si>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</si>
  <si>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</si>
  <si>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</si>
  <si>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</si>
  <si>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</si>
  <si>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</si>
  <si>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</si>
  <si>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</si>
  <si>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</si>
  <si>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</si>
  <si>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</si>
  <si>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</si>
  <si>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</si>
  <si>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</si>
  <si>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</si>
  <si>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</si>
  <si>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</si>
  <si>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</si>
  <si>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</si>
  <si>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</si>
  <si>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</si>
  <si>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</si>
  <si>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</si>
  <si>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</si>
  <si>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</si>
  <si>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</si>
  <si>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</si>
  <si>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</si>
  <si>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</si>
  <si>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</si>
  <si>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</si>
  <si>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</si>
  <si>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</si>
  <si>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</si>
  <si>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</si>
  <si>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</si>
  <si>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</si>
  <si>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</si>
  <si>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</si>
  <si>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</si>
  <si>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</si>
  <si>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</si>
  <si>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</si>
  <si>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</si>
  <si>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</si>
  <si>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</si>
  <si>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</si>
  <si>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</si>
  <si>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</si>
  <si>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</si>
  <si>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</si>
  <si>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</si>
  <si>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</si>
  <si>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</si>
  <si>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</si>
  <si>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</si>
  <si>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</si>
  <si>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</si>
  <si>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</si>
  <si>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</si>
  <si>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</si>
  <si>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</si>
  <si>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</si>
  <si>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</si>
  <si>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</si>
  <si>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</si>
  <si>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</si>
  <si>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</si>
  <si>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</si>
  <si>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</si>
  <si>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</si>
  <si>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</si>
  <si>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</si>
  <si>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</si>
  <si>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</si>
  <si>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</si>
  <si>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</si>
  <si>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</si>
  <si>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</si>
  <si>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</si>
  <si>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</si>
  <si>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</si>
  <si>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</si>
  <si>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</si>
  <si>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</si>
  <si>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</si>
  <si>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</si>
  <si>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</si>
  <si>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</si>
  <si>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</si>
  <si>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</si>
  <si>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</si>
  <si>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</si>
  <si>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</si>
  <si>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</si>
  <si>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</si>
  <si>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</si>
  <si>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</si>
  <si>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</si>
  <si>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</si>
  <si>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</si>
  <si>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</si>
  <si>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</si>
  <si>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</si>
  <si>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</si>
  <si>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</si>
  <si>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</si>
  <si>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</si>
  <si>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</si>
  <si>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</si>
  <si>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</si>
  <si>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</si>
  <si>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</si>
  <si>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</si>
  <si>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</si>
  <si>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</si>
  <si>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</si>
  <si>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</si>
  <si>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</si>
  <si>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</si>
  <si>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</si>
  <si>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</si>
  <si>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</si>
  <si>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</si>
  <si>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</si>
  <si>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</si>
  <si>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</si>
  <si>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</si>
  <si>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</si>
  <si>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</si>
  <si>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</si>
  <si>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</si>
  <si>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</si>
  <si>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</si>
  <si>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</si>
  <si>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</si>
  <si>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</si>
  <si>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</si>
  <si>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</si>
  <si>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</si>
  <si>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</si>
  <si>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</si>
  <si>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</si>
  <si>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</si>
  <si>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</si>
  <si>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</si>
  <si>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</si>
  <si>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</si>
  <si>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</si>
  <si>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</si>
  <si>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</si>
  <si>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</si>
  <si>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</si>
  <si>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</si>
  <si>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</si>
  <si>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</si>
  <si>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</si>
  <si>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</si>
  <si>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</si>
  <si>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</si>
  <si>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</si>
  <si>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</si>
  <si>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</si>
  <si>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</si>
  <si>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</si>
  <si>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</si>
  <si>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</si>
  <si>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</si>
  <si>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</si>
  <si>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</si>
  <si>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</si>
  <si>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</si>
  <si>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</si>
  <si>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</si>
  <si>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</si>
  <si>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</si>
  <si>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</si>
  <si>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</si>
  <si>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</si>
  <si>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</si>
  <si>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</si>
  <si>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</si>
  <si>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</si>
  <si>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</si>
  <si>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</si>
  <si>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</si>
  <si>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</si>
  <si>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</si>
  <si>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</si>
  <si>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</si>
  <si>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</si>
  <si>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</si>
  <si>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</si>
  <si>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</si>
  <si>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</si>
  <si>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</si>
  <si>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</si>
  <si>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</si>
  <si>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</si>
  <si>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</si>
  <si>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</si>
  <si>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</si>
  <si>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</si>
  <si>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</si>
  <si>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</si>
  <si>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</si>
  <si>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</si>
  <si>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</si>
  <si>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</si>
  <si>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</si>
  <si>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</si>
  <si>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</si>
  <si>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</si>
  <si>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</si>
  <si>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</si>
  <si>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</si>
  <si>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</si>
  <si>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</si>
  <si>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</si>
  <si>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</si>
  <si>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</si>
  <si>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</si>
  <si>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</si>
  <si>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</si>
  <si>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</si>
  <si>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</si>
  <si>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</si>
  <si>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</si>
  <si>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</si>
  <si>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</si>
  <si>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</si>
  <si>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</si>
  <si>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</si>
  <si>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</si>
  <si>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</si>
  <si>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</si>
  <si>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</si>
  <si>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</si>
  <si>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</si>
  <si>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</si>
  <si>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</si>
  <si>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</si>
  <si>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</si>
  <si>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</si>
  <si>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</si>
  <si>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</si>
  <si>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</si>
  <si>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</si>
  <si>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</si>
  <si>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</si>
  <si>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</si>
  <si>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</si>
  <si>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</si>
  <si>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</si>
  <si>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</si>
  <si>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</si>
  <si>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</si>
  <si>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</si>
  <si>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</si>
  <si>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</si>
  <si>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</si>
  <si>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</si>
  <si>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</si>
  <si>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</si>
  <si>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</si>
  <si>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</si>
  <si>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</si>
  <si>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</si>
  <si>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</si>
  <si>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</si>
  <si>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</si>
  <si>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</si>
  <si>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</si>
  <si>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</si>
  <si>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</si>
  <si>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</si>
  <si>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</si>
  <si>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</si>
  <si>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</si>
  <si>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</si>
  <si>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</si>
  <si>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</si>
  <si>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</si>
  <si>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</si>
  <si>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</si>
  <si>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</si>
  <si>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</si>
  <si>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</si>
  <si>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</si>
  <si>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</si>
  <si>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</si>
  <si>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</si>
  <si>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</si>
  <si>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</si>
  <si>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</si>
  <si>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</si>
  <si>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</si>
  <si>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</si>
  <si>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</si>
  <si>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</si>
  <si>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</si>
  <si>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</si>
  <si>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</si>
  <si>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</si>
  <si>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</si>
  <si>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</si>
  <si>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</si>
  <si>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</si>
  <si>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</si>
  <si>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</si>
  <si>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</si>
  <si>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</si>
  <si>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</si>
  <si>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</si>
  <si>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</si>
  <si>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</si>
  <si>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</si>
  <si>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</si>
  <si>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</si>
  <si>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</si>
  <si>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</si>
  <si>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</si>
  <si>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</si>
  <si>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</si>
  <si>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</si>
  <si>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</si>
  <si>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</si>
  <si>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</si>
  <si>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</si>
  <si>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</si>
  <si>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</si>
  <si>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</si>
  <si>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</si>
  <si>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</si>
  <si>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</si>
  <si>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</si>
  <si>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</si>
  <si>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</si>
  <si>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</si>
  <si>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</si>
  <si>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</si>
  <si>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</si>
  <si>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</si>
  <si>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</si>
  <si>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</si>
  <si>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</si>
  <si>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</si>
  <si>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</si>
  <si>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</si>
  <si>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</si>
  <si>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</si>
  <si>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</si>
  <si>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</si>
  <si>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</si>
  <si>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</si>
  <si>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</si>
  <si>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</si>
  <si>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</si>
  <si>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</si>
  <si>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</si>
  <si>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</si>
  <si>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</si>
  <si>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</si>
  <si>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</si>
  <si>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</si>
  <si>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</si>
  <si>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</si>
  <si>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</si>
  <si>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</si>
  <si>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</si>
  <si>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</si>
  <si>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</si>
  <si>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</si>
  <si>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</si>
  <si>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</si>
  <si>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</si>
  <si>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</si>
  <si>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</si>
  <si>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</si>
  <si>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</si>
  <si>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</si>
  <si>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</si>
  <si>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</si>
  <si>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</si>
  <si>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</si>
  <si>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</si>
  <si>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</si>
  <si>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</si>
  <si>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</si>
  <si>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</si>
  <si>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</si>
  <si>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</si>
  <si>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</si>
  <si>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</si>
  <si>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</si>
  <si>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</si>
  <si>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</si>
  <si>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</si>
  <si>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</si>
  <si>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</si>
  <si>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</si>
  <si>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</si>
  <si>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</si>
  <si>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</si>
  <si>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</si>
  <si>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</si>
  <si>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</si>
  <si>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</si>
  <si>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</si>
  <si>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</si>
  <si>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</si>
  <si>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</si>
  <si>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</si>
  <si>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</si>
  <si>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</si>
  <si>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</si>
  <si>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</si>
  <si>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</si>
  <si>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</si>
  <si>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</si>
  <si>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</si>
  <si>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</si>
  <si>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</si>
  <si>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</si>
  <si>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</si>
  <si>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</si>
  <si>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</si>
  <si>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</si>
  <si>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</si>
  <si>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</si>
  <si>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</si>
  <si>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</si>
  <si>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</si>
  <si>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</si>
  <si>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</si>
  <si>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</si>
  <si>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</si>
  <si>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</si>
  <si>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</si>
  <si>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</si>
  <si>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</si>
  <si>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</si>
  <si>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</si>
  <si>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</si>
  <si>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</si>
  <si>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</si>
  <si>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</si>
  <si>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</si>
  <si>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</si>
  <si>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</si>
  <si>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</si>
  <si>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</si>
  <si>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</si>
  <si>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</si>
  <si>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</si>
  <si>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</si>
  <si>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</si>
  <si>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</si>
  <si>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</si>
  <si>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</si>
  <si>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</si>
  <si>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</si>
  <si>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</si>
  <si>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</si>
  <si>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</si>
  <si>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</si>
  <si>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</si>
  <si>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</si>
  <si>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</si>
  <si>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</si>
  <si>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</si>
  <si>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</si>
  <si>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</si>
  <si>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</si>
  <si>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</si>
  <si>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</si>
  <si>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</si>
  <si>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</si>
  <si>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</si>
  <si>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</si>
  <si>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</si>
  <si>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</si>
  <si>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</si>
  <si>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</si>
  <si>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</si>
  <si>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</si>
  <si>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</si>
  <si>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</si>
  <si>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</si>
  <si>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</si>
  <si>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</si>
  <si>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</si>
  <si>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</si>
  <si>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</si>
  <si>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</si>
  <si>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</si>
  <si>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</si>
  <si>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</si>
  <si>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</si>
  <si>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</si>
  <si>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</si>
  <si>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</si>
  <si>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</si>
  <si>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</si>
  <si>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</si>
  <si>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</si>
  <si>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</si>
  <si>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</si>
  <si>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</si>
  <si>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</si>
  <si>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</si>
  <si>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</si>
  <si>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</si>
  <si>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</si>
  <si>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</si>
  <si>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</si>
  <si>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</si>
  <si>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</si>
  <si>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</si>
  <si>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</si>
  <si>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</si>
  <si>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</si>
  <si>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</si>
  <si>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</si>
  <si>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</si>
  <si>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</si>
  <si>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</si>
  <si>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</si>
  <si>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</si>
  <si>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</si>
  <si>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</si>
  <si>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</si>
  <si>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</si>
  <si>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</si>
  <si>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</si>
  <si>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</si>
  <si>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</si>
  <si>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</si>
  <si>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</si>
  <si>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</si>
  <si>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</si>
  <si>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</si>
  <si>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</si>
  <si>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</si>
  <si>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</si>
  <si>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</si>
  <si>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</si>
  <si>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</si>
  <si>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</si>
  <si>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</si>
  <si>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</si>
  <si>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</si>
  <si>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</si>
  <si>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</si>
  <si>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</si>
  <si>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</si>
  <si>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</si>
  <si>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</si>
  <si>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</si>
  <si>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</si>
  <si>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</si>
  <si>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</si>
  <si>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</si>
  <si>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</si>
  <si>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</si>
  <si>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</si>
  <si>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</si>
  <si>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</si>
  <si>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</si>
  <si>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</si>
  <si>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</si>
  <si>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</si>
  <si>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</si>
  <si>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</si>
  <si>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</si>
  <si>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</si>
  <si>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</si>
  <si>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</si>
  <si>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</si>
  <si>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</si>
  <si>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</si>
  <si>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</si>
  <si>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</si>
  <si>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</si>
  <si>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</si>
  <si>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</si>
  <si>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</si>
  <si>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</si>
  <si>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</si>
  <si>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</si>
  <si>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</si>
  <si>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</si>
  <si>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</si>
  <si>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</si>
  <si>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</si>
  <si>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</si>
  <si>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</si>
  <si>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</si>
  <si>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</si>
  <si>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</si>
  <si>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</si>
  <si>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</si>
  <si>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</si>
  <si>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</si>
  <si>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</si>
  <si>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</si>
  <si>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</si>
  <si>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</si>
  <si>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</si>
  <si>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</si>
  <si>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</si>
  <si>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</si>
  <si>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</si>
  <si>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</si>
  <si>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</si>
  <si>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</si>
  <si>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</si>
  <si>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</si>
  <si>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</si>
  <si>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</si>
  <si>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</si>
  <si>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</si>
  <si>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</si>
  <si>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</si>
  <si>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</si>
  <si>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</si>
  <si>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</si>
  <si>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</si>
  <si>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</si>
  <si>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</si>
  <si>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</si>
  <si>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</si>
  <si>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</si>
  <si>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</si>
  <si>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</si>
  <si>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</si>
  <si>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</si>
  <si>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</si>
  <si>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</si>
  <si>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</si>
  <si>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</si>
  <si>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</si>
  <si>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</si>
  <si>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</si>
  <si>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</si>
  <si>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</si>
  <si>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</si>
  <si>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</si>
  <si>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</si>
  <si>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</si>
  <si>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</si>
  <si>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</si>
  <si>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</si>
  <si>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</si>
  <si>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</si>
  <si>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</si>
  <si>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</si>
  <si>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</si>
  <si>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</si>
  <si>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</si>
  <si>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</si>
  <si>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</si>
  <si>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</si>
  <si>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</si>
  <si>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</si>
  <si>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</si>
  <si>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</si>
  <si>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</si>
  <si>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</si>
  <si>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</si>
  <si>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</si>
  <si>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</si>
  <si>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</si>
  <si>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</si>
  <si>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</si>
  <si>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</si>
  <si>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</si>
  <si>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</si>
  <si>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</si>
  <si>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</si>
  <si>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</si>
  <si>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</si>
  <si>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</si>
  <si>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</si>
  <si>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</si>
  <si>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</si>
  <si>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</si>
  <si>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</si>
  <si>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</si>
  <si>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</si>
  <si>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</si>
  <si>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</si>
  <si>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</si>
  <si>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</si>
  <si>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</si>
  <si>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</si>
  <si>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</si>
  <si>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</si>
  <si>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</si>
  <si>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</si>
  <si>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</si>
  <si>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</si>
  <si>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</si>
  <si>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</si>
  <si>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</si>
  <si>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</si>
  <si>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</si>
  <si>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</si>
  <si>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</si>
  <si>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</si>
  <si>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</si>
  <si>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</si>
  <si>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</si>
  <si>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</si>
  <si>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</si>
  <si>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</si>
  <si>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</si>
  <si>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</si>
  <si>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</si>
  <si>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</si>
  <si>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</si>
  <si>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</si>
  <si>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</si>
  <si>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</si>
  <si>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</si>
  <si>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</si>
  <si>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</si>
  <si>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</si>
  <si>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</si>
  <si>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</si>
  <si>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</si>
  <si>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</si>
  <si>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</si>
  <si>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</si>
  <si>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</si>
  <si>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</si>
  <si>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</si>
  <si>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</si>
  <si>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</si>
  <si>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</si>
  <si>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</si>
  <si>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</si>
  <si>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</si>
  <si>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</si>
  <si>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</si>
  <si>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</si>
  <si>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</si>
  <si>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</si>
  <si>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</si>
  <si>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</si>
  <si>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</si>
  <si>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</si>
  <si>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</si>
  <si>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</si>
  <si>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</si>
  <si>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</si>
  <si>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</si>
  <si>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</si>
  <si>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</si>
  <si>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</si>
  <si>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</si>
  <si>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</si>
  <si>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</si>
  <si>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</si>
  <si>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</si>
  <si>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</si>
  <si>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</si>
  <si>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</si>
  <si>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</si>
  <si>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</si>
  <si>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</si>
  <si>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</si>
  <si>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</si>
  <si>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</si>
  <si>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</si>
  <si>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</si>
  <si>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</si>
  <si>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</si>
  <si>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</si>
  <si>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</si>
  <si>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</si>
  <si>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</si>
  <si>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</si>
  <si>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</si>
  <si>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</si>
  <si>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</si>
  <si>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</si>
  <si>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</si>
  <si>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</si>
  <si>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</si>
  <si>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</si>
  <si>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</si>
  <si>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</si>
  <si>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</si>
  <si>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</si>
  <si>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</si>
  <si>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</si>
  <si>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</si>
  <si>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</si>
  <si>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</si>
  <si>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</si>
  <si>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</si>
  <si>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</si>
  <si>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</si>
  <si>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</si>
  <si>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</si>
  <si>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</si>
  <si>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</si>
  <si>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</si>
  <si>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</si>
  <si>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</si>
  <si>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</si>
  <si>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</si>
  <si>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</si>
  <si>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</si>
  <si>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</si>
  <si>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</si>
  <si>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</si>
  <si>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</si>
  <si>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</si>
  <si>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</si>
  <si>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</si>
  <si>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</si>
  <si>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</si>
  <si>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</si>
  <si>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</si>
  <si>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</si>
  <si>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</si>
  <si>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</si>
  <si>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</si>
  <si>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</si>
  <si>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</si>
  <si>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</si>
  <si>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</si>
  <si>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</si>
  <si>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</si>
  <si>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</si>
  <si>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</si>
  <si>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</si>
  <si>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</si>
  <si>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</si>
  <si>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</si>
  <si>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</si>
  <si>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</si>
  <si>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</si>
  <si>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</si>
  <si>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</si>
  <si>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</si>
  <si>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</si>
  <si>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</si>
  <si>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</si>
  <si>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</si>
  <si>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</si>
  <si>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</si>
  <si>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</si>
  <si>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</si>
  <si>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</si>
  <si>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</si>
  <si>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</si>
  <si>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</si>
  <si>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</si>
  <si>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</si>
  <si>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</si>
  <si>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</si>
  <si>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</si>
  <si>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</si>
  <si>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</si>
  <si>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</si>
  <si>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</si>
  <si>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</si>
  <si>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</si>
  <si>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</si>
  <si>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</si>
  <si>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</si>
  <si>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</si>
  <si>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</si>
  <si>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</si>
  <si>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</si>
  <si>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</si>
  <si>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</si>
  <si>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</si>
  <si>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</si>
  <si>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</si>
  <si>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</si>
  <si>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</si>
  <si>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</si>
  <si>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</si>
  <si>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</si>
  <si>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</si>
  <si>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</si>
  <si>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</si>
  <si>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</si>
  <si>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</si>
  <si>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</si>
  <si>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</si>
  <si>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</si>
  <si>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</si>
  <si>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</si>
  <si>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</si>
  <si>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</si>
  <si>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</si>
  <si>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</si>
  <si>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</si>
  <si>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</si>
  <si>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</si>
  <si>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</si>
  <si>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</si>
  <si>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</si>
  <si>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</si>
  <si>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</si>
  <si>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</si>
  <si>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</si>
  <si>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</si>
  <si>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</si>
  <si>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</si>
  <si>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</si>
  <si>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</si>
  <si>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</si>
  <si>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</si>
  <si>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</si>
  <si>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</si>
  <si>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</si>
  <si>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</si>
  <si>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</si>
  <si>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</si>
  <si>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</si>
  <si>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</si>
  <si>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</si>
  <si>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</si>
  <si>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</si>
  <si>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</si>
  <si>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</si>
  <si>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</si>
  <si>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</si>
  <si>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</si>
  <si>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</si>
  <si>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</si>
  <si>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</si>
  <si>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</si>
  <si>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</si>
  <si>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</si>
  <si>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</si>
  <si>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</si>
  <si>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</si>
  <si>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</si>
  <si>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</si>
  <si>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</si>
  <si>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</si>
  <si>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</si>
  <si>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</si>
  <si>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</si>
  <si>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</si>
  <si>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</si>
  <si>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</si>
  <si>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</si>
  <si>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</si>
  <si>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</si>
  <si>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</si>
  <si>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</si>
  <si>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</si>
  <si>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</si>
  <si>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</si>
  <si>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</si>
  <si>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</si>
  <si>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</si>
  <si>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</si>
  <si>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</si>
  <si>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</si>
  <si>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</si>
  <si>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</si>
  <si>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</si>
  <si>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</si>
  <si>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</si>
  <si>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</si>
  <si>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</si>
  <si>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</si>
  <si>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</si>
  <si>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</si>
  <si>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</si>
  <si>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</si>
  <si>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</si>
  <si>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</si>
  <si>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</si>
  <si>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</si>
  <si>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</si>
  <si>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</si>
  <si>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</si>
  <si>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</si>
  <si>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</si>
  <si>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</si>
  <si>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</si>
  <si>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</si>
  <si>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</si>
  <si>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</si>
  <si>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</si>
  <si>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</si>
  <si>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</si>
  <si>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</si>
  <si>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</si>
  <si>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</si>
  <si>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</si>
  <si>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</si>
  <si>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</si>
  <si>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</si>
  <si>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</si>
  <si>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</si>
  <si>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</si>
  <si>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</si>
  <si>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</si>
  <si>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</si>
  <si>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</si>
  <si>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</si>
  <si>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</si>
  <si>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</si>
  <si>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</si>
  <si>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</si>
  <si>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</si>
  <si>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</si>
  <si>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</si>
  <si>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</si>
  <si>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</si>
  <si>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</si>
  <si>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</si>
  <si>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</si>
  <si>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</si>
  <si>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</si>
  <si>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</si>
  <si>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</si>
  <si>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</si>
  <si>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</si>
  <si>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</si>
  <si>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</si>
  <si>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</si>
  <si>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</si>
  <si>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</si>
  <si>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</si>
  <si>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</si>
  <si>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</si>
  <si>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</si>
  <si>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</si>
  <si>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</si>
  <si>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</si>
  <si>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</si>
  <si>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</si>
  <si>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</si>
  <si>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</si>
  <si>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</si>
  <si>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</si>
  <si>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</si>
  <si>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</si>
  <si>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</si>
  <si>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</si>
  <si>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</si>
  <si>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</si>
  <si>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</si>
  <si>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</si>
  <si>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</si>
  <si>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</si>
  <si>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</si>
  <si>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</si>
  <si>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</si>
  <si>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</si>
  <si>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</si>
  <si>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</si>
  <si>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</si>
  <si>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</si>
  <si>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</si>
  <si>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</si>
  <si>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</si>
  <si>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</si>
  <si>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</si>
  <si>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</si>
  <si>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</si>
  <si>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</si>
  <si>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</si>
  <si>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</si>
  <si>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</si>
  <si>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</si>
  <si>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</si>
  <si>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</si>
  <si>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</si>
  <si>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</si>
  <si>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</si>
  <si>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</si>
  <si>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</si>
  <si>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</si>
  <si>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</si>
  <si>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</si>
  <si>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</si>
  <si>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</si>
  <si>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</si>
  <si>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</si>
  <si>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</si>
  <si>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</si>
  <si>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</si>
  <si>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</si>
  <si>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</si>
  <si>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</si>
  <si>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</si>
  <si>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</si>
  <si>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</si>
  <si>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</si>
  <si>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</si>
  <si>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</si>
  <si>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</si>
  <si>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</si>
  <si>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</si>
  <si>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</si>
  <si>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</si>
  <si>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</si>
  <si>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</si>
  <si>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</si>
  <si>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</si>
  <si>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</si>
  <si>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</si>
  <si>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</si>
  <si>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</si>
  <si>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</si>
  <si>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</si>
  <si>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</si>
  <si>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</si>
  <si>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</si>
  <si>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</si>
  <si>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</si>
  <si>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</si>
  <si>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</si>
  <si>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</si>
  <si>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</si>
  <si>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</si>
  <si>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</si>
  <si>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</si>
  <si>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</si>
  <si>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</si>
  <si>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</si>
  <si>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</si>
  <si>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</si>
  <si>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</si>
  <si>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</si>
  <si>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</si>
  <si>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</si>
  <si>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</si>
  <si>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</si>
  <si>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</si>
  <si>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</si>
  <si>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</si>
  <si>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</si>
  <si>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</si>
  <si>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</si>
  <si>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</si>
  <si>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</si>
  <si>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</si>
  <si>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</si>
  <si>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</si>
  <si>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</si>
  <si>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</si>
  <si>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</si>
  <si>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</si>
  <si>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</si>
  <si>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</si>
  <si>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</si>
  <si>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</si>
  <si>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</si>
  <si>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</si>
  <si>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</si>
  <si>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</si>
  <si>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</si>
  <si>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</si>
  <si>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</si>
  <si>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</si>
  <si>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</si>
  <si>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</si>
  <si>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</si>
  <si>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</si>
  <si>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</si>
  <si>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</si>
  <si>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</si>
  <si>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</si>
  <si>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</si>
  <si>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</si>
  <si>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</si>
  <si>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</si>
  <si>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</si>
  <si>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</si>
  <si>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</si>
  <si>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</si>
  <si>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</si>
  <si>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</si>
  <si>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</si>
  <si>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</si>
  <si>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</si>
  <si>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</si>
  <si>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</si>
  <si>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</si>
  <si>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</si>
  <si>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</si>
  <si>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</si>
  <si>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</si>
  <si>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</si>
  <si>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</si>
  <si>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</si>
  <si>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</si>
  <si>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</si>
  <si>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</si>
  <si>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</si>
  <si>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</si>
  <si>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</si>
  <si>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</si>
  <si>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</si>
  <si>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</si>
  <si>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</si>
  <si>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</si>
  <si>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</si>
  <si>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</si>
  <si>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</si>
  <si>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</si>
  <si>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</si>
  <si>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</si>
  <si>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</si>
  <si>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</si>
  <si>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</si>
  <si>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</si>
  <si>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</si>
  <si>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</si>
  <si>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</si>
  <si>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</si>
  <si>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</si>
  <si>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</si>
  <si>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</si>
  <si>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</si>
  <si>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</si>
  <si>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</si>
  <si>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</si>
  <si>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</si>
  <si>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</si>
  <si>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</si>
  <si>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</si>
  <si>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</si>
  <si>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</si>
  <si>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</si>
  <si>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</si>
  <si>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</si>
  <si>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</si>
  <si>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</si>
  <si>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</si>
  <si>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</si>
  <si>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</si>
  <si>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</si>
  <si>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</si>
  <si>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</si>
  <si>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</si>
  <si>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</si>
  <si>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</si>
  <si>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</si>
  <si>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</si>
  <si>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</si>
  <si>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</si>
  <si>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</si>
  <si>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</si>
  <si>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</si>
  <si>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</si>
  <si>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</si>
  <si>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</si>
  <si>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</si>
  <si>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</si>
  <si>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</si>
  <si>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</si>
  <si>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</si>
  <si>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</si>
  <si>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</si>
  <si>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</si>
  <si>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</si>
  <si>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</si>
  <si>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</si>
  <si>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</si>
  <si>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</si>
  <si>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</si>
  <si>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</si>
  <si>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</si>
  <si>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</si>
  <si>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</si>
  <si>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</si>
  <si>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</si>
  <si>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</si>
  <si>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</si>
  <si>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</si>
  <si>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</si>
  <si>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</si>
  <si>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</si>
  <si>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</si>
  <si>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</si>
  <si>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</si>
  <si>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</si>
  <si>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</si>
  <si>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</si>
  <si>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</si>
  <si>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</si>
  <si>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</si>
  <si>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</si>
  <si>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</si>
  <si>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</si>
  <si>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</si>
  <si>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</si>
  <si>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</si>
  <si>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</si>
  <si>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</si>
  <si>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</si>
  <si>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</si>
  <si>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</si>
  <si>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</si>
  <si>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</si>
  <si>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</si>
  <si>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</si>
  <si>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</si>
  <si>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</si>
  <si>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</si>
  <si>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</si>
  <si>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</si>
  <si>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</si>
  <si>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</si>
  <si>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</si>
  <si>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</si>
  <si>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</si>
  <si>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</si>
  <si>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</si>
  <si>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</si>
  <si>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</si>
  <si>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</si>
  <si>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</si>
  <si>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</si>
  <si>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</si>
  <si>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</si>
  <si>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</si>
  <si>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</si>
  <si>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</si>
  <si>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</si>
  <si>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</si>
  <si>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</si>
  <si>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</si>
  <si>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</si>
  <si>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</si>
  <si>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</si>
  <si>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</si>
  <si>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</si>
  <si>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</si>
  <si>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</si>
  <si>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</si>
  <si>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</si>
  <si>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</si>
  <si>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</si>
  <si>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</si>
  <si>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</si>
  <si>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</si>
  <si>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</si>
  <si>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</si>
  <si>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</si>
  <si>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</si>
  <si>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</si>
  <si>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</si>
  <si>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</si>
  <si>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</si>
  <si>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</si>
  <si>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</si>
  <si>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</si>
  <si>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</si>
  <si>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</si>
  <si>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</si>
  <si>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</si>
  <si>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</si>
  <si>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</si>
  <si>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</si>
  <si>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</si>
  <si>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</si>
  <si>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</si>
  <si>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</si>
  <si>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</si>
  <si>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</si>
  <si>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</si>
  <si>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</si>
  <si>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</si>
  <si>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</si>
  <si>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</si>
  <si>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</si>
  <si>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</si>
  <si>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</si>
  <si>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</si>
  <si>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</si>
  <si>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</si>
  <si>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</si>
  <si>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</si>
  <si>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</si>
  <si>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</si>
  <si>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</si>
  <si>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</si>
  <si>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</si>
  <si>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</si>
  <si>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</si>
  <si>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</si>
  <si>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</si>
  <si>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</si>
  <si>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</si>
  <si>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</si>
  <si>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</si>
  <si>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</si>
  <si>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</si>
  <si>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</si>
  <si>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</si>
  <si>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</si>
  <si>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</si>
  <si>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</si>
  <si>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</si>
  <si>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</si>
  <si>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</si>
  <si>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</si>
  <si>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</si>
  <si>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</si>
  <si>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</si>
  <si>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</si>
  <si>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</si>
  <si>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</si>
  <si>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</si>
  <si>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</si>
  <si>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</si>
  <si>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</si>
  <si>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</si>
  <si>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</si>
  <si>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</si>
  <si>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</si>
  <si>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</si>
  <si>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</si>
  <si>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</si>
  <si>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</si>
  <si>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</si>
  <si>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</si>
  <si>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</si>
  <si>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</si>
  <si>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</si>
  <si>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</si>
  <si>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</si>
  <si>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</si>
  <si>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</si>
  <si>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</si>
  <si>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</si>
  <si>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</si>
  <si>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</si>
  <si>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</si>
  <si>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</si>
  <si>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</si>
  <si>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</si>
  <si>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</si>
  <si>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</si>
  <si>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</si>
  <si>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</si>
  <si>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</si>
  <si>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</si>
  <si>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</si>
  <si>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</si>
  <si>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</si>
  <si>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</si>
  <si>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</si>
  <si>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</si>
  <si>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</si>
  <si>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</si>
  <si>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</si>
  <si>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</si>
  <si>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</si>
  <si>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</si>
  <si>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</si>
  <si>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</si>
  <si>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</si>
  <si>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</si>
  <si>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</si>
  <si>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</si>
  <si>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</si>
  <si>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</si>
  <si>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</si>
  <si>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</si>
  <si>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</si>
  <si>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</si>
  <si>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</si>
  <si>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</si>
  <si>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</si>
  <si>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</si>
  <si>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</si>
  <si>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</si>
  <si>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</si>
  <si>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</si>
  <si>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</si>
  <si>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</si>
  <si>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</si>
  <si>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</si>
  <si>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</si>
  <si>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</si>
  <si>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</si>
  <si>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</si>
  <si>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</si>
  <si>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</si>
  <si>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</si>
  <si>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</si>
  <si>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</si>
  <si>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</si>
  <si>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</si>
  <si>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</si>
  <si>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</si>
  <si>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</si>
  <si>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</si>
  <si>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</si>
  <si>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</si>
  <si>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</si>
  <si>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</si>
  <si>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</si>
  <si>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</si>
  <si>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</si>
  <si>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</si>
  <si>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</si>
  <si>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</si>
  <si>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</si>
  <si>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</si>
  <si>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</si>
  <si>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</si>
  <si>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</si>
  <si>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</si>
  <si>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</si>
  <si>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</si>
  <si>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</si>
  <si>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</si>
  <si>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</si>
  <si>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</si>
  <si>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</si>
  <si>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</si>
  <si>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</si>
  <si>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</si>
  <si>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</si>
  <si>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</si>
  <si>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</si>
  <si>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</si>
  <si>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</si>
  <si>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</si>
  <si>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</si>
  <si>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</si>
  <si>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</si>
  <si>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</si>
  <si>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</si>
  <si>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</si>
  <si>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</si>
  <si>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</si>
  <si>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</si>
  <si>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</si>
  <si>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</si>
  <si>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</si>
  <si>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</si>
  <si>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</si>
  <si>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</si>
  <si>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</si>
  <si>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</si>
  <si>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</si>
  <si>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</si>
  <si>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</si>
  <si>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</si>
  <si>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</si>
  <si>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</si>
  <si>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</si>
  <si>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</si>
  <si>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</si>
  <si>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</si>
  <si>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</si>
  <si>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</si>
  <si>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</si>
  <si>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</si>
  <si>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</si>
  <si>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</si>
  <si>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</si>
  <si>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</si>
  <si>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</si>
  <si>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</si>
  <si>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</si>
  <si>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</si>
  <si>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</si>
  <si>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</si>
  <si>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</si>
  <si>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</si>
  <si>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</si>
  <si>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</si>
  <si>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</si>
  <si>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</si>
  <si>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</si>
  <si>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</si>
  <si>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</si>
  <si>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</si>
  <si>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</si>
  <si>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</si>
  <si>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</si>
  <si>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</si>
  <si>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</si>
  <si>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</si>
  <si>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</si>
  <si>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</si>
  <si>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</si>
  <si>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</si>
  <si>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</si>
  <si>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</si>
  <si>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</si>
  <si>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</si>
  <si>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</si>
  <si>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</si>
  <si>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</si>
  <si>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</si>
  <si>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</si>
  <si>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</si>
  <si>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</si>
  <si>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</si>
  <si>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</si>
  <si>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</si>
  <si>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</si>
  <si>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</si>
  <si>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</si>
  <si>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</si>
  <si>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</si>
  <si>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</si>
  <si>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</si>
  <si>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</si>
  <si>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</si>
  <si>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</si>
  <si>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</si>
  <si>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</si>
  <si>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</si>
  <si>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</si>
  <si>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</si>
  <si>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</si>
  <si>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</si>
  <si>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</si>
  <si>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</si>
  <si>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</si>
  <si>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</si>
  <si>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</si>
  <si>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</si>
  <si>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</si>
  <si>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</si>
  <si>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</si>
  <si>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</si>
  <si>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</si>
  <si>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</si>
  <si>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</si>
  <si>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</si>
  <si>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</si>
  <si>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</si>
  <si>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</si>
  <si>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</si>
  <si>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</si>
  <si>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</si>
  <si>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</si>
  <si>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</si>
  <si>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</si>
  <si>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</si>
  <si>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</si>
  <si>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</si>
  <si>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</si>
  <si>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</si>
  <si>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</si>
  <si>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</si>
  <si>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</si>
  <si>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</si>
  <si>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</si>
  <si>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</si>
  <si>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</si>
  <si>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</si>
  <si>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</si>
  <si>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</si>
  <si>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</si>
  <si>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</si>
  <si>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</si>
  <si>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</si>
  <si>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</si>
  <si>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</si>
  <si>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</si>
  <si>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</si>
  <si>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</si>
  <si>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</si>
  <si>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</si>
  <si>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</si>
  <si>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</si>
  <si>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</si>
  <si>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</si>
  <si>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</si>
  <si>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</si>
  <si>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</si>
  <si>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</si>
  <si>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</si>
  <si>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</si>
  <si>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</si>
  <si>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</si>
  <si>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</si>
  <si>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</si>
  <si>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</si>
  <si>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</si>
  <si>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</si>
  <si>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</si>
  <si>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</si>
  <si>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</si>
  <si>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</si>
  <si>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</si>
  <si>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</si>
  <si>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</si>
  <si>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</si>
  <si>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</si>
  <si>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</si>
  <si>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</si>
  <si>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</si>
  <si>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</si>
  <si>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</si>
  <si>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</si>
  <si>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</si>
  <si>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</si>
  <si>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</si>
  <si>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</si>
  <si>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</si>
  <si>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</si>
  <si>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</si>
  <si>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</si>
  <si>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</si>
  <si>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</si>
  <si>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</si>
  <si>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</si>
  <si>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</si>
  <si>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</si>
  <si>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</si>
  <si>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</si>
  <si>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</si>
  <si>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</si>
  <si>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</si>
  <si>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</si>
  <si>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</si>
  <si>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</si>
  <si>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</si>
  <si>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</si>
  <si>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</si>
  <si>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</si>
  <si>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</si>
  <si>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</si>
  <si>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</si>
  <si>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</si>
  <si>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</si>
  <si>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</si>
  <si>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</si>
  <si>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</si>
  <si>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</si>
  <si>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</si>
  <si>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</si>
  <si>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</si>
  <si>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</si>
  <si>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</si>
  <si>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</si>
  <si>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</si>
  <si>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</si>
  <si>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</si>
  <si>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</si>
  <si>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</si>
  <si>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</si>
  <si>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</si>
  <si>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</si>
  <si>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</si>
  <si>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</si>
  <si>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</si>
  <si>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</si>
  <si>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</si>
  <si>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</si>
  <si>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</si>
  <si>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</si>
  <si>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</si>
  <si>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</si>
  <si>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</si>
  <si>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</si>
  <si>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</si>
  <si>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</si>
  <si>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</si>
  <si>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</si>
  <si>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</si>
  <si>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</si>
  <si>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</si>
  <si>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</si>
  <si>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</si>
  <si>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</si>
  <si>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</si>
  <si>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</si>
  <si>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</si>
  <si>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</si>
  <si>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</si>
  <si>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</si>
  <si>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</si>
  <si>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</si>
  <si>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</si>
  <si>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</si>
  <si>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</si>
  <si>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</si>
  <si>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</si>
  <si>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</si>
  <si>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</si>
  <si>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</si>
  <si>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</si>
  <si>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</si>
  <si>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</si>
  <si>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</si>
  <si>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</si>
  <si>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</si>
  <si>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</si>
  <si>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</si>
  <si>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</si>
  <si>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</si>
  <si>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</si>
  <si>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</si>
  <si>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</si>
  <si>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</si>
  <si>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</si>
  <si>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</si>
  <si>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</si>
  <si>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</si>
  <si>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</si>
  <si>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</si>
  <si>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</si>
  <si>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</si>
  <si>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</si>
  <si>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</si>
  <si>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</si>
  <si>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</si>
  <si>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</si>
  <si>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</si>
  <si>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</si>
  <si>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</si>
  <si>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</si>
  <si>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</si>
  <si>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</si>
  <si>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</si>
  <si>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</si>
  <si>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</si>
  <si>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</si>
  <si>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</si>
  <si>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</si>
  <si>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</si>
  <si>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</si>
  <si>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</si>
  <si>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</si>
  <si>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</si>
  <si>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</si>
  <si>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</si>
  <si>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</si>
  <si>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</si>
  <si>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</si>
  <si>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</si>
  <si>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</si>
  <si>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</si>
  <si>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</si>
  <si>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</si>
  <si>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</si>
  <si>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</si>
  <si>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</si>
  <si>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</si>
  <si>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</si>
  <si>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</si>
  <si>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</si>
  <si>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</si>
  <si>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</si>
  <si>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</si>
  <si>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</si>
  <si>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</si>
  <si>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</si>
  <si>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</si>
  <si>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</si>
  <si>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</si>
  <si>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</si>
  <si>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</si>
  <si>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</si>
  <si>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</si>
  <si>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</si>
  <si>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</si>
  <si>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</si>
  <si>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</si>
  <si>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</si>
  <si>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</si>
  <si>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</si>
  <si>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</si>
  <si>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</si>
  <si>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</si>
  <si>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</si>
  <si>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</si>
  <si>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</si>
  <si>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</si>
  <si>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</si>
  <si>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</si>
  <si>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</si>
  <si>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</si>
  <si>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</si>
  <si>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</si>
  <si>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</si>
  <si>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</si>
  <si>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</si>
  <si>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</si>
  <si>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</si>
  <si>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</si>
  <si>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</si>
  <si>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</si>
  <si>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</si>
  <si>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</si>
  <si>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</si>
  <si>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</si>
  <si>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</si>
  <si>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</si>
  <si>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</si>
  <si>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</si>
  <si>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</si>
  <si>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</si>
  <si>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</si>
  <si>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</si>
  <si>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</si>
  <si>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</si>
  <si>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</si>
  <si>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</si>
  <si>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</si>
  <si>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</si>
  <si>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</si>
  <si>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</si>
  <si>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</si>
  <si>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</si>
  <si>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</si>
  <si>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</si>
  <si>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</si>
  <si>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</si>
  <si>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</si>
  <si>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</si>
  <si>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</si>
  <si>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</si>
  <si>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</si>
  <si>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</si>
  <si>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</si>
  <si>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</si>
  <si>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</si>
  <si>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</si>
  <si>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</si>
  <si>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</si>
  <si>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</si>
  <si>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</si>
  <si>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</si>
  <si>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</si>
  <si>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</si>
  <si>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</si>
  <si>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</si>
  <si>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</si>
  <si>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</si>
  <si>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</si>
  <si>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</si>
  <si>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</si>
  <si>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</si>
  <si>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</si>
  <si>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</si>
  <si>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</si>
  <si>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</si>
  <si>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</si>
  <si>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</si>
  <si>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</si>
  <si>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</si>
  <si>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</si>
  <si>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</si>
  <si>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</si>
  <si>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</si>
  <si>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EWZ US 01/16/26 P34</t>
  </si>
  <si>
    <t>EWZ US 01/16/26 P34 Equity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</si>
  <si>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</si>
  <si>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</si>
  <si>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</si>
  <si>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</si>
  <si>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</si>
  <si>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</si>
  <si>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</si>
  <si>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</si>
  <si>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</si>
  <si>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</si>
  <si>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</si>
  <si>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</si>
  <si>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</si>
  <si>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</si>
  <si>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</si>
  <si>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</si>
  <si>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</si>
  <si>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</si>
  <si>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</si>
  <si>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</si>
  <si>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</si>
  <si>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</si>
  <si>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</si>
  <si>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</si>
  <si>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</si>
  <si>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</si>
  <si>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</si>
  <si>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</si>
  <si>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</si>
  <si>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</si>
  <si>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</si>
  <si>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</si>
  <si>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</si>
  <si>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</si>
  <si>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</si>
  <si>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</si>
  <si>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</si>
  <si>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</si>
  <si>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</si>
  <si>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</si>
  <si>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</si>
  <si>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</si>
  <si>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</si>
  <si>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</si>
  <si>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</si>
  <si>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</si>
  <si>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</si>
  <si>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</si>
  <si>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</si>
  <si>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</si>
  <si>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</si>
  <si>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</si>
  <si>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</si>
  <si>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</si>
  <si>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</si>
  <si>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</si>
  <si>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</si>
  <si>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SPY DIVIDEND_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</si>
  <si>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</si>
  <si>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</si>
  <si>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</si>
  <si>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</si>
  <si>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</si>
  <si>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</si>
  <si>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</si>
  <si>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</si>
  <si>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</si>
  <si>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</si>
  <si>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</si>
  <si>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</si>
  <si>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</si>
  <si>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</si>
  <si>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</si>
  <si>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</si>
  <si>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</si>
  <si>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</si>
  <si>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</si>
  <si>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</si>
  <si>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</si>
  <si>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</si>
  <si>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</si>
  <si>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</si>
  <si>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</si>
  <si>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</si>
  <si>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</si>
  <si>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</si>
  <si>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</si>
  <si>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</si>
  <si>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</si>
  <si>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</si>
  <si>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</si>
  <si>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</si>
  <si>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</si>
  <si>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</si>
  <si>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</si>
  <si>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</si>
  <si>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</si>
  <si>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</si>
  <si>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</si>
  <si>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</si>
  <si>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</si>
  <si>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</si>
  <si>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</si>
  <si>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</si>
  <si>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</si>
  <si>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</si>
  <si>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</si>
  <si>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</si>
  <si>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</si>
  <si>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</si>
  <si>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</si>
  <si>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</si>
  <si>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</si>
  <si>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</si>
  <si>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</si>
  <si>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</si>
  <si>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</si>
  <si>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</si>
  <si>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</si>
  <si>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27.57</t>
  </si>
  <si>
    <t>21.57</t>
  </si>
  <si>
    <t>24.07</t>
  </si>
  <si>
    <t>28.32</t>
  </si>
  <si>
    <t>23.82</t>
  </si>
  <si>
    <t>26.32</t>
  </si>
  <si>
    <t>19.00</t>
  </si>
  <si>
    <t>20.50</t>
  </si>
  <si>
    <t>12.11</t>
  </si>
  <si>
    <t>13.36</t>
  </si>
  <si>
    <t>57.32</t>
  </si>
  <si>
    <t>47.82</t>
  </si>
  <si>
    <t>51.82</t>
  </si>
  <si>
    <t>43.00</t>
  </si>
  <si>
    <t>48.00</t>
  </si>
  <si>
    <t>50.38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</si>
  <si>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</si>
  <si>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</si>
  <si>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</si>
  <si>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</si>
  <si>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</si>
  <si>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</si>
  <si>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</si>
  <si>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</si>
  <si>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</si>
  <si>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</si>
  <si>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</si>
  <si>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</si>
  <si>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</si>
  <si>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</si>
  <si>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</si>
  <si>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</si>
  <si>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</si>
  <si>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</si>
  <si>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</si>
  <si>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</si>
  <si>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</si>
  <si>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</si>
  <si>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ASHR US 02/20/26 C35</t>
  </si>
  <si>
    <t>TSM US 06/18/26 C340</t>
  </si>
  <si>
    <t>TSM US 06/18/26 C380</t>
  </si>
  <si>
    <t>TSM US 07/17/26 C340</t>
  </si>
  <si>
    <t>TSM US 07/17/26 C380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</si>
  <si>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</si>
  <si>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</si>
  <si>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</si>
  <si>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</si>
  <si>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</si>
  <si>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</si>
  <si>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</si>
  <si>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</si>
  <si>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</si>
  <si>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</si>
  <si>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</si>
  <si>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</si>
  <si>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</si>
  <si>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</si>
  <si>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</si>
  <si>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AMAT US 01/23/26 P280</t>
  </si>
  <si>
    <t>AMAT US 01/23/26 P290</t>
  </si>
  <si>
    <t>Internet/SW</t>
  </si>
  <si>
    <t>Pairs</t>
  </si>
  <si>
    <t>QQQ US 01/15/26 P623</t>
  </si>
  <si>
    <t>QQQ US 01/15/26 P622</t>
  </si>
  <si>
    <t>SMAL11 20/02/26 P114 OTC</t>
  </si>
  <si>
    <t>114</t>
  </si>
  <si>
    <t>VIVA3 20/02/26 C30.14 OTC</t>
  </si>
  <si>
    <t>VIVA3 Equity</t>
  </si>
  <si>
    <t>30.14</t>
  </si>
  <si>
    <t>VIVA3 20/02/26 P25.89 OTC</t>
  </si>
  <si>
    <t>25.89</t>
  </si>
  <si>
    <t>VIVA3 20/02/26 P28.14 OTC</t>
  </si>
  <si>
    <t>28.14</t>
  </si>
  <si>
    <t>GDX US 09/18/26 C105</t>
  </si>
  <si>
    <t>GDX US 09/18/26 C115</t>
  </si>
  <si>
    <t>KHC</t>
  </si>
  <si>
    <t>GDX US 09/18/26 C115 Equity</t>
  </si>
  <si>
    <t>GDX US Equity</t>
  </si>
  <si>
    <t>115</t>
  </si>
  <si>
    <t>GDX US 09/18/26 C105 Equity</t>
  </si>
  <si>
    <t>105</t>
  </si>
  <si>
    <t>IBOVE 18/02/26 P163000 OTC</t>
  </si>
  <si>
    <t>DELL DIVIDEND_</t>
  </si>
  <si>
    <t>000660 KP</t>
  </si>
  <si>
    <t>SNDK US 02/20/26 C500</t>
  </si>
  <si>
    <t>MRVL US 03/20/26 P70</t>
  </si>
  <si>
    <t>Net ex Metals</t>
  </si>
  <si>
    <t>Net total</t>
  </si>
  <si>
    <t>SNDK US 02/20/26 C500 Equity</t>
  </si>
  <si>
    <t>SNDK US Equity</t>
  </si>
  <si>
    <t>500</t>
  </si>
  <si>
    <t>EWZ US 02/20/26 C35</t>
  </si>
  <si>
    <t>EWZ US 02/20/26 C35 Equity</t>
  </si>
  <si>
    <t>MRVL US 03/20/26 P70 Equity</t>
  </si>
  <si>
    <t>70</t>
  </si>
  <si>
    <t>163000</t>
  </si>
  <si>
    <t>SNDK US 02/20/26 C550</t>
  </si>
  <si>
    <t>LITE US 03/20/26 C420</t>
  </si>
  <si>
    <t>AMZN US 07/17/26 C250</t>
  </si>
  <si>
    <t>AMZN US 07/17/26 C245</t>
  </si>
  <si>
    <t>META US 07/17/26 C670</t>
  </si>
  <si>
    <t>MSFT US 07/17/26 C470</t>
  </si>
  <si>
    <t>MSFT US 07/17/26 C465</t>
  </si>
  <si>
    <t>GOOG US 07/17/26 C350</t>
  </si>
  <si>
    <t>NVDA US 07/17/26 C195</t>
  </si>
  <si>
    <t>META US 07/17/26 C680</t>
  </si>
  <si>
    <t>QQQ US 02/06/26 C630</t>
  </si>
  <si>
    <t>META US 02/27/26 C660</t>
  </si>
  <si>
    <t>SNDK US 02/20/26 C550 Equity</t>
  </si>
  <si>
    <t>META US 07/17/26 C670 Equity</t>
  </si>
  <si>
    <t>670</t>
  </si>
  <si>
    <t>AMZN US 07/17/26 C245 Equity</t>
  </si>
  <si>
    <t>245</t>
  </si>
  <si>
    <t>KOSPI2 12/10/26 C1000</t>
  </si>
  <si>
    <t>KOSPI2 12/10/26 C1000 Equity</t>
  </si>
  <si>
    <t>KOSPI2 Equity</t>
  </si>
  <si>
    <t>1000</t>
  </si>
  <si>
    <t>LITE US 03/20/26 C420 Equity</t>
  </si>
  <si>
    <t>420</t>
  </si>
  <si>
    <t>MSFT US 07/17/26 C465 Equity</t>
  </si>
  <si>
    <t>QQQ US 02/06/26 C630 Equity</t>
  </si>
  <si>
    <t>630</t>
  </si>
  <si>
    <t>PETR4 20/02/26 P34.15 OTC</t>
  </si>
  <si>
    <t>34.15</t>
  </si>
  <si>
    <t>PRIO3 20/02/26 P43.25 OTC</t>
  </si>
  <si>
    <t>PRIO3 Equity</t>
  </si>
  <si>
    <t>43.25</t>
  </si>
  <si>
    <t>PRIO3 20/02/26 P46.25 OTC</t>
  </si>
  <si>
    <t>46.25</t>
  </si>
  <si>
    <t>PRIO3 20/03/26 C50.50 OTC</t>
  </si>
  <si>
    <t>PRIO3 20/03/26 P42.50 OTC</t>
  </si>
  <si>
    <t>42.50</t>
  </si>
  <si>
    <t>PRIO3 20/03/26 P46.50 OTC</t>
  </si>
  <si>
    <t>46.50</t>
  </si>
  <si>
    <t>Chg</t>
  </si>
  <si>
    <t>bps</t>
  </si>
  <si>
    <t>KOSPI 200 Index Options - KRX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</si>
  <si>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</si>
  <si>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</si>
  <si>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</si>
  <si>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</si>
  <si>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</si>
  <si>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</si>
  <si>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</si>
  <si>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37</t>
  </si>
  <si>
    <t>INTC US 07/17/26 C50 Equity</t>
  </si>
  <si>
    <t>INTC US Equity</t>
  </si>
  <si>
    <t>50</t>
  </si>
  <si>
    <t>INTC US 07/17/26 C60 Equity</t>
  </si>
  <si>
    <t>60</t>
  </si>
  <si>
    <t>INTC US 07/17/26 P40 Equity</t>
  </si>
  <si>
    <t>40</t>
  </si>
  <si>
    <t>MSFT US 07/17/26 C475 Equity</t>
  </si>
  <si>
    <t>475</t>
  </si>
  <si>
    <t>ITUB4 20/02/26 P40.94 OTC</t>
  </si>
  <si>
    <t>ITUB4 Equity</t>
  </si>
  <si>
    <t>40.94</t>
  </si>
  <si>
    <t>ITUB4 20/02/26 P42.88 OTC</t>
  </si>
  <si>
    <t>42.88</t>
  </si>
  <si>
    <t>CSCO</t>
  </si>
  <si>
    <t>YEST</t>
  </si>
  <si>
    <t>TODAY</t>
  </si>
  <si>
    <t>SMAL11 20/02/26 P120 OTC</t>
  </si>
  <si>
    <t>120</t>
  </si>
  <si>
    <t>VALE3 20/02/26 P77.90 OTC</t>
  </si>
  <si>
    <t>77.90</t>
  </si>
  <si>
    <t>VALE3 20/02/26 P82.90 OTC</t>
  </si>
  <si>
    <t>82.90</t>
  </si>
  <si>
    <t>AKAM</t>
  </si>
  <si>
    <t>MSFT US 07/17/26 C500</t>
  </si>
  <si>
    <t>Max Loss bps</t>
  </si>
  <si>
    <t>QQQ US 01/29/26 P628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</si>
  <si>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</si>
  <si>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</si>
  <si>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</si>
  <si>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</si>
  <si>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</si>
  <si>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</si>
  <si>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</si>
  <si>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</si>
  <si>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</si>
  <si>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</si>
  <si>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</si>
  <si>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300502 CH</t>
  </si>
  <si>
    <t>MSFT US 07/17/26 C500 Equity</t>
  </si>
  <si>
    <t>EEM US 04/17/26 C61</t>
  </si>
  <si>
    <t>EEM US 04/17/26 C61 Equity</t>
  </si>
  <si>
    <t>EEM US Equity</t>
  </si>
  <si>
    <t>61</t>
  </si>
  <si>
    <t>EEM US 04/17/26 C65</t>
  </si>
  <si>
    <t>EEM US 04/17/26 C65 Equity</t>
  </si>
  <si>
    <t>65</t>
  </si>
  <si>
    <t>QQQ US 01/29/26 P628 Equity</t>
  </si>
  <si>
    <t>628</t>
  </si>
  <si>
    <t>EEM US 02/20/26 C61</t>
  </si>
  <si>
    <t>EEM US 02/20/26 C61 Equity</t>
  </si>
  <si>
    <t>ABEV3 20/02/26 P14.67 OTC</t>
  </si>
  <si>
    <t>14.67</t>
  </si>
  <si>
    <t>GGBR4 20/03/26 P21.31 OTC</t>
  </si>
  <si>
    <t>GGBR4 Equity</t>
  </si>
  <si>
    <t>GGBR4 20/03/26 P22.81 OTC</t>
  </si>
  <si>
    <t>22.81</t>
  </si>
  <si>
    <t>NVDA US 05/15/26 C200</t>
  </si>
  <si>
    <t>NVDA US 02/13/26 C210</t>
  </si>
  <si>
    <t>NVDA US 02/06/26 C197.5</t>
  </si>
  <si>
    <t>NVDA US 02/13/26 C202.5</t>
  </si>
  <si>
    <t>%OTM</t>
  </si>
  <si>
    <t>%Not</t>
  </si>
  <si>
    <t>%Delta</t>
  </si>
  <si>
    <t>Bps Risk</t>
  </si>
  <si>
    <t>Pre</t>
  </si>
  <si>
    <t>Post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</si>
  <si>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</si>
  <si>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</si>
  <si>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</si>
  <si>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</si>
  <si>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</si>
  <si>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</si>
  <si>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</si>
  <si>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Provision Equity Total Return Swap USD_</t>
  </si>
  <si>
    <t>SWAP 300502 CH 30JAN2026 01FEB2027 57.9966</t>
  </si>
  <si>
    <t>TBOND</t>
  </si>
  <si>
    <t>T 4.000% 11/15/35</t>
  </si>
  <si>
    <t>NVDA US 02/06/26 C197.5 Equity</t>
  </si>
  <si>
    <t>NVDA US Equity</t>
  </si>
  <si>
    <t>197.5</t>
  </si>
  <si>
    <t>NVDA US 02/13/26 C202.5 Equity</t>
  </si>
  <si>
    <t>202.5</t>
  </si>
  <si>
    <t>NVDA US 05/15/26 C200 Equity</t>
  </si>
  <si>
    <t>META US 07/17/26 C700 Equity</t>
  </si>
  <si>
    <t>700</t>
  </si>
  <si>
    <t>MSFT US 01/30/26 C490</t>
  </si>
  <si>
    <t>MSFT US 01/30/26 C490 Equity</t>
  </si>
  <si>
    <t>NVDA US 01/30/26 C195</t>
  </si>
  <si>
    <t>NVDA US 01/30/26 C195 Equity</t>
  </si>
  <si>
    <t>195</t>
  </si>
  <si>
    <t>CPLE3 20/02/26 P12.48 OTC</t>
  </si>
  <si>
    <t>CPLE3 Equity</t>
  </si>
  <si>
    <t>12.48</t>
  </si>
  <si>
    <t>CPLE3 20/02/26 P13.23 OTC</t>
  </si>
  <si>
    <t>13.23</t>
  </si>
  <si>
    <t>MULT3 20/03/26 C34.63 OTC</t>
  </si>
  <si>
    <t>MULT3 Equity</t>
  </si>
  <si>
    <t>34.63</t>
  </si>
  <si>
    <t>RADL3 20/03/26 C27.05 OTC</t>
  </si>
  <si>
    <t>RADL3 Equity</t>
  </si>
  <si>
    <t>27.05</t>
  </si>
  <si>
    <t>RADL3 20/03/26 P22.39 OTC</t>
  </si>
  <si>
    <t>22.39</t>
  </si>
  <si>
    <t>RADL3 20/03/26 P24.84 OTC</t>
  </si>
  <si>
    <t>24.84</t>
  </si>
  <si>
    <t>USIM5 20/02/26 C7.03 OTC</t>
  </si>
  <si>
    <t>USIM5 Equity</t>
  </si>
  <si>
    <t>7.03</t>
  </si>
  <si>
    <t>USIM5 20/02/26 C7.83 OTC</t>
  </si>
  <si>
    <t>7.83</t>
  </si>
  <si>
    <t>META/MSFT</t>
  </si>
  <si>
    <t>QQQ US 01/30/26 P620</t>
  </si>
  <si>
    <t>NVDA US 02/06/26 C195</t>
  </si>
  <si>
    <t>DELL US 02/06/26 P110</t>
  </si>
  <si>
    <t>DELL US 02/06/26 P115</t>
  </si>
  <si>
    <t>MSFT US 02/20/26 P420</t>
  </si>
  <si>
    <t>MSFT US 02/20/26 C450</t>
  </si>
  <si>
    <t>MSFT US 02/20/26 P410</t>
  </si>
  <si>
    <t>MSFT US 02/20/26 C445</t>
  </si>
  <si>
    <t>MSFT US 02/20/26 C435</t>
  </si>
  <si>
    <t>005930 KS</t>
  </si>
  <si>
    <t>YSS</t>
  </si>
  <si>
    <t>QQQ US 01/30/26 P620 Equity</t>
  </si>
  <si>
    <t>620</t>
  </si>
  <si>
    <t>META US 07/17/26 C750</t>
  </si>
  <si>
    <t>AAPL US 04/17/26 C260</t>
  </si>
  <si>
    <t>AAPL US 04/17/26 C280</t>
  </si>
  <si>
    <t>QQQ US 01/30/26 P619</t>
  </si>
  <si>
    <t>Expo QQQ Adj</t>
  </si>
  <si>
    <t>market</t>
  </si>
  <si>
    <t>1OG6P 25000</t>
  </si>
  <si>
    <t>1OH6</t>
  </si>
  <si>
    <t>pUT</t>
  </si>
  <si>
    <t>NASDAQ-100 E-mini Futures - CME</t>
  </si>
  <si>
    <t>NQH6</t>
  </si>
  <si>
    <t>QQQ US 01/30/26 P621</t>
  </si>
  <si>
    <t>AAPL US 04/17/26 C260 Equity</t>
  </si>
  <si>
    <t>AAPL US Equity</t>
  </si>
  <si>
    <t>AAPL US 04/17/26 C280 Equity</t>
  </si>
  <si>
    <t>280</t>
  </si>
  <si>
    <t>QQQ US 01/30/26 P621 Equity</t>
  </si>
  <si>
    <t>621</t>
  </si>
  <si>
    <t>META US 07/17/26 C750 Equity</t>
  </si>
  <si>
    <t>QQQ US 01/30/26 P619 Equity</t>
  </si>
  <si>
    <t>619</t>
  </si>
  <si>
    <t>B3SA3 20/02/26 C17.67 OTC</t>
  </si>
  <si>
    <t>B3SA3 Equity</t>
  </si>
  <si>
    <t>17.67</t>
  </si>
  <si>
    <t>MOTV3 20/02/26 C18.01 OTC</t>
  </si>
  <si>
    <t>MOTV3 Equity</t>
  </si>
  <si>
    <t>18.01</t>
  </si>
  <si>
    <t>CSCO US 07/17/26 C670</t>
  </si>
  <si>
    <t>QQQ US 02/06/26 C634</t>
  </si>
  <si>
    <t>QQQ US 02/06/26 P624</t>
  </si>
  <si>
    <t>1OG6P 25750</t>
  </si>
  <si>
    <t>QQQ US 02/06/26 C640</t>
  </si>
  <si>
    <t>QQQ US 02/02/26 P625</t>
  </si>
  <si>
    <t>QQQ US 02/02/26 P624</t>
  </si>
  <si>
    <t>QQQ US 02/06/26 P620</t>
  </si>
  <si>
    <t>QQQ US 02/06/26 P615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</si>
</sst>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0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</fonts>
  <fills count="9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</fills>
  <borders count="5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547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6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7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8" fillId="50" borderId="29" applyNumberFormat="0" applyAlignment="0" applyProtection="0"/>
    <xf numFmtId="0" fontId="36" fillId="0" borderId="0" applyFont="0" applyFill="0" applyBorder="0" applyAlignment="0" applyProtection="0"/>
    <xf numFmtId="8" fontId="99" fillId="0" borderId="0" applyFont="0" applyFill="0" applyBorder="0" applyAlignment="0" applyProtection="0"/>
    <xf numFmtId="0" fontId="100" fillId="90" borderId="44" applyNumberFormat="0" applyFont="0" applyAlignment="0" applyProtection="0"/>
    <xf numFmtId="0" fontId="57" fillId="49" borderId="31" applyNumberFormat="0" applyAlignment="0" applyProtection="0"/>
    <xf numFmtId="0" fontId="101" fillId="0" borderId="0" applyFont="0" applyFill="0" applyBorder="0" applyAlignment="0" applyProtection="0"/>
    <xf numFmtId="4" fontId="99" fillId="0" borderId="0" applyFont="0" applyFill="0" applyBorder="0" applyAlignment="0" applyProtection="0"/>
    <xf numFmtId="0" fontId="10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58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4" fillId="0" borderId="0" xfId="0" applyNumberFormat="1" applyFont="1"/>
    <xf numFmtId="10" fontId="94" fillId="0" borderId="0" xfId="0" applyNumberFormat="1" applyFont="1"/>
    <xf numFmtId="0" fontId="94" fillId="0" borderId="0" xfId="0" applyFont="1" applyAlignment="1">
      <alignment horizontal="left" indent="1"/>
    </xf>
    <xf numFmtId="170" fontId="94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4" fillId="0" borderId="0" xfId="0" applyNumberFormat="1" applyFont="1"/>
    <xf numFmtId="2" fontId="96" fillId="0" borderId="0" xfId="0" applyNumberFormat="1" applyFont="1"/>
    <xf numFmtId="172" fontId="96" fillId="0" borderId="0" xfId="4420" applyNumberFormat="1" applyFont="1"/>
    <xf numFmtId="168" fontId="0" fillId="0" borderId="0" xfId="4419" applyNumberFormat="1" applyFont="1"/>
    <xf numFmtId="0" fontId="104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9" fontId="0" fillId="2" borderId="0" xfId="1" applyFont="1" applyFill="1"/>
    <xf numFmtId="195" fontId="0" fillId="2" borderId="0" xfId="190" applyNumberFormat="1" applyFon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1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2" fontId="2" fillId="91" borderId="0" xfId="0" applyNumberFormat="1" applyFont="1" applyFill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196" fontId="0" fillId="0" borderId="0" xfId="0" applyNumberFormat="1"/>
    <xf numFmtId="166" fontId="0" fillId="0" borderId="0" xfId="0" applyNumberFormat="1" applyAlignment="1">
      <alignment horizontal="right"/>
    </xf>
    <xf numFmtId="172" fontId="6" fillId="6" borderId="0" xfId="1" applyNumberFormat="1" applyFont="1" applyFill="1"/>
    <xf numFmtId="0" fontId="0" fillId="84" borderId="2" xfId="0" applyFill="1" applyBorder="1"/>
    <xf numFmtId="4" fontId="15" fillId="95" borderId="18" xfId="190" applyFont="1" applyFill="1" applyBorder="1" applyAlignment="1">
      <alignment horizontal="center"/>
    </xf>
    <xf numFmtId="2" fontId="15" fillId="95" borderId="18" xfId="0" applyNumberFormat="1" applyFont="1" applyFill="1" applyBorder="1" applyAlignment="1">
      <alignment horizontal="center"/>
    </xf>
    <xf numFmtId="168" fontId="0" fillId="2" borderId="0" xfId="0" applyNumberFormat="1" applyFill="1"/>
    <xf numFmtId="10" fontId="2" fillId="0" borderId="0" xfId="0" applyNumberFormat="1" applyFont="1"/>
    <xf numFmtId="195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5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5" fontId="2" fillId="6" borderId="0" xfId="190" applyNumberFormat="1" applyFont="1" applyFill="1"/>
    <xf numFmtId="172" fontId="0" fillId="6" borderId="0" xfId="1" applyNumberFormat="1" applyFont="1" applyFill="1"/>
    <xf numFmtId="0" fontId="0" fillId="6" borderId="54" xfId="0" applyFill="1" applyBorder="1"/>
    <xf numFmtId="4" fontId="0" fillId="6" borderId="55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54" xfId="0" applyFont="1" applyFill="1" applyBorder="1"/>
    <xf numFmtId="0" fontId="2" fillId="6" borderId="56" xfId="0" applyFont="1" applyFill="1" applyBorder="1"/>
    <xf numFmtId="4" fontId="2" fillId="6" borderId="56" xfId="0" applyNumberFormat="1" applyFont="1" applyFill="1" applyBorder="1"/>
    <xf numFmtId="4" fontId="2" fillId="6" borderId="55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5" fontId="2" fillId="2" borderId="0" xfId="190" applyNumberFormat="1" applyFont="1" applyFill="1"/>
    <xf numFmtId="0" fontId="2" fillId="2" borderId="54" xfId="0" applyFont="1" applyFill="1" applyBorder="1"/>
    <xf numFmtId="0" fontId="2" fillId="2" borderId="56" xfId="0" applyFont="1" applyFill="1" applyBorder="1"/>
    <xf numFmtId="4" fontId="2" fillId="2" borderId="56" xfId="0" applyNumberFormat="1" applyFont="1" applyFill="1" applyBorder="1"/>
    <xf numFmtId="3" fontId="0" fillId="2" borderId="0" xfId="190" applyNumberFormat="1" applyFont="1" applyFill="1"/>
    <xf numFmtId="172" fontId="0" fillId="2" borderId="0" xfId="1" quotePrefix="1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43" fontId="0" fillId="2" borderId="19" xfId="190" applyNumberFormat="1" applyFont="1" applyFill="1" applyBorder="1" applyAlignment="1">
      <alignment horizontal="right"/>
    </xf>
    <xf numFmtId="166" fontId="0" fillId="2" borderId="1" xfId="190" applyNumberFormat="1" applyFont="1" applyFill="1" applyBorder="1"/>
    <xf numFmtId="198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6" fontId="0" fillId="2" borderId="0" xfId="0" applyNumberFormat="1" applyFill="1"/>
    <xf numFmtId="166" fontId="0" fillId="2" borderId="0" xfId="190" applyNumberFormat="1" applyFont="1" applyFill="1" applyAlignment="1">
      <alignment horizontal="center"/>
    </xf>
    <xf numFmtId="168" fontId="0" fillId="2" borderId="0" xfId="1" applyNumberFormat="1" applyFont="1" applyFill="1"/>
    <xf numFmtId="166" fontId="0" fillId="2" borderId="18" xfId="190" applyNumberFormat="1" applyFont="1" applyFill="1" applyBorder="1"/>
    <xf numFmtId="4" fontId="0" fillId="2" borderId="0" xfId="190" applyFont="1" applyFill="1" applyAlignment="1">
      <alignment horizontal="right"/>
    </xf>
    <xf numFmtId="14" fontId="15" fillId="3" borderId="0" xfId="0" applyNumberFormat="1" applyFont="1" applyFill="1" applyAlignment="1">
      <alignment horizontal="center"/>
    </xf>
    <xf numFmtId="0" fontId="3" fillId="94" borderId="49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95" fillId="88" borderId="0" xfId="0" applyFont="1" applyFill="1" applyAlignment="1">
      <alignment horizontal="center"/>
    </xf>
    <xf numFmtId="0" fontId="3" fillId="92" borderId="46" xfId="0" applyFont="1" applyFill="1" applyBorder="1" applyAlignment="1">
      <alignment horizontal="left"/>
    </xf>
    <xf numFmtId="0" fontId="3" fillId="93" borderId="47" xfId="0" applyFont="1" applyFill="1" applyBorder="1" applyAlignment="1">
      <alignment horizontal="center"/>
    </xf>
    <xf numFmtId="0" fontId="3" fillId="93" borderId="48" xfId="0" applyFont="1" applyFill="1" applyBorder="1" applyAlignment="1">
      <alignment horizontal="center"/>
    </xf>
    <xf numFmtId="0" fontId="3" fillId="93" borderId="49" xfId="0" applyFont="1" applyFill="1" applyBorder="1" applyAlignment="1">
      <alignment horizontal="center"/>
    </xf>
    <xf numFmtId="0" fontId="3" fillId="93" borderId="50" xfId="0" applyFont="1" applyFill="1" applyBorder="1" applyAlignment="1">
      <alignment horizontal="center"/>
    </xf>
    <xf numFmtId="0" fontId="3" fillId="93" borderId="51" xfId="0" applyFont="1" applyFill="1" applyBorder="1" applyAlignment="1">
      <alignment horizontal="center"/>
    </xf>
    <xf numFmtId="0" fontId="3" fillId="93" borderId="52" xfId="0" applyFont="1" applyFill="1" applyBorder="1" applyAlignment="1">
      <alignment horizontal="center"/>
    </xf>
    <xf numFmtId="0" fontId="3" fillId="93" borderId="53" xfId="0" applyFont="1" applyFill="1" applyBorder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9" xfId="0" applyFont="1" applyBorder="1" applyAlignment="1">
      <alignment horizontal="center"/>
    </xf>
    <xf numFmtId="2" fontId="15" fillId="95" borderId="0" xfId="0" applyNumberFormat="1" applyFont="1" applyFill="1" applyAlignment="1">
      <alignment horizontal="center"/>
    </xf>
    <xf numFmtId="2" fontId="15" fillId="95" borderId="1" xfId="0" applyNumberFormat="1" applyFont="1" applyFill="1" applyBorder="1" applyAlignment="1">
      <alignment horizontal="center"/>
    </xf>
    <xf numFmtId="183" fontId="15" fillId="95" borderId="0" xfId="0" applyNumberFormat="1" applyFont="1" applyFill="1" applyAlignment="1">
      <alignment horizontal="center"/>
    </xf>
    <xf numFmtId="0" fontId="28" fillId="0" borderId="0" xfId="0" applyFont="1"/>
    <xf numFmtId="0" fontId="15" fillId="2" borderId="0" xfId="0" applyFont="1" applyFill="1" applyAlignment="1">
      <alignment horizontal="center"/>
    </xf>
    <xf numFmtId="2" fontId="15" fillId="2" borderId="18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0" fontId="15" fillId="12" borderId="0" xfId="0" applyFont="1" applyFill="1" applyAlignment="1">
      <alignment horizontal="center"/>
    </xf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0" xfId="0" applyFont="1" applyAlignment="1">
      <alignment horizontal="left"/>
    </xf>
    <xf numFmtId="0" fontId="86" fillId="0" borderId="0" xfId="0" applyFont="1" applyAlignment="1">
      <alignment horizontal="center"/>
    </xf>
    <xf numFmtId="0" fontId="3" fillId="92" borderId="49" xfId="0" applyFont="1" applyFill="1" applyBorder="1" applyAlignment="1">
      <alignment horizontal="center"/>
    </xf>
    <xf numFmtId="0" fontId="15" fillId="0" borderId="0" xfId="0" quotePrefix="1" applyFont="1"/>
    <xf numFmtId="4" fontId="28" fillId="2" borderId="0" xfId="190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70" fontId="0" fillId="2" borderId="0" xfId="190" applyNumberFormat="1" applyFont="1" applyFill="1"/>
    <xf numFmtId="171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4" fontId="28" fillId="96" borderId="0" xfId="190" applyFont="1" applyFill="1"/>
    <xf numFmtId="0" fontId="0" fillId="96" borderId="0" xfId="0" applyFill="1"/>
    <xf numFmtId="166" fontId="0" fillId="96" borderId="0" xfId="190" applyNumberFormat="1" applyFont="1" applyFill="1"/>
    <xf numFmtId="4" fontId="86" fillId="96" borderId="0" xfId="190" applyFont="1" applyFill="1"/>
    <xf numFmtId="43" fontId="0" fillId="96" borderId="0" xfId="190" applyNumberFormat="1" applyFont="1" applyFill="1"/>
    <xf numFmtId="10" fontId="0" fillId="96" borderId="0" xfId="1" applyNumberFormat="1" applyFont="1" applyFill="1"/>
    <xf numFmtId="9" fontId="0" fillId="96" borderId="0" xfId="1" applyFont="1" applyFill="1"/>
    <xf numFmtId="172" fontId="0" fillId="96" borderId="0" xfId="1" applyNumberFormat="1" applyFont="1" applyFill="1"/>
    <xf numFmtId="170" fontId="1" fillId="96" borderId="0" xfId="190" applyNumberFormat="1" applyFont="1" applyFill="1"/>
    <xf numFmtId="43" fontId="0" fillId="96" borderId="0" xfId="190" quotePrefix="1" applyNumberFormat="1" applyFont="1" applyFill="1"/>
    <xf numFmtId="4" fontId="1" fillId="96" borderId="0" xfId="190" applyFont="1" applyFill="1" applyAlignment="1">
      <alignment horizontal="right"/>
    </xf>
    <xf numFmtId="167" fontId="0" fillId="96" borderId="0" xfId="190" applyNumberFormat="1" applyFont="1" applyFill="1"/>
    <xf numFmtId="195" fontId="0" fillId="96" borderId="0" xfId="190" applyNumberFormat="1" applyFont="1" applyFill="1"/>
    <xf numFmtId="170" fontId="0" fillId="96" borderId="0" xfId="190" applyNumberFormat="1" applyFont="1" applyFill="1"/>
    <xf numFmtId="171" fontId="0" fillId="96" borderId="0" xfId="190" applyNumberFormat="1" applyFont="1" applyFill="1"/>
    <xf numFmtId="172" fontId="0" fillId="96" borderId="0" xfId="0" applyNumberFormat="1" applyFill="1"/>
    <xf numFmtId="4" fontId="0" fillId="96" borderId="0" xfId="190" applyFont="1" applyFill="1"/>
    <xf numFmtId="169" fontId="0" fillId="96" borderId="0" xfId="190" applyNumberFormat="1" applyFont="1" applyFill="1"/>
    <xf numFmtId="2" fontId="0" fillId="96" borderId="0" xfId="0" applyNumberFormat="1" applyFill="1"/>
    <xf numFmtId="170" fontId="107" fillId="0" borderId="0" xfId="0" applyNumberFormat="1" applyFont="1" applyFill="1" applyAlignment="1">
      <alignment horizontal="center" vertical="center" wrapText="1"/>
    </xf>
    <xf numFmtId="0" fontId="106" fillId="0" borderId="0" xfId="0" applyFont="1" applyFill="1" applyAlignment="1">
      <alignment horizontal="left"/>
    </xf>
    <xf numFmtId="172" fontId="106" fillId="0" borderId="0" xfId="0" applyNumberFormat="1" applyFont="1" applyFill="1" applyAlignment="1"/>
    <xf numFmtId="10" fontId="106" fillId="0" borderId="0" xfId="0" applyNumberFormat="1" applyFont="1" applyFill="1" applyAlignment="1"/>
    <xf numFmtId="0" fontId="106" fillId="0" borderId="0" xfId="0" applyFont="1" applyFill="1" applyAlignment="1">
      <alignment horizontal="left" indent="1"/>
    </xf>
    <xf numFmtId="170" fontId="106" fillId="0" borderId="0" xfId="0" applyNumberFormat="1" applyFont="1" applyFill="1" applyAlignment="1"/>
    <xf numFmtId="10" fontId="106" fillId="0" borderId="0" xfId="0" applyNumberFormat="1" applyFont="1" applyFill="1" applyAlignment="1">
      <alignment horizontal="center" vertical="center" wrapText="1"/>
    </xf>
    <xf numFmtId="0" fontId="106" fillId="0" borderId="0" xfId="0" applyFont="1" applyFill="1" applyAlignment="1">
      <alignment horizontal="center" vertical="center" wrapText="1"/>
    </xf>
  </cellXfs>
  <cellStyles count="5471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41" xfId="5461" xr:uid="{1D9E56D4-CAB9-4513-A5AD-78BFD0AB18BC}"/>
    <cellStyle name="Comma 1042" xfId="5462" xr:uid="{399C54C2-D316-46CE-A002-97FBA15A13A8}"/>
    <cellStyle name="Comma 1043" xfId="5463" xr:uid="{DFCE0AB9-6F55-4925-83C8-AA9836656CD9}"/>
    <cellStyle name="Comma 1044" xfId="5464" xr:uid="{9F60B737-9FE0-4B85-A883-F517EB1201A4}"/>
    <cellStyle name="Comma 1045" xfId="5465" xr:uid="{2B63C518-3F18-4AF8-85EB-FDFA24B05DF4}"/>
    <cellStyle name="Comma 1046" xfId="5466" xr:uid="{5AFE10BD-5E1F-4C99-A272-1B05C0AE7B1E}"/>
    <cellStyle name="Comma 1047" xfId="5467" xr:uid="{2231C96B-844D-44C8-B54B-712B871FEB27}"/>
    <cellStyle name="Comma 1048" xfId="5468" xr:uid="{B753660E-6B7A-4CEC-B55D-1D3B678F5647}"/>
    <cellStyle name="Comma 1049" xfId="5469" xr:uid="{B1E668D2-E5E2-4490-A4A2-7E925B1B84FA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50" xfId="5470" xr:uid="{D92AC5C4-088B-4121-A06E-0F81EE7A4C82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69"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26775.57</v>
        <stp/>
        <stp>BDP|17098946093906753306|22</stp>
        <stp>HSI Index</stp>
        <stp>LAST_PRICE</stp>
        <tr r="H18" s="252"/>
        <tr r="H18" s="252"/>
      </tp>
      <tp>
        <v>407.97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 t="s">
        <v>USD</v>
        <stp/>
        <stp>BDP|2490195519672700929|22</stp>
        <stp>MRVL US 03/20/26 P70 Equity</stp>
        <stp>QUOTED_CURRENCY_REALTIME</stp>
        <tr r="G14" s="2"/>
        <tr r="F63" s="89"/>
      </tp>
      <tp>
        <v>0.52641713619232178</v>
        <stp/>
        <stp>BDP|17313826581786805603|22</stp>
        <stp>AMZN US 07/17/26 C250 Equity</stp>
        <stp>DELTA_MID_RT</stp>
        <tr r="W234" s="89"/>
      </tp>
      <tp t="s">
        <v>#N/A Invalid Security</v>
        <stp/>
        <stp>BDP|6862638698669677918|22</stp>
        <stp>CSCO US 07/17/26 C670 Equity</stp>
        <stp>bid</stp>
        <tr r="K26" s="89"/>
      </tp>
      <tp t="s">
        <v>#N/A Real Time</v>
        <stp/>
        <stp>BDP|9106857053131827566|22</stp>
        <stp>SPXW US 12/31/25 C6950 Index</stp>
        <stp>DELTA_MID_RT</stp>
        <tr r="W160" s="89"/>
      </tp>
      <tp>
        <v>0.61761617660522461</v>
        <stp/>
        <stp>BDP|16080044180315030458|22</stp>
        <stp>META US 04/17/26 C690 Equity</stp>
        <stp>DELTA_MID_RT</stp>
        <tr r="W169" s="89"/>
      </tp>
      <tp>
        <v>2.12</v>
        <stp/>
        <stp>BDP|9946810605715956638|22</stp>
        <stp>AMAT US 01/23/26 P280 Equity</stp>
        <stp>ask</stp>
        <tr r="L56" s="89"/>
      </tp>
      <tp>
        <v>1.25</v>
        <stp/>
        <stp>BDP|6404964195248120774|22</stp>
        <stp>DELL US 02/06/26 P115 Equity</stp>
        <stp>ask</stp>
        <tr r="L49" s="89"/>
      </tp>
      <tp>
        <v>0.65</v>
        <stp/>
        <stp>BDP|9716029128836757584|22</stp>
        <stp>NVDA US 02/06/26 C195 Equity</stp>
        <stp>ask</stp>
        <tr r="L39" s="89"/>
      </tp>
      <tp t="s">
        <v>#N/A Real Time</v>
        <stp/>
        <stp>BDP|4173700437419483715|22</stp>
        <stp>IMBWK5C4 5880 Index</stp>
        <stp>bid</stp>
        <tr r="K90" s="89"/>
      </tp>
      <tp t="s">
        <v>#N/A N/A</v>
        <stp/>
        <stp>BDP|1660304564695201690|22</stp>
        <stp>AMAT US 01/23/26 P290 Equity</stp>
        <stp>bid</stp>
        <tr r="K55" s="89"/>
      </tp>
      <tp t="s">
        <v>USD</v>
        <stp/>
        <stp>BDP|6836574577411751820|22</stp>
        <stp>MRVL US 03/20/26 P75 Equity</stp>
        <stp>QUOTED_CURRENCY_REALTIME</stp>
        <tr r="G12" s="2"/>
      </tp>
      <tp>
        <v>0.34</v>
        <stp/>
        <stp>BDP|9697370432367542899|22</stp>
        <stp>NVDA US 02/06/26 C197.5 Equity</stp>
        <stp>bid</stp>
        <tr r="K33" s="89"/>
      </tp>
      <tp t="s">
        <v>USD</v>
        <stp/>
        <stp>BDP|13239800232899395154|22</stp>
        <stp>1OG6P 25750 Index</stp>
        <stp>QUOTED_CURRENCY_REALTIME</stp>
        <tr r="F153" s="89"/>
      </tp>
      <tp t="s">
        <v>#N/A Invalid Security</v>
        <stp/>
        <stp>BDP|3593915796088697469|22</stp>
        <stp xml:space="preserve"> Equity</stp>
        <stp>DELTA_MID_RT</stp>
        <tr r="W178" s="89"/>
        <tr r="W179" s="89"/>
      </tp>
      <tp t="s">
        <v>#N/A Real Time</v>
        <stp/>
        <stp>BDP|3954062195024173589|22</stp>
        <stp>RTYWU5C3 2425 Index</stp>
        <stp>ask</stp>
        <tr r="L144" s="89"/>
      </tp>
      <tp>
        <v>513000</v>
        <stp/>
        <stp>BDP|16866508691273641435|22</stp>
        <stp>402340 KS Equity</stp>
        <stp>LAST_PRICE</stp>
        <tr r="I33" s="1"/>
      </tp>
      <tp>
        <v>15.25</v>
        <stp/>
        <stp>BDP|5846012848698429799|22</stp>
        <stp>MSFT US 07/17/26 C470 Equity</stp>
        <stp>bid</stp>
        <tr r="K235" s="89"/>
      </tp>
      <tp>
        <v>0.63807898759841919</v>
        <stp/>
        <stp>BDP|11737212965379664006|22</stp>
        <stp>META US 07/17/26 C680 Equity</stp>
        <stp>DELTA_MID_RT</stp>
        <tr r="W233" s="89"/>
      </tp>
      <tp>
        <v>-0.11153247207403183</v>
        <stp/>
        <stp>BDP|2162853239863021436|22</stp>
        <stp>TSM US 06/18/26 C380 Equity</stp>
        <stp>theta_mid_rt</stp>
        <tr r="AN25" s="2"/>
      </tp>
      <tp>
        <v>0.81828278303146362</v>
        <stp/>
        <stp>BDP|10012779820456568860|22</stp>
        <stp>META US 02/27/26 C660 Equity</stp>
        <stp>DELTA_MID_RT</stp>
        <tr r="W180" s="89"/>
      </tp>
      <tp>
        <v>34.08</v>
        <stp/>
        <stp>BDP|4238048935133024019|22</stp>
        <stp>AVGO US 06/18/26 C350 Equity</stp>
        <stp>mid</stp>
        <tr r="L5" s="2"/>
      </tp>
      <tp t="s">
        <v>#N/A N/A</v>
        <stp/>
        <stp>BDP|7439765758104486583|22</stp>
        <stp>AMAT US 01/23/26 P280 Equity</stp>
        <stp>bid</stp>
        <tr r="K56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BDP|2533983096932488351|22</stp>
        <stp>RTYWU5C3 2425 Index</stp>
        <stp>bid</stp>
        <tr r="K144" s="89"/>
      </tp>
      <tp>
        <v>54.03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>
        <v>25874.25</v>
        <stp/>
        <stp>BDP|15320864327158412398|22</stp>
        <stp>1OH6 Equity</stp>
        <stp>LAST_PRICE</stp>
        <tr r="I17" s="1"/>
      </tp>
      <tp>
        <v>0.13637913763523102</v>
        <stp/>
        <stp>BDP|14091170888152008254|22</stp>
        <stp>ASHR US 02/20/26 C35 Equity</stp>
        <stp>DELTA_MID_RT</stp>
        <tr r="AF4" s="2"/>
      </tp>
      <tp>
        <v>0.68115639686584473</v>
        <stp/>
        <stp>BDP|10111712063840980805|22</stp>
        <stp>AAPL US 04/17/26 C260 Equity</stp>
        <stp>DELTA_MID_RT</stp>
        <tr r="W7" s="89"/>
        <tr r="AF15" s="2"/>
      </tp>
      <tp t="s">
        <v>#N/A Real Time</v>
        <stp/>
        <stp>BDP|3350828662352011280|22</stp>
        <stp>RFSWZ4C3 2360 Index</stp>
        <stp>ask</stp>
        <tr r="L122" s="89"/>
      </tp>
      <tp>
        <v>-0.23269110918045044</v>
        <stp/>
        <stp>BDP|17295184878350823401|22</stp>
        <stp>INTC US 07/17/26 P40 Equity</stp>
        <stp>DELTA_MID_RT</stp>
        <tr r="AF21" s="2"/>
        <tr r="W197" s="89"/>
      </tp>
      <tp>
        <v>0.58953726291656494</v>
        <stp/>
        <stp>BDP|13298101022063198194|22</stp>
        <stp>META US 07/17/26 C700 Equity</stp>
        <stp>DELTA_MID_RT</stp>
        <tr r="W14" s="89"/>
        <tr r="W27" s="89"/>
        <tr r="W171" s="89"/>
      </tp>
      <tp>
        <v>0.3</v>
        <stp/>
        <stp>BDP|6389157119875502262|22</stp>
        <stp>DELL US 02/06/26 P110 Equity</stp>
        <stp>ask</stp>
        <tr r="L50" s="89"/>
      </tp>
      <tp>
        <v>423.37</v>
        <stp/>
        <stp>BDP|274803756834169207|22</stp>
        <stp>MSFT EQUITY</stp>
        <stp>LAST_PRICE</stp>
        <tr r="C7" s="1"/>
      </tp>
      <tp t="s">
        <v>#N/A Real Time</v>
        <stp/>
        <stp>BDP|2891447407704048860|22</stp>
        <stp>IMBWK5C4 5840 Index</stp>
        <stp>bid</stp>
        <tr r="K89" s="89"/>
      </tp>
      <tp>
        <v>4.3</v>
        <stp/>
        <stp>BDP|9574732227585956892|22</stp>
        <stp>MSFT US 02/20/26 C435 Equity</stp>
        <stp>bid</stp>
        <tr r="K204" s="89"/>
      </tp>
      <tp t="s">
        <v>USD</v>
        <stp/>
        <stp>BDP|6256704095836032074|22</stp>
        <stp>INTC US 07/17/26 C50 Equity</stp>
        <stp>QUOTED_CURRENCY_REALTIME</stp>
        <tr r="G20" s="2"/>
        <tr r="F196" s="89"/>
      </tp>
      <tp t="s">
        <v>USD</v>
        <stp/>
        <stp>BDP|7525271008399615963|22</stp>
        <stp>MRVL US 03/20/26 P80 Equity</stp>
        <stp>QUOTED_CURRENCY_REALTIME</stp>
        <tr r="G13" s="2"/>
        <tr r="F62" s="89"/>
      </tp>
      <tp>
        <v>1.48</v>
        <stp/>
        <stp>BDP|3676228802807623682|22</stp>
        <stp>MSFT US 02/20/26 C450 Equity</stp>
        <stp>bid</stp>
        <tr r="K203" s="89"/>
      </tp>
      <tp>
        <v>4.45</v>
        <stp/>
        <stp>BDP|6466187796004974975|22</stp>
        <stp>MSFT US 02/20/26 C435 Equity</stp>
        <stp>ask</stp>
        <tr r="L204" s="89"/>
      </tp>
      <tp>
        <v>70.040000000000006</v>
        <stp/>
        <stp>BDP|3505174117914270567|22</stp>
        <stp>KRE Equity</stp>
        <stp>LAST PRICE</stp>
        <tr r="I54" s="338"/>
      </tp>
      <tp>
        <v>-0.37143871188163757</v>
        <stp/>
        <stp>BDP|7339388302211404545|22</stp>
        <stp>QQQ US 02/06/26 P615 Equity</stp>
        <stp>theta_mid_rt</stp>
        <tr r="AN18" s="2"/>
      </tp>
      <tp>
        <v>1.57</v>
        <stp/>
        <stp>BDP|4001374458224189612|22</stp>
        <stp>MSFT US 02/20/26 C450 Equity</stp>
        <stp>ask</stp>
        <tr r="L203" s="89"/>
      </tp>
      <tp>
        <v>262.18</v>
        <stp/>
        <stp>BDP|9630309169962502325|22</stp>
        <stp>IWM Equity</stp>
        <stp>LAST PRICE</stp>
        <tr r="I48" s="338"/>
        <tr r="I49" s="338"/>
      </tp>
      <tp>
        <v>11.95</v>
        <stp/>
        <stp>BDP|5246680316890063223|22</stp>
        <stp>NVDA US 05/15/26 C200 Equity</stp>
        <stp>bid</stp>
        <tr r="P6" s="2"/>
      </tp>
      <tp>
        <v>48.2</v>
        <stp/>
        <stp>BDP|3590605343208203473|22</stp>
        <stp>META US 07/17/26 C750 Equity</stp>
        <stp>ask</stp>
        <tr r="L13" s="89"/>
        <tr r="Q8" s="2"/>
        <tr r="Q9" s="2"/>
      </tp>
      <tp t="s">
        <v>#N/A Requesting Data...3023010626</v>
        <stp/>
        <stp>BDP|17013938858517156635</stp>
        <tr r="AR20" s="2"/>
      </tp>
      <tp t="s">
        <v>#N/A N/A</v>
        <stp/>
        <stp>BDP|10279292815169732005</stp>
        <tr r="AG33" s="1"/>
      </tp>
      <tp t="s">
        <v>#N/A Requesting Data...1356976854</v>
        <stp/>
        <stp>BDP|15582332073698885344</stp>
        <tr r="G19" s="446"/>
      </tp>
      <tp t="s">
        <v>#N/A N/A</v>
        <stp/>
        <stp>BDP|18146375769712507536</stp>
        <tr r="E2" s="1"/>
        <tr r="K51" s="1"/>
      </tp>
      <tp t="s">
        <v>#N/A Requesting Data...3368263100</v>
        <stp/>
        <stp>BDP|13135230879275111937</stp>
        <tr r="AJ12" s="338"/>
      </tp>
      <tp t="s">
        <v>#N/A Requesting Data...2376656710</v>
        <stp/>
        <stp>BDP|17278629169738623577</stp>
        <tr r="N19" s="252"/>
        <tr r="N19" s="252"/>
      </tp>
      <tp t="s">
        <v>#N/A Requesting Data...968624773</v>
        <stp/>
        <stp>BDP|17052781431848040118</stp>
        <tr r="V212" s="89"/>
      </tp>
      <tp t="s">
        <v>#N/A Requesting Data...3905979570</v>
        <stp/>
        <stp>BDP|15581562198526337530</stp>
        <tr r="AK12" s="338"/>
      </tp>
      <tp t="s">
        <v>#N/A Requesting Data...949186572</v>
        <stp/>
        <stp>BDP|13286384604342093849</stp>
        <tr r="X45" s="338"/>
      </tp>
      <tp t="s">
        <v>#N/A Requesting Data...3824544282</v>
        <stp/>
        <stp>BDP|15066740787161023192</stp>
        <tr r="Q47" s="338"/>
      </tp>
      <tp t="s">
        <v>#N/A Requesting Data...869041499</v>
        <stp/>
        <stp>BDP|10697032249217899983</stp>
        <tr r="L47" s="338"/>
        <tr r="L10" s="338"/>
        <tr r="L53" s="338"/>
        <tr r="J10" s="338"/>
        <tr r="L44" s="338"/>
        <tr r="H44" s="338"/>
        <tr r="H47" s="338"/>
        <tr r="L48" s="338"/>
        <tr r="H48" s="338"/>
        <tr r="J53" s="338"/>
      </tp>
      <tp t="s">
        <v>#N/A Requesting Data...2411660271</v>
        <stp/>
        <stp>BDP|18304888293894101754</stp>
        <tr r="S9" s="338"/>
      </tp>
      <tp t="s">
        <v>#N/A Requesting Data...1280282002</v>
        <stp/>
        <stp>BDP|10639276692284852548</stp>
        <tr r="F28" s="446"/>
      </tp>
      <tp t="s">
        <v>#N/A Requesting Data...1777783698</v>
        <stp/>
        <stp>BDP|10749518787913680498</stp>
        <tr r="G41" s="446"/>
      </tp>
      <tp t="s">
        <v>#N/A Requesting Data...3116461511</v>
        <stp/>
        <stp>BDP|15491877244086779510</stp>
        <tr r="C90" s="89"/>
      </tp>
      <tp t="s">
        <v>#N/A Requesting Data...2476218724</v>
        <stp/>
        <stp>BDP|15599576753428820781</stp>
        <tr r="O236" s="89"/>
      </tp>
      <tp t="s">
        <v>#N/A N/A</v>
        <stp/>
        <stp>BDP|15119105356728105374</stp>
        <tr r="AB55" s="89"/>
        <tr r="AB56" s="89"/>
      </tp>
      <tp t="s">
        <v>#N/A Requesting Data...2995880321</v>
        <stp/>
        <stp>BDP|12497145892616892699</stp>
        <tr r="D102" s="89"/>
      </tp>
      <tp t="s">
        <v>#N/A Requesting Data...919922614</v>
        <stp/>
        <stp>BDP|14492417491683249054</stp>
        <tr r="AJ41" s="338"/>
        <tr r="AJ42" s="338"/>
      </tp>
      <tp t="s">
        <v>#N/A Requesting Data...2966564320</v>
        <stp/>
        <stp>BDP|17859999151229570867</stp>
        <tr r="E8" s="89"/>
      </tp>
      <tp t="s">
        <v>#N/A Requesting Data...1332524466</v>
        <stp/>
        <stp>BDP|13840950528096738417</stp>
        <tr r="L42" s="338"/>
        <tr r="J42" s="338"/>
      </tp>
      <tp t="s">
        <v>#N/A Requesting Data...1259879979</v>
        <stp/>
        <stp>BDP|10145867011121078252</stp>
        <tr r="E171" s="89"/>
        <tr r="E14" s="89"/>
        <tr r="E27" s="89"/>
      </tp>
      <tp t="s">
        <v>#N/A N/A</v>
        <stp/>
        <stp>BDP|12363723043083315837</stp>
        <tr r="R160" s="89"/>
      </tp>
      <tp t="s">
        <v>#N/A N/A</v>
        <stp/>
        <stp>BDP|14891875496009468680</stp>
        <tr r="R108" s="89"/>
      </tp>
      <tp t="s">
        <v>#N/A Requesting Data...3471797532</v>
        <stp/>
        <stp>BDP|10020321410941159965</stp>
        <tr r="S42" s="338"/>
      </tp>
      <tp t="s">
        <v>#N/A Requesting Data...3710769441</v>
        <stp/>
        <stp>BDP|11794748141588350041</stp>
        <tr r="AJ8" s="338"/>
        <tr r="AJ9" s="338"/>
      </tp>
      <tp t="s">
        <v>#N/A N/A</v>
        <stp/>
        <stp>BDP|10458815631710387136</stp>
        <tr r="D82" s="89"/>
      </tp>
      <tp t="s">
        <v>#N/A Requesting Data...3767994888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N/A</v>
        <stp/>
        <stp>BDP|16757205954548058378</stp>
        <tr r="AI32" s="1"/>
      </tp>
      <tp t="s">
        <v>#N/A Requesting Data...3193603125</v>
        <stp/>
        <stp>BDP|16761382649589718257</stp>
        <tr r="AB24" s="1"/>
        <tr r="AB25" s="1"/>
        <tr r="F27" s="446"/>
      </tp>
      <tp t="s">
        <v>#N/A Requesting Data...4138234649</v>
        <stp/>
        <stp>BDP|11629287799981255124</stp>
        <tr r="C68" s="89"/>
      </tp>
      <tp t="s">
        <v>#N/A N/A</v>
        <stp/>
        <stp>BDP|10560430593062313514</stp>
        <tr r="AG53" s="1"/>
      </tp>
      <tp t="s">
        <v>#N/A N/A</v>
        <stp/>
        <stp>BDP|13546818454494181070</stp>
        <tr r="AC53" s="1"/>
      </tp>
      <tp t="b">
        <v>0</v>
        <stp/>
        <stp>BDH|17074703823969750119</stp>
        <tr r="AP14" s="338"/>
        <tr r="AP35" s="338"/>
      </tp>
      <tp t="b">
        <v>0</v>
        <stp/>
        <stp>BDH|10097910716274795641</stp>
        <tr r="W18" s="252"/>
        <tr r="T18" s="252"/>
      </tp>
      <tp t="b">
        <v>0</v>
        <stp/>
        <stp>BDH|15785807556341276381</stp>
        <tr r="AN15" s="338"/>
        <tr r="AS40" s="338"/>
        <tr r="AN39" s="338"/>
      </tp>
      <tp t="b">
        <v>0</v>
        <stp/>
        <stp>BDH|14115468909753774979</stp>
        <tr r="AN40" s="338"/>
        <tr r="AN16" s="338"/>
        <tr r="AN38" s="338"/>
      </tp>
      <tp t="s">
        <v>#N/A Real Time</v>
        <stp/>
        <stp>BDP|14244088115833890454|22</stp>
        <stp>SCH5C   6250 Index</stp>
        <stp>DELTA_MID_RT</stp>
        <tr r="W96" s="89"/>
      </tp>
      <tp>
        <v>0.57376039028167725</v>
        <stp/>
        <stp>BDP|11754717216942473893|22</stp>
        <stp>INTC US 07/17/26 C50 Equity</stp>
        <stp>DELTA_MID_RT</stp>
        <tr r="AF20" s="2"/>
        <tr r="W196" s="89"/>
      </tp>
      <tp t="s">
        <v>USD</v>
        <stp/>
        <stp>BDP|7038450884215533681|22</stp>
        <stp>1OG6P 25000 INDEX</stp>
        <stp>QUOTED_CURRENCY_REALTIME</stp>
        <tr r="G23" s="2"/>
      </tp>
      <tp>
        <v>18.600000000000001</v>
        <stp/>
        <stp>BDP|4828129288805035374|22</stp>
        <stp>AAPL US 04/17/26 C260 Equity</stp>
        <stp>ask</stp>
        <tr r="L7" s="89"/>
        <tr r="Q15" s="2"/>
      </tp>
      <tp>
        <v>0.30240985751152039</v>
        <stp/>
        <stp>BDP|15091267836171787049|22</stp>
        <stp>AVGO US 06/18/26 C410 Equity</stp>
        <stp>DELTA_MID_RT</stp>
        <tr r="W222" s="89"/>
      </tp>
      <tp>
        <v>23.7</v>
        <stp/>
        <stp>BDP|9892279240398643988|22</stp>
        <stp>AVGO US 06/18/26 P300 Equity</stp>
        <stp>bid</stp>
        <tr r="K224" s="89"/>
      </tp>
      <tp t="s">
        <v>#N/A Requesting Data...1012011488</v>
        <stp/>
        <stp>BDP|14708527546846978837</stp>
        <tr r="F22" s="446"/>
      </tp>
      <tp t="s">
        <v>#N/A N/A</v>
        <stp/>
        <stp>BDP|18327357577430154792</stp>
        <tr r="AB15" s="1"/>
        <tr r="AB16" s="1"/>
      </tp>
      <tp t="s">
        <v>#N/A Requesting Data...454905885</v>
        <stp/>
        <stp>BDP|17382508591454336498</stp>
        <tr r="F10" s="446"/>
      </tp>
      <tp t="s">
        <v>#N/A N/A</v>
        <stp/>
        <stp>BDP|17953939637996030051</stp>
        <tr r="AI34" s="1"/>
        <tr r="AI35" s="1"/>
      </tp>
      <tp t="s">
        <v>#N/A Requesting Data...639656205</v>
        <stp/>
        <stp>BDP|15393992280169008616</stp>
        <tr r="F24" s="446"/>
      </tp>
      <tp t="s">
        <v>#N/A N/A</v>
        <stp/>
        <stp>BDP|12121219619853279905</stp>
        <tr r="F22" s="2"/>
      </tp>
      <tp t="s">
        <v>#N/A Requesting Data...3764775577</v>
        <stp/>
        <stp>BDP|10256865635189905931</stp>
        <tr r="AC28" s="1"/>
        <tr r="D26" s="446"/>
      </tp>
      <tp t="s">
        <v>#N/A Requesting Data...1431596023</v>
        <stp/>
        <stp>BDP|16456696081243656014</stp>
        <tr r="E237" s="89"/>
      </tp>
      <tp t="s">
        <v>#N/A Requesting Data...3408729785</v>
        <stp/>
        <stp>BDP|16326536432018842310</stp>
        <tr r="E102" s="89"/>
      </tp>
      <tp t="s">
        <v>#N/A Requesting Data...1836600018</v>
        <stp/>
        <stp>BDP|14305045698741171731</stp>
        <tr r="AD12" s="2"/>
      </tp>
      <tp t="s">
        <v>#N/A Requesting Data...4169217509</v>
        <stp/>
        <stp>BDP|10846290148809317467</stp>
        <tr r="T47" s="338"/>
      </tp>
      <tp t="s">
        <v>#N/A Requesting Data...1838241594</v>
        <stp/>
        <stp>BDP|17908300451053627923</stp>
        <tr r="C12" s="2"/>
      </tp>
      <tp t="s">
        <v>#N/A N/A</v>
        <stp/>
        <stp>BDP|15319109960459527098</stp>
        <tr r="AC6" s="2"/>
      </tp>
      <tp t="s">
        <v>#N/A Requesting Data...3286787721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Data...2218645302</v>
        <stp/>
        <stp>BDP|11569977534954801402</stp>
        <tr r="D63" s="89"/>
      </tp>
      <tp t="s">
        <v>#N/A Requesting Data...3642287267</v>
        <stp/>
        <stp>BDP|15664742289921271075</stp>
        <tr r="Q37" s="338"/>
      </tp>
      <tp t="s">
        <v>#N/A Requesting Data...1158588442</v>
        <stp/>
        <stp>BDP|14945010294650760658</stp>
        <tr r="L37" s="338"/>
        <tr r="H37" s="338"/>
      </tp>
      <tp t="s">
        <v>#N/A Requesting Data...2383198224</v>
        <stp/>
        <stp>BDP|12625403616855824991</stp>
        <tr r="F15" s="446"/>
      </tp>
      <tp t="s">
        <v>#N/A Requesting Data...966842353</v>
        <stp/>
        <stp>BDP|14416377574372571935</stp>
        <tr r="D101" s="89"/>
      </tp>
      <tp t="s">
        <v>#N/A Requesting Data...1035745220</v>
        <stp/>
        <stp>BDP|10942621120688011798</stp>
        <tr r="V55" s="338"/>
      </tp>
      <tp t="s">
        <v>#N/A Requesting Data...1404253786</v>
        <stp/>
        <stp>BDP|14853590894083718008</stp>
        <tr r="V12" s="338"/>
      </tp>
      <tp t="s">
        <v>#N/A Requesting Data...748366491</v>
        <stp/>
        <stp>BDP|14854962329502641640</stp>
        <tr r="Q15" s="338"/>
        <tr r="Q39" s="338"/>
      </tp>
      <tp t="s">
        <v>#N/A Requesting Data...3549439180</v>
        <stp/>
        <stp>BDP|13154673264950579831</stp>
        <tr r="P8" s="338"/>
      </tp>
      <tp t="s">
        <v>#N/A Requesting Data...3547798246</v>
        <stp/>
        <stp>BDP|18352383299971018866</stp>
        <tr r="V96" s="89"/>
      </tp>
      <tp t="s">
        <v>#N/A Requesting Data...3589448394</v>
        <stp/>
        <stp>BDP|10865582194811567656</stp>
        <tr r="C170" s="89"/>
      </tp>
      <tp t="s">
        <v>#N/A N/A</v>
        <stp/>
        <stp>BDP|17412256376728609151</stp>
        <tr r="T81" s="89"/>
      </tp>
      <tp t="s">
        <v>#N/A Requesting Data...2392672788</v>
        <stp/>
        <stp>BDP|15688519024610633913</stp>
        <tr r="C20" s="2"/>
      </tp>
      <tp t="s">
        <v>#N/A Requesting Data...2978708411</v>
        <stp/>
        <stp>BDP|18149202901248495937</stp>
        <tr r="AH8" s="338"/>
        <tr r="AH9" s="338"/>
      </tp>
      <tp t="s">
        <v>#N/A Requesting Data...473732536</v>
        <stp/>
        <stp>BDP|17812279814258546797</stp>
        <tr r="U12" s="338"/>
      </tp>
      <tp t="s">
        <v>#N/A Requesting Data...635142067</v>
        <stp/>
        <stp>BDP|16354487536428919237</stp>
        <tr r="P36" s="338"/>
      </tp>
      <tp t="s">
        <v>#N/A Requesting Data...3623943121</v>
        <stp/>
        <stp>BDP|12938986196201541855</stp>
        <tr r="T9" s="338"/>
      </tp>
      <tp t="b">
        <v>0</v>
        <stp/>
        <stp>BDH|18413110195529485200</stp>
        <tr r="AR11" s="338"/>
      </tp>
      <tp t="b">
        <v>0</v>
        <stp/>
        <stp>BDH|16403918062731732372</stp>
        <tr r="AS42" s="338"/>
      </tp>
      <tp t="b">
        <v>0</v>
        <stp/>
        <stp>BDH|10894556402787529971</stp>
        <tr r="AR29" s="338"/>
      </tp>
      <tp t="b">
        <v>0</v>
        <stp/>
        <stp>BDH|12830312173465174879</stp>
        <tr r="AR18" s="338"/>
      </tp>
      <tp t="s">
        <v>#N/A Requesting Data...2852459759</v>
        <stp/>
        <stp>BDP|16382697175628205742</stp>
        <tr r="K2" s="2"/>
        <tr r="J1" s="24"/>
      </tp>
      <tp t="s">
        <v>#N/A Requesting Data...3758907873</v>
        <stp/>
        <stp>BDP|15424437415758390085</stp>
        <tr r="C15" s="2"/>
      </tp>
      <tp t="s">
        <v>#N/A Requesting Data...1911709774</v>
        <stp/>
        <stp>BDP|14534507482414865574</stp>
        <tr r="AF54" s="1"/>
        <tr r="AF17" s="338"/>
        <tr r="AF18" s="338"/>
      </tp>
      <tp t="s">
        <v>#N/A Requesting Data...3017359098</v>
        <stp/>
        <stp>BDP|18104805924642791891</stp>
        <tr r="AK9" s="338"/>
      </tp>
      <tp t="s">
        <v>#N/A Requesting Data...4102567721</v>
        <stp/>
        <stp>BDP|18319033186521864931</stp>
        <tr r="T224" s="89"/>
      </tp>
      <tp t="s">
        <v>#N/A Requesting Data...4039986221</v>
        <stp/>
        <stp>BDP|11421352885480139296</stp>
        <tr r="AK18" s="338"/>
      </tp>
      <tp t="s">
        <v>#N/A N/A</v>
        <stp/>
        <stp>BDP|14385972258221788175</stp>
        <tr r="K55" s="1"/>
      </tp>
      <tp t="s">
        <v>#N/A Requesting Data...400181613</v>
        <stp/>
        <stp>BDP|16045432129011020960</stp>
        <tr r="Q41" s="338"/>
      </tp>
      <tp t="s">
        <v>#N/A Requesting Data...1352862707</v>
        <stp/>
        <stp>BDP|14368247967240567849</stp>
        <tr r="AK48" s="338"/>
        <tr r="AK49" s="338"/>
      </tp>
      <tp t="s">
        <v>#N/A N/A</v>
        <stp/>
        <stp>BDP|14349475688053402391</stp>
        <tr r="AV23" s="2"/>
        <tr r="AV22" s="2"/>
      </tp>
      <tp t="s">
        <v>#N/A N/A</v>
        <stp/>
        <stp>BDP|18355353104331140221</stp>
        <tr r="E6" s="1"/>
        <tr r="K24" s="1"/>
      </tp>
      <tp t="s">
        <v>#N/A Requesting Data...3390435429</v>
        <stp/>
        <stp>BDP|14339764599746958441</stp>
        <tr r="L14" s="252"/>
        <tr r="L14" s="252"/>
      </tp>
      <tp t="s">
        <v>#N/A Requesting Data...464311108</v>
        <stp/>
        <stp>BDP|13273727322169541747</stp>
        <tr r="S31" s="338"/>
      </tp>
      <tp t="s">
        <v>#N/A Requesting Data...3179051714</v>
        <stp/>
        <stp>BDP|12445406154958031339</stp>
        <tr r="Q12" s="338"/>
      </tp>
      <tp t="s">
        <v>#N/A Requesting Data...3887862322</v>
        <stp/>
        <stp>BDP|18059086409648276807</stp>
        <tr r="X13" s="338"/>
      </tp>
      <tp t="s">
        <v>#N/A Requesting Data...1641282274</v>
        <stp/>
        <stp>BDP|14077436120512876887</stp>
        <tr r="AH14" s="338"/>
        <tr r="AH35" s="338"/>
      </tp>
      <tp t="s">
        <v>#N/A Requesting Data...859200739</v>
        <stp/>
        <stp>BDP|15744958059654008590</stp>
        <tr r="M11" s="252"/>
      </tp>
      <tp t="s">
        <v>#N/A N/A</v>
        <stp/>
        <stp>BDP|10582584518565757974</stp>
        <tr r="C153" s="89"/>
      </tp>
      <tp t="s">
        <v>#N/A Requesting Data...1528738129</v>
        <stp/>
        <stp>BDP|13690707356499397067</stp>
        <tr r="AG42" s="338"/>
      </tp>
      <tp t="s">
        <v>#N/A N/A</v>
        <stp/>
        <stp>BDP|14963661421771813935</stp>
        <tr r="E18" s="2"/>
        <tr r="D76" s="89"/>
      </tp>
      <tp t="s">
        <v>#N/A Requesting Data...2690994073</v>
        <stp/>
        <stp>BDP|12538321051928445466</stp>
        <tr r="AR13" s="2"/>
      </tp>
      <tp t="s">
        <v>#N/A Requesting Data...3657282118</v>
        <stp/>
        <stp>BDP|13052160308013823928</stp>
        <tr r="L16" s="252"/>
        <tr r="L16" s="252"/>
      </tp>
      <tp t="s">
        <v>#N/A Requesting Data...500980220</v>
        <stp/>
        <stp>BDP|10630112845779481422</stp>
        <tr r="T8" s="338"/>
      </tp>
      <tp t="s">
        <v>#N/A N/A</v>
        <stp/>
        <stp>BDP|11209184266078842639</stp>
        <tr r="AC23" s="1"/>
      </tp>
      <tp t="s">
        <v>#N/A Requesting Data...4059847441</v>
        <stp/>
        <stp>BDP|14264052336898754717</stp>
        <tr r="AA10" s="2"/>
        <tr r="T171" s="89"/>
        <tr r="T14" s="89"/>
        <tr r="T27" s="89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Requesting Data...3889441907</v>
        <stp/>
        <stp>BDP|18091505366056640561</stp>
        <tr r="D69" s="89"/>
      </tp>
      <tp t="s">
        <v>#N/A Requesting Data...2823720494</v>
        <stp/>
        <stp>BDP|17203212740478165145</stp>
        <tr r="AA195" s="89"/>
        <tr r="Z195" s="89"/>
      </tp>
      <tp t="b">
        <v>0</v>
        <stp/>
        <stp>BDH|14144671511232452936</stp>
        <tr r="AR9" s="338"/>
      </tp>
      <tp t="s">
        <v>#N/A Real Time</v>
        <stp/>
        <stp>BDP|3928061582338749570|22</stp>
        <stp>MRYWZ4C4 2390 Index</stp>
        <stp>bid</stp>
        <tr r="K129" s="89"/>
      </tp>
      <tp>
        <v>0.43391600251197815</v>
        <stp/>
        <stp>BDP|10080332628046700882|22</stp>
        <stp>NVDA US 05/15/26 C200 Equity</stp>
        <stp>DELTA_MID_RT</stp>
        <tr r="AF6" s="2"/>
      </tp>
      <tp>
        <v>33.200000000000003</v>
        <stp/>
        <stp>BDP|1262865218775301973|22</stp>
        <stp>GOOG US 07/17/26 C350 Equity</stp>
        <stp>ask</stp>
        <tr r="L236" s="89"/>
      </tp>
      <tp>
        <v>0.33865806460380554</v>
        <stp/>
        <stp>BDP|12751338922919034266|22</stp>
        <stp>MSFT US 07/17/26 C470 Equity</stp>
        <stp>DELTA_MID_RT</stp>
        <tr r="W235" s="89"/>
      </tp>
      <tp t="s">
        <v>#N/A N/A</v>
        <stp/>
        <stp>BDP|14228839741476914704</stp>
        <tr r="AF55" s="1"/>
      </tp>
      <tp t="s">
        <v>#N/A Requesting Data...3645939382</v>
        <stp/>
        <stp>BDP|13108014284305863746</stp>
        <tr r="AH29" s="338"/>
        <tr r="AH30" s="338"/>
        <tr r="AJ29" s="338"/>
        <tr r="AJ30" s="338"/>
      </tp>
      <tp t="s">
        <v>#N/A Requesting Data...1250137434</v>
        <stp/>
        <stp>BDP|16161490436721422919</stp>
        <tr r="D19" s="89"/>
      </tp>
      <tp t="s">
        <v>#N/A Requesting Data...3147298329</v>
        <stp/>
        <stp>BDP|18084144309549296940</stp>
        <tr r="X46" s="338"/>
      </tp>
      <tp t="s">
        <v>#N/A Requesting Data...2055908135</v>
        <stp/>
        <stp>BDP|14080496093764135415</stp>
        <tr r="P8" s="252"/>
      </tp>
      <tp t="s">
        <v>#N/A Requesting Data...3996966652</v>
        <stp/>
        <stp>BDP|10379287684220430311</stp>
        <tr r="F4" s="2"/>
      </tp>
      <tp t="s">
        <v>#N/A Requesting Data...2541079824</v>
        <stp/>
        <stp>BDP|15959271808308527692</stp>
        <tr r="AD10" s="2"/>
        <tr r="V171" s="89"/>
        <tr r="V14" s="89"/>
        <tr r="V27" s="89"/>
      </tp>
      <tp t="s">
        <v>#N/A N/A</v>
        <stp/>
        <stp>BDP|14444687789645642697</stp>
        <tr r="L44" s="1"/>
        <tr r="L45" s="1"/>
      </tp>
      <tp t="s">
        <v>#N/A Requesting Data...3940730082</v>
        <stp/>
        <stp>BDP|13667922398723991985</stp>
        <tr r="O8" s="252"/>
      </tp>
      <tp t="s">
        <v>#N/A Requesting Data...3279108730</v>
        <stp/>
        <stp>BDP|10669609054893745987</stp>
        <tr r="T16" s="2"/>
        <tr r="O8" s="89"/>
      </tp>
      <tp t="s">
        <v>#N/A Requesting Data...2318214699</v>
        <stp/>
        <stp>BDP|14804043862572092927</stp>
        <tr r="D33" s="89"/>
      </tp>
      <tp t="s">
        <v>#N/A Requesting Data...1883286893</v>
        <stp/>
        <stp>BDP|11569233714862664985</stp>
        <tr r="E11" s="2"/>
      </tp>
      <tp t="s">
        <v>#N/A Requesting Data...2920359646</v>
        <stp/>
        <stp>BDP|16922257546430083956</stp>
        <tr r="E7" s="2"/>
      </tp>
      <tp t="s">
        <v>#N/A Requesting Data...434420282</v>
        <stp/>
        <stp>BDP|14084731383605893774</stp>
        <tr r="T30" s="338"/>
      </tp>
      <tp t="s">
        <v>#N/A Requesting Data...1048212657</v>
        <stp/>
        <stp>BDP|17920955902274781369</stp>
        <tr r="AK13" s="338"/>
      </tp>
      <tp t="s">
        <v>#N/A Requesting Data...421454518</v>
        <stp/>
        <stp>BDP|15814817125237185133</stp>
        <tr r="AK11" s="338"/>
      </tp>
      <tp t="s">
        <v>#N/A Requesting Data...1888342425</v>
        <stp/>
        <stp>BDP|10683822754613362720</stp>
        <tr r="C89" s="89"/>
      </tp>
      <tp t="s">
        <v>#N/A N/A</v>
        <stp/>
        <stp>BDP|10681032632743642903</stp>
        <tr r="AR22" s="2"/>
      </tp>
      <tp t="s">
        <v>#N/A Requesting Data...1359758026</v>
        <stp/>
        <stp>BDP|14905890171093180111</stp>
        <tr r="U18" s="338"/>
      </tp>
      <tp t="s">
        <v>#N/A N/A</v>
        <stp/>
        <stp>BDP|11079602305746428808</stp>
        <tr r="O188" s="89"/>
      </tp>
      <tp t="s">
        <v>#N/A N/A</v>
        <stp/>
        <stp>BDP|15676788515242812821</stp>
        <tr r="R153" s="89"/>
      </tp>
      <tp t="s">
        <v>#N/A Requesting Data...2250901301</v>
        <stp/>
        <stp>BDP|17719503394081403362</stp>
        <tr r="AH37" s="338"/>
        <tr r="AJ37" s="338"/>
      </tp>
      <tp t="s">
        <v>#N/A N/A</v>
        <stp/>
        <stp>BDP|18279909896309755834</stp>
        <tr r="AG14" s="1"/>
      </tp>
      <tp t="s">
        <v>#N/A N/A</v>
        <stp/>
        <stp>BDP|16059232495000422420</stp>
        <tr r="E75" s="89"/>
      </tp>
      <tp t="s">
        <v>#N/A Requesting Data...827925200</v>
        <stp/>
        <stp>BDP|12571041380342291138</stp>
        <tr r="F34" s="446"/>
      </tp>
      <tp t="s">
        <v>#N/A N/A</v>
        <stp/>
        <stp>BDP|18294824894201725105</stp>
        <tr r="AC21" s="2"/>
        <tr r="AC19" s="2"/>
        <tr r="AC20" s="2"/>
      </tp>
      <tp t="s">
        <v>#N/A Requesting Data...2390854347</v>
        <stp/>
        <stp>BDP|16648478878978208488</stp>
        <tr r="O179" s="89"/>
        <tr r="O178" s="89"/>
      </tp>
      <tp t="s">
        <v>#N/A Requesting Data...1660167072</v>
        <stp/>
        <stp>BDP|13659806942011456735</stp>
        <tr r="P7" s="252"/>
      </tp>
      <tp t="s">
        <v>#N/A Requesting Data...2643265932</v>
        <stp/>
        <stp>BDP|18096821285957052647</stp>
        <tr r="F18" s="446"/>
      </tp>
      <tp t="s">
        <v>#N/A Requesting Data...2914642509</v>
        <stp/>
        <stp>BDP|15656413080994607429</stp>
        <tr r="AA13" s="89"/>
        <tr r="Z13" s="89"/>
      </tp>
      <tp t="s">
        <v>#N/A Requesting Data...3394090694</v>
        <stp/>
        <stp>BDP|13020371554755200921</stp>
        <tr r="AD15" s="2"/>
        <tr r="V7" s="89"/>
      </tp>
      <tp t="s">
        <v>#N/A Requesting Data...982737446</v>
        <stp/>
        <stp>BDP|17046967805152979583</stp>
        <tr r="V89" s="89"/>
      </tp>
      <tp t="s">
        <v>#N/A N/A</v>
        <stp/>
        <stp>BDP|12912684483811638411</stp>
        <tr r="L32" s="1"/>
        <tr r="L33" s="1"/>
        <tr r="L34" s="1"/>
        <tr r="L35" s="1"/>
      </tp>
      <tp t="s">
        <v>#N/A Requesting Data...1264158498</v>
        <stp/>
        <stp>BDP|17800905748963418018</stp>
        <tr r="V52" s="338"/>
      </tp>
      <tp t="s">
        <v>#N/A Requesting Data...2925242304</v>
        <stp/>
        <stp>BDP|16080473360335288805</stp>
        <tr r="AF28" s="1"/>
        <tr r="AF10" s="338"/>
        <tr r="AF11" s="338"/>
        <tr r="AF33" s="338"/>
      </tp>
      <tp t="s">
        <v>#N/A Requesting Data...1335940453</v>
        <stp/>
        <stp>BDP|18082660766744672526</stp>
        <tr r="X34" s="338"/>
      </tp>
      <tp t="s">
        <v>#N/A Requesting Data...3555631179</v>
        <stp/>
        <stp>BDP|16257040632264100814</stp>
        <tr r="V237" s="89"/>
      </tp>
      <tp t="s">
        <v>#N/A N/A</v>
        <stp/>
        <stp>BDP|17620015100226350806</stp>
        <tr r="AG29" s="1"/>
      </tp>
      <tp t="s">
        <v>#N/A Requesting Data...451167632</v>
        <stp/>
        <stp>BDP|17113464131298207134</stp>
        <tr r="O6" s="252"/>
      </tp>
      <tp t="s">
        <v>#N/A Requesting Data...3146015112</v>
        <stp/>
        <stp>BDP|16284628867238126714</stp>
        <tr r="AD11" s="2"/>
      </tp>
      <tp t="s">
        <v>#N/A Requesting Data...3437700650</v>
        <stp/>
        <stp>BDP|13465906218584984636</stp>
        <tr r="U48" s="338"/>
      </tp>
      <tp t="s">
        <v>USD</v>
        <stp/>
        <stp>BDP|2865182875151915662|22</stp>
        <stp>1OG6P 25750 INDEX</stp>
        <stp>QUOTED_CURRENCY_REALTIME</stp>
        <tr r="G22" s="2"/>
      </tp>
      <tp t="s">
        <v>#N/A Requesting Data...2063229820</v>
        <stp/>
        <stp>BDP|13370676866274995925</stp>
        <tr r="V29" s="338"/>
      </tp>
      <tp t="s">
        <v>#N/A N/A</v>
        <stp/>
        <stp>BDP|15570993785728361238</stp>
        <tr r="K17" s="1"/>
      </tp>
      <tp t="s">
        <v>#N/A Requesting Data...798536194</v>
        <stp/>
        <stp>BDP|16549461050648260185</stp>
        <tr r="V48" s="338"/>
      </tp>
      <tp t="s">
        <v>#N/A Requesting Data...4025889293</v>
        <stp/>
        <stp>BDP|14539375968436522979</stp>
        <tr r="F21" s="2"/>
      </tp>
      <tp t="s">
        <v>#N/A Requesting Data...2131626355</v>
        <stp/>
        <stp>BDP|11883811462826271727</stp>
        <tr r="AI13" s="338"/>
        <tr r="AK13" s="338"/>
      </tp>
      <tp t="s">
        <v>#N/A Requesting Data...3961563419</v>
        <stp/>
        <stp>BDP|15816931278674113197</stp>
        <tr r="C4" s="2"/>
      </tp>
      <tp t="s">
        <v>#N/A Requesting Data...4207809284</v>
        <stp/>
        <stp>BDP|16651632599577766000</stp>
        <tr r="T20" s="89"/>
      </tp>
      <tp t="s">
        <v>#N/A N/A</v>
        <stp/>
        <stp>BDP|15466705637537159880</stp>
        <tr r="AF12" s="1"/>
      </tp>
      <tp t="s">
        <v>#N/A Requesting Data...2229200399</v>
        <stp/>
        <stp>BDP|13773404769917079849</stp>
        <tr r="X41" s="338"/>
      </tp>
      <tp t="s">
        <v>#N/A Requesting Data...2427855031</v>
        <stp/>
        <stp>BDP|17094237872549842544</stp>
        <tr r="P11" s="338"/>
      </tp>
      <tp t="s">
        <v>#N/A Requesting Data...1782889297</v>
        <stp/>
        <stp>BDP|11238984157816656563</stp>
        <tr r="O211" s="89"/>
      </tp>
      <tp t="s">
        <v>#N/A Requesting Data...3366168294</v>
        <stp/>
        <stp>BDP|17894084826469233293</stp>
        <tr r="D11" s="2"/>
      </tp>
      <tp t="s">
        <v>#N/A Requesting Data...736844606</v>
        <stp/>
        <stp>BDP|16326348528261420875</stp>
        <tr r="AH37" s="338"/>
      </tp>
      <tp t="s">
        <v>#N/A N/A</v>
        <stp/>
        <stp>BDP|10451152526259046483</stp>
        <tr r="AR18" s="2"/>
      </tp>
      <tp t="s">
        <v>#N/A Requesting Data...1939223020</v>
        <stp/>
        <stp>BDP|10719787797623635315</stp>
        <tr r="AR7" s="2"/>
      </tp>
      <tp t="s">
        <v>#N/A Requesting Data...1859619536</v>
        <stp/>
        <stp>BDP|17255225148738161764</stp>
        <tr r="E8" s="2"/>
        <tr r="E9" s="2"/>
      </tp>
      <tp t="s">
        <v>#N/A Requesting Data...940956198</v>
        <stp/>
        <stp>BDP|12942600097452969197</stp>
        <tr r="AI30" s="338"/>
      </tp>
      <tp t="s">
        <v>#N/A Requesting Data...2716240013</v>
        <stp/>
        <stp>BDP|11004855748816491574</stp>
        <tr r="Z145" s="89"/>
        <tr r="AA145" s="89"/>
      </tp>
      <tp t="s">
        <v>#N/A Requesting Data...3450524355</v>
        <stp/>
        <stp>BDP|18018121463381181002</stp>
        <tr r="Q42" s="338"/>
      </tp>
      <tp t="s">
        <v>#N/A Requesting Data...859297079</v>
        <stp/>
        <stp>BDP|13321932753372613352</stp>
        <tr r="S50" s="338"/>
      </tp>
      <tp t="s">
        <v>#N/A N/A</v>
        <stp/>
        <stp>BDP|14026845325197194708</stp>
        <tr r="AB36" s="1"/>
        <tr r="AB37" s="1"/>
      </tp>
      <tp t="s">
        <v>#N/A Requesting Data...3108600620</v>
        <stp/>
        <stp>BDP|18139099943730098283</stp>
        <tr r="X42" s="338"/>
      </tp>
      <tp t="s">
        <v>#N/A Requesting Data...2920467445</v>
        <stp/>
        <stp>BDP|14818954946994919376</stp>
        <tr r="T55" s="338"/>
      </tp>
      <tp t="s">
        <v>#N/A Requesting Data...2253662595</v>
        <stp/>
        <stp>BDP|16547593626468626792</stp>
        <tr r="V90" s="89"/>
      </tp>
      <tp t="s">
        <v>#N/A Requesting Data...1660634730</v>
        <stp/>
        <stp>BDP|12254931781748441511</stp>
        <tr r="AA4" s="2"/>
      </tp>
      <tp t="s">
        <v>#N/A N/A</v>
        <stp/>
        <stp>BDP|16747972762296741126</stp>
        <tr r="AF36" s="1"/>
        <tr r="AF37" s="1"/>
      </tp>
      <tp t="s">
        <v>#N/A Requesting Data...3165296020</v>
        <stp/>
        <stp>BDP|10277773846639500409</stp>
        <tr r="E225" s="89"/>
      </tp>
      <tp t="s">
        <v>#N/A Requesting Data...456836285</v>
        <stp/>
        <stp>BDP|15391597190645842246</stp>
        <tr r="U41" s="338"/>
      </tp>
      <tp>
        <v>-0.59027814865112305</v>
        <stp/>
        <stp>BDP|12363987419731278955|22</stp>
        <stp>MRVL US 03/20/26 P85 Equity</stp>
        <stp>DELTA_MID_RT</stp>
        <tr r="AF11" s="2"/>
      </tp>
      <tp>
        <v>0.50494861602783203</v>
        <stp/>
        <stp>BDP|18110796337974702583|22</stp>
        <stp>AVGO US 06/18/26 C350 Equity</stp>
        <stp>DELTA_MID_RT</stp>
        <tr r="AF5" s="2"/>
        <tr r="W223" s="89"/>
      </tp>
      <tp>
        <v>69.05</v>
        <stp/>
        <stp>BDP|5056262684534913710|22</stp>
        <stp>LITE US 03/20/26 C420 Equity</stp>
        <stp>mid</stp>
        <tr r="L7" s="2"/>
      </tp>
      <tp>
        <v>-0.27156153321266174</v>
        <stp/>
        <stp>BDP|13664804564066341271|22</stp>
        <stp>MSFT US 02/20/26 P410 Equity</stp>
        <stp>DELTA_MID_RT</stp>
        <tr r="W205" s="89"/>
        <tr r="W213" s="89"/>
      </tp>
      <tp t="s">
        <v>#N/A N/A</v>
        <stp/>
        <stp>BDP|14736502366221001988</stp>
        <tr r="AG26" s="1"/>
        <tr r="AG27" s="1"/>
      </tp>
      <tp t="s">
        <v>#N/A Requesting Data...2081570870</v>
        <stp/>
        <stp>BDP|14590387959435843851</stp>
        <tr r="P18" s="252"/>
      </tp>
      <tp t="s">
        <v>#N/A Requesting Data...2547177963</v>
        <stp/>
        <stp>BDP|11647623474426955905</stp>
        <tr r="D34" s="89"/>
      </tp>
      <tp t="s">
        <v>#N/A N/A</v>
        <stp/>
        <stp>BDP|12898533952458343524</stp>
        <tr r="T153" s="89"/>
      </tp>
      <tp t="s">
        <v>#N/A Requesting Data...1355985667</v>
        <stp/>
        <stp>BDP|13791594013149475126</stp>
        <tr r="M13" s="252"/>
      </tp>
      <tp t="s">
        <v>#N/A Requesting Data...453315443</v>
        <stp/>
        <stp>BDP|17874986578052725446</stp>
        <tr r="P50" s="338"/>
      </tp>
      <tp t="s">
        <v>#N/A N/A</v>
        <stp/>
        <stp>BDP|12067346968488625077</stp>
        <tr r="K9" s="1"/>
      </tp>
      <tp t="s">
        <v>#N/A Requesting Data...2316689543</v>
        <stp/>
        <stp>BDP|16409736918268434763</stp>
        <tr r="AD16" s="2"/>
        <tr r="V8" s="89"/>
      </tp>
      <tp t="s">
        <v>#N/A Requesting Data...594201705</v>
        <stp/>
        <stp>BDP|12930748263249803590</stp>
        <tr r="V47" s="338"/>
      </tp>
      <tp t="s">
        <v>#N/A Requesting Data...2657845549</v>
        <stp/>
        <stp>BDP|10458872348380612322</stp>
        <tr r="D32" s="446"/>
      </tp>
      <tp t="s">
        <v>#N/A Requesting Data...1814400794</v>
        <stp/>
        <stp>BDP|17591857746666872206</stp>
        <tr r="T233" s="89"/>
      </tp>
      <tp t="s">
        <v>#N/A Requesting Data...2798864850</v>
        <stp/>
        <stp>BDP|17326978713770046094</stp>
        <tr r="V205" s="89"/>
        <tr r="V213" s="89"/>
      </tp>
      <tp t="s">
        <v>#N/A Requesting Data...4021198437</v>
        <stp/>
        <stp>BDP|11607763991426641696</stp>
        <tr r="O180" s="89"/>
      </tp>
      <tp t="s">
        <v>#N/A N/A</v>
        <stp/>
        <stp>BDP|12446616610012704839</stp>
        <tr r="AF14" s="1"/>
      </tp>
      <tp t="s">
        <v>#N/A Requesting Data...3136788206</v>
        <stp/>
        <stp>BDP|16111091406080680995</stp>
        <tr r="S20" s="252"/>
      </tp>
      <tp t="s">
        <v>#N/A N/A</v>
        <stp/>
        <stp>BDP|12917284443828342304</stp>
        <tr r="AC54" s="1"/>
      </tp>
      <tp t="s">
        <v>#N/A Requesting Data...4273347655</v>
        <stp/>
        <stp>BDP|12565777765454100870</stp>
        <tr r="AK45" s="338"/>
      </tp>
      <tp t="s">
        <v>#N/A Requesting Data...789505738</v>
        <stp/>
        <stp>BDP|14757904724106470662</stp>
        <tr r="C115" s="89"/>
      </tp>
      <tp t="s">
        <v>#N/A Requesting Data...1099078395</v>
        <stp/>
        <stp>BDP|15520885965692162698</stp>
        <tr r="P35" s="338"/>
      </tp>
      <tp t="s">
        <v>#N/A N/A</v>
        <stp/>
        <stp>BDP|18411820983824502305</stp>
        <tr r="E9" s="1"/>
        <tr r="K28" s="1"/>
      </tp>
      <tp t="s">
        <v>#N/A Requesting Data...3266262487</v>
        <stp/>
        <stp>BDP|10592246107754169947</stp>
        <tr r="AR21" s="2"/>
      </tp>
      <tp t="s">
        <v>#N/A Requesting Data...1102528810</v>
        <stp/>
        <stp>BDP|18187575182553363942</stp>
        <tr r="S29" s="338"/>
      </tp>
      <tp t="s">
        <v>#N/A N/A</v>
        <stp/>
        <stp>BDP|15088949515073653147</stp>
        <tr r="AI36" s="1"/>
        <tr r="AI37" s="1"/>
      </tp>
      <tp t="s">
        <v>#N/A Requesting Data...1573480073</v>
        <stp/>
        <stp>BDP|12559765690110808384</stp>
        <tr r="L6" s="252"/>
        <tr r="L6" s="252"/>
      </tp>
      <tp t="s">
        <v>#N/A Requesting Data...3631688351</v>
        <stp/>
        <stp>BDP|16650855945696243361</stp>
        <tr r="O235" s="89"/>
      </tp>
      <tp t="s">
        <v>#N/A Requesting Data...1121271248</v>
        <stp/>
        <stp>BDP|10141273456439406166</stp>
        <tr r="U40" s="338"/>
      </tp>
      <tp t="s">
        <v>#N/A Requesting Data...2355362938</v>
        <stp/>
        <stp>BDP|15650822721567670765</stp>
        <tr r="AF15" s="338"/>
        <tr r="AF39" s="338"/>
        <tr r="AG40" s="338"/>
      </tp>
      <tp t="s">
        <v>#N/A Requesting Data...2365504225</v>
        <stp/>
        <stp>BDP|10661203894173514722</stp>
        <tr r="P40" s="338"/>
      </tp>
      <tp t="s">
        <v>#N/A Requesting Data...1282636537</v>
        <stp/>
        <stp>BDP|11769411948438232696</stp>
        <tr r="V235" s="89"/>
      </tp>
      <tp t="s">
        <v>#N/A N/A</v>
        <stp/>
        <stp>BDP|13400157600295352875</stp>
        <tr r="AQ4" s="2"/>
      </tp>
      <tp t="s">
        <v>#N/A Requesting Data...3588143010</v>
        <stp/>
        <stp>BDP|16644071595826516655</stp>
        <tr r="M17" s="252"/>
      </tp>
      <tp t="s">
        <v>#N/A Requesting Data...3556052481</v>
        <stp/>
        <stp>BDP|10282731194108712961</stp>
        <tr r="X32" s="338"/>
      </tp>
      <tp t="s">
        <v>#N/A Requesting Data...2629183542</v>
        <stp/>
        <stp>BDP|11825565969849644458</stp>
        <tr r="G26" s="446"/>
      </tp>
      <tp t="s">
        <v>#N/A Requesting Data...3860634498</v>
        <stp/>
        <stp>BDP|12871173848491846983</stp>
        <tr r="D195" s="89"/>
      </tp>
      <tp t="s">
        <v>#N/A N/A</v>
        <stp/>
        <stp>BDP|10410391105944741897</stp>
        <tr r="D81" s="89"/>
      </tp>
      <tp t="s">
        <v>#N/A N/A</v>
        <stp/>
        <stp>BDP|13477200596854183354</stp>
        <tr r="R236" s="89"/>
      </tp>
      <tp t="s">
        <v>#N/A Requesting Data...525153257</v>
        <stp/>
        <stp>BDP|10754652992714129477</stp>
        <tr r="E170" s="89"/>
      </tp>
      <tp t="s">
        <v>#N/A Requesting Data...1898836954</v>
        <stp/>
        <stp>BDP|13743925468151835237</stp>
        <tr r="AF52" s="338"/>
        <tr r="AF53" s="338"/>
        <tr r="AF54" s="338"/>
      </tp>
      <tp t="b">
        <v>0</v>
        <stp/>
        <stp>BDH|17027222676208421510</stp>
        <tr r="AM8" s="338"/>
        <tr r="AM9" s="338"/>
      </tp>
      <tp t="b">
        <v>0</v>
        <stp/>
        <stp>BDH|13652952343777561606</stp>
        <tr r="AU8" s="338"/>
        <tr r="AU32" s="338"/>
        <tr r="AU46" s="338"/>
        <tr r="AU50" s="338"/>
      </tp>
      <tp t="b">
        <v>0</v>
        <stp/>
        <stp>BDH|11541599847187944853</stp>
        <tr r="AM44" s="338"/>
        <tr r="AM47" s="338"/>
        <tr r="AR10" s="338"/>
        <tr r="AR53" s="338"/>
        <tr r="AM48" s="338"/>
      </tp>
      <tp t="b">
        <v>0</v>
        <stp/>
        <stp>BDH|15301870027157436707</stp>
        <tr r="W7" s="252"/>
        <tr r="T7" s="252"/>
      </tp>
      <tp t="b">
        <v>0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>
        <v>0.5506056547164917</v>
        <stp/>
        <stp>BDP|91139731021883834|22</stp>
        <stp>GOOG US 07/17/26 C350 Equity</stp>
        <stp>DELTA_MID_RT</stp>
        <tr r="W236" s="89"/>
      </tp>
      <tp>
        <v>6.8</v>
        <stp/>
        <stp>BDP|7680890729121353321|22</stp>
        <stp>AAPL US 04/17/26 C280 Equity</stp>
        <stp>bid</stp>
        <tr r="K8" s="89"/>
        <tr r="P16" s="2"/>
      </tp>
      <tp t="s">
        <v>#N/A N/A</v>
        <stp/>
        <stp>BDP|18431365748604461760</stp>
        <tr r="K1" s="2"/>
      </tp>
      <tp t="s">
        <v>#N/A N/A</v>
        <stp/>
        <stp>BDP|10663861223040976625</stp>
        <tr r="V153" s="89"/>
      </tp>
      <tp t="s">
        <v>#N/A Requesting Data...2639591048</v>
        <stp/>
        <stp>BDP|10552070608995420954</stp>
        <tr r="O9" s="252"/>
      </tp>
      <tp t="s">
        <v>#N/A Requesting Data...1009808491</v>
        <stp/>
        <stp>BDP|15489180332173336860</stp>
        <tr r="T13" s="2"/>
        <tr r="O62" s="89"/>
      </tp>
      <tp t="s">
        <v>#N/A Requesting Data...3358628546</v>
        <stp/>
        <stp>BDP|16415819239102308353</stp>
        <tr r="P13" s="338"/>
      </tp>
      <tp t="s">
        <v>#N/A N/A</v>
        <stp/>
        <stp>BDP|14151613796081423680</stp>
        <tr r="AI14" s="1"/>
      </tp>
      <tp t="s">
        <v>#N/A Requesting Data...4078160079</v>
        <stp/>
        <stp>BDP|16048814305041128389</stp>
        <tr r="AH12" s="338"/>
        <tr r="AJ12" s="338"/>
      </tp>
      <tp t="s">
        <v>#N/A Requesting Data...1630124914</v>
        <stp/>
        <stp>BDP|17315018787765860602</stp>
        <tr r="U29" s="338"/>
      </tp>
      <tp t="s">
        <v>#N/A Requesting Data...4252890053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Data...4115839490</v>
        <stp/>
        <stp>BDP|15549933334837718499</stp>
        <tr r="AJ36" s="338"/>
      </tp>
      <tp t="s">
        <v>#N/A Requesting Data...1206167913</v>
        <stp/>
        <stp>BDP|13021422978704305879</stp>
        <tr r="F33" s="446"/>
      </tp>
      <tp t="s">
        <v>#N/A N/A</v>
        <stp/>
        <stp>BDP|16521478898015424206</stp>
        <tr r="R169" s="89"/>
        <tr r="R170" s="89"/>
        <tr r="R171" s="89"/>
        <tr r="R27" s="89"/>
        <tr r="AV8" s="2"/>
        <tr r="AV10" s="2"/>
        <tr r="R233" s="89"/>
        <tr r="R180" s="89"/>
        <tr r="R13" s="89"/>
        <tr r="R14" s="89"/>
        <tr r="AV9" s="2"/>
      </tp>
      <tp t="s">
        <v>#N/A Requesting Data...1906433368</v>
        <stp/>
        <stp>BDP|16877024025140252836</stp>
        <tr r="F37" s="446"/>
      </tp>
      <tp t="s">
        <v>#N/A Requesting Data...1877921623</v>
        <stp/>
        <stp>BDP|10608928655856941660</stp>
        <tr r="C16" s="2"/>
      </tp>
      <tp t="s">
        <v>#N/A Requesting Data...1530313750</v>
        <stp/>
        <stp>BDP|11873488141545455841</stp>
        <tr r="AK12" s="338"/>
      </tp>
      <tp t="s">
        <v>#N/A Requesting Data...848265641</v>
        <stp/>
        <stp>BDP|10918059229437544914</stp>
        <tr r="S14" s="252"/>
      </tp>
      <tp t="s">
        <v>#N/A Requesting Data...1210131532</v>
        <stp/>
        <stp>BDP|17459985945086122091</stp>
        <tr r="F19" s="252"/>
      </tp>
      <tp t="s">
        <v>#N/A Requesting Data...3057475940</v>
        <stp/>
        <stp>BDP|16146881818116826586</stp>
        <tr r="P41" s="338"/>
      </tp>
      <tp t="s">
        <v>#N/A Requesting Data...2356357003</v>
        <stp/>
        <stp>BDP|16305130988474048795</stp>
        <tr r="C19" s="2"/>
      </tp>
      <tp t="s">
        <v>#N/A Requesting Data...4249989947</v>
        <stp/>
        <stp>BDP|15485843473026578068</stp>
        <tr r="U54" s="338"/>
      </tp>
      <tp t="s">
        <v>#N/A N/A</v>
        <stp/>
        <stp>BDP|13853937078999755875</stp>
        <tr r="E81" s="89"/>
      </tp>
      <tp t="s">
        <v>#N/A Requesting Data...2746946169</v>
        <stp/>
        <stp>BDP|14702322456147385934</stp>
        <tr r="U47" s="338"/>
      </tp>
      <tp t="s">
        <v>#N/A Requesting Data...2941456592</v>
        <stp/>
        <stp>BDP|13405037176711243908</stp>
        <tr r="E137" s="89"/>
      </tp>
      <tp t="s">
        <v>#N/A N/A</v>
        <stp/>
        <stp>BDP|17431748397947127250</stp>
        <tr r="AG42" s="1"/>
        <tr r="AG43" s="1"/>
      </tp>
      <tp t="s">
        <v>#N/A Requesting Data...1694720000</v>
        <stp/>
        <stp>BDP|12945955828165458035</stp>
        <tr r="Z96" s="89"/>
        <tr r="AA96" s="89"/>
      </tp>
      <tp t="s">
        <v>#N/A Requesting Data...2366268756</v>
        <stp/>
        <stp>BDP|14217961267851904682</stp>
        <tr r="AD13" s="2"/>
        <tr r="V62" s="89"/>
      </tp>
      <tp t="s">
        <v>#N/A Requesting Data...960446655</v>
        <stp/>
        <stp>BDP|16199643097561563420</stp>
        <tr r="C129" s="89"/>
      </tp>
      <tp t="s">
        <v>#N/A N/A</v>
        <stp/>
        <stp>BDP|18308090109307424329</stp>
        <tr r="K50" s="1"/>
      </tp>
      <tp t="s">
        <v>#N/A Requesting Data...3936038764</v>
        <stp/>
        <stp>BDP|14259965167551312659</stp>
        <tr r="F6" s="2"/>
      </tp>
      <tp t="s">
        <v>#N/A Requesting Data...3845646768</v>
        <stp/>
        <stp>BDP|12674764301591512809</stp>
        <tr r="C205" s="89"/>
        <tr r="C213" s="89"/>
      </tp>
      <tp t="s">
        <v>#N/A Requesting Data...2856403860</v>
        <stp/>
        <stp>BDP|14535010240339641566</stp>
        <tr r="AA19" s="2"/>
        <tr r="T195" s="89"/>
      </tp>
      <tp t="s">
        <v>#N/A Requesting Data...1224399048</v>
        <stp/>
        <stp>BDP|12025675637399291269</stp>
        <tr r="O15" s="252"/>
      </tp>
      <tp t="s">
        <v>#N/A Requesting Data...3633415615</v>
        <stp/>
        <stp>BDP|11664873615115482148</stp>
        <tr r="V69" s="89"/>
      </tp>
      <tp t="s">
        <v>#N/A Requesting Data...3562120065</v>
        <stp/>
        <stp>BDP|16474676671129789231</stp>
        <tr r="AF44" s="338"/>
        <tr r="AF47" s="338"/>
        <tr r="AF48" s="338"/>
        <tr r="AG10" s="338"/>
        <tr r="AG53" s="338"/>
      </tp>
      <tp t="s">
        <v>#N/A N/A</v>
        <stp/>
        <stp>BDP|10667930917534298063</stp>
        <tr r="T188" s="89"/>
      </tp>
      <tp t="s">
        <v>#N/A Requesting Data...2745878575</v>
        <stp/>
        <stp>BDP|12603143287034451379</stp>
        <tr r="AC24" s="1"/>
        <tr r="AC25" s="1"/>
        <tr r="D27" s="446"/>
      </tp>
      <tp t="s">
        <v>#N/A Requesting Data...1857404904</v>
        <stp/>
        <stp>BDP|10004210412887167840</stp>
        <tr r="D40" s="446"/>
      </tp>
      <tp t="b">
        <v>0</v>
        <stp/>
        <stp>BDH|11069216571191092913</stp>
        <tr r="AS11" s="338"/>
      </tp>
      <tp t="b">
        <v>0</v>
        <stp/>
        <stp>BDH|12301857873994201569</stp>
        <tr r="AS54" s="338"/>
      </tp>
      <tp t="b">
        <v>0</v>
        <stp/>
        <stp>BDH|13392831222951112430</stp>
        <tr r="J11" s="252"/>
      </tp>
      <tp t="b">
        <v>0</v>
        <stp/>
        <stp>BDH|14890920918372048265</stp>
        <tr r="AM33" s="338"/>
        <tr r="AM10" s="338"/>
        <tr r="AM11" s="338"/>
      </tp>
      <tp t="s">
        <v>#N/A Invalid Security</v>
        <stp/>
        <stp>BDP|11076688730849429560|22</stp>
        <stp xml:space="preserve"> Equity</stp>
        <stp>bid</stp>
        <tr r="P2" s="2"/>
        <tr r="K178" s="89"/>
        <tr r="K179" s="89"/>
      </tp>
      <tp>
        <v>-0.30605641007423401</v>
        <stp/>
        <stp>BDP|15300860136715577647|22</stp>
        <stp>AVGO US 06/18/26 P300 Equity</stp>
        <stp>DELTA_MID_RT</stp>
        <tr r="W224" s="89"/>
      </tp>
      <tp>
        <v>423.42</v>
        <stp/>
        <stp>BDP|336164456245703188|22</stp>
        <stp>LITE US Equity</stp>
        <stp>LAST_PRICE</stp>
        <tr r="Z7" s="2"/>
      </tp>
      <tp t="s">
        <v>#N/A Real Time</v>
        <stp/>
        <stp>BDP|4430211455615003459|22</stp>
        <stp>4OX4C    20500 Index</stp>
        <stp>bid</stp>
        <tr r="K108" s="89"/>
      </tp>
      <tp>
        <v>9.0163692831993103E-2</v>
        <stp/>
        <stp>BDP|2598103699700497103|22</stp>
        <stp>NVDA US 02/06/26 C197.5 Equity</stp>
        <stp>DELTA_MID_RT</stp>
        <tr r="W33" s="89"/>
      </tp>
      <tp t="s">
        <v>#N/A Requesting Data...1262555038</v>
        <stp/>
        <stp>BDP|10830436782351213025</stp>
        <tr r="AG13" s="338"/>
      </tp>
      <tp t="s">
        <v>#N/A Requesting Data...730514302</v>
        <stp/>
        <stp>BDP|16101110071044873900</stp>
        <tr r="S19" s="252"/>
      </tp>
      <tp t="s">
        <v>#N/A N/A</v>
        <stp/>
        <stp>BDP|13209846733142548782</stp>
        <tr r="V187" s="89"/>
      </tp>
      <tp t="s">
        <v>#N/A Requesting Data...3472562616</v>
        <stp/>
        <stp>BDP|12924101730105437857</stp>
        <tr r="Q44" s="338"/>
      </tp>
      <tp t="s">
        <v>#N/A Requesting Data...3464169684</v>
        <stp/>
        <stp>BDP|17375751787424053193</stp>
        <tr r="T90" s="89"/>
      </tp>
      <tp t="s">
        <v>#N/A Requesting Data...1459848527</v>
        <stp/>
        <stp>BDP|15805166451638287462</stp>
        <tr r="S18" s="338"/>
      </tp>
      <tp t="s">
        <v>#N/A Requesting Data...810488999</v>
        <stp/>
        <stp>BDP|18446461901708890906</stp>
        <tr r="S45" s="338"/>
      </tp>
      <tp t="s">
        <v>#N/A N/A</v>
        <stp/>
        <stp>BDP|13160126348182124912</stp>
        <tr r="AA75" s="89"/>
        <tr r="Z75" s="89"/>
      </tp>
      <tp t="s">
        <v>#N/A Requesting Data...1591872521</v>
        <stp/>
        <stp>BDP|12514485676904256829</stp>
        <tr r="E160" s="89"/>
      </tp>
      <tp t="s">
        <v>#N/A Requesting Data...2641733345</v>
        <stp/>
        <stp>BDP|12136202912939805519</stp>
        <tr r="T205" s="89"/>
        <tr r="T213" s="89"/>
      </tp>
      <tp t="s">
        <v>#N/A Requesting Data...4058047480</v>
        <stp/>
        <stp>BDP|10028687100653384862</stp>
        <tr r="T5" s="2"/>
        <tr r="O223" s="89"/>
      </tp>
      <tp t="s">
        <v>#N/A Requesting Data...2422405700</v>
        <stp/>
        <stp>BDP|15843140282036113720</stp>
        <tr r="G22" s="446"/>
      </tp>
      <tp t="s">
        <v>#N/A Requesting Data...2224708101</v>
        <stp/>
        <stp>BDP|11847564369457057888</stp>
        <tr r="F13" s="252"/>
      </tp>
      <tp t="s">
        <v>#N/A Requesting Data...2367880169</v>
        <stp/>
        <stp>BDP|13571664718169245067</stp>
        <tr r="U14" s="338"/>
      </tp>
      <tp t="s">
        <v>#N/A Requesting Data...1046011084</v>
        <stp/>
        <stp>BDP|17319342610009091197</stp>
        <tr r="G27" s="446"/>
      </tp>
      <tp t="s">
        <v>#N/A N/A</v>
        <stp/>
        <stp>BDP|11924439292996409721</stp>
        <tr r="AG50" s="1"/>
      </tp>
      <tp t="s">
        <v>#N/A Requesting Data...2585759276</v>
        <stp/>
        <stp>BDP|14882210397437387533</stp>
        <tr r="T42" s="338"/>
      </tp>
      <tp t="s">
        <v>#N/A Requesting Data...3354300729</v>
        <stp/>
        <stp>BDP|16174661133786135858</stp>
        <tr r="L12" s="338"/>
        <tr r="H12" s="338"/>
      </tp>
      <tp t="s">
        <v>#N/A Requesting Data...4065200492</v>
        <stp/>
        <stp>BDP|17115834681353057933</stp>
        <tr r="U31" s="338"/>
      </tp>
      <tp t="s">
        <v>#N/A Requesting Data...1736077517</v>
        <stp/>
        <stp>BDP|12175469510002223863</stp>
        <tr r="P14" s="338"/>
      </tp>
      <tp t="s">
        <v>#N/A N/A</v>
        <stp/>
        <stp>BDP|18096474274854136215</stp>
        <tr r="R69" s="89"/>
        <tr r="R75" s="89"/>
        <tr r="R76" s="89"/>
        <tr r="R82" s="89"/>
        <tr r="R187" s="89"/>
        <tr r="R188" s="89"/>
        <tr r="R68" s="89"/>
        <tr r="R186" s="89"/>
        <tr r="R81" s="89"/>
        <tr r="AV18" s="2"/>
        <tr r="AV17" s="2"/>
      </tp>
      <tp t="s">
        <v>#N/A Requesting Data...3840068478</v>
        <stp/>
        <stp>BDP|18074111082599132509</stp>
        <tr r="D196" s="89"/>
      </tp>
      <tp t="s">
        <v>#N/A Requesting Data...3834915164</v>
        <stp/>
        <stp>BDP|16200988588058493248</stp>
        <tr r="AA224" s="89"/>
        <tr r="Z224" s="89"/>
      </tp>
      <tp t="s">
        <v>#N/A Requesting Data...664697066</v>
        <stp/>
        <stp>BDP|17051618884910746406</stp>
        <tr r="T44" s="338"/>
      </tp>
      <tp t="s">
        <v>#N/A Requesting Data...1093008446</v>
        <stp/>
        <stp>BDP|14959318848357778920</stp>
        <tr r="T41" s="338"/>
      </tp>
      <tp t="s">
        <v>#N/A Requesting Data...1169128085</v>
        <stp/>
        <stp>BDP|15219096160618738682</stp>
        <tr r="X17" s="338"/>
      </tp>
      <tp t="s">
        <v>#N/A Requesting Data...631088958</v>
        <stp/>
        <stp>BDP|14574759861540790819</stp>
        <tr r="S34" s="338"/>
      </tp>
      <tp t="s">
        <v>#N/A Requesting Data...3314642744</v>
        <stp/>
        <stp>BDP|17898461283376389092</stp>
        <tr r="D40" s="89"/>
      </tp>
      <tp t="s">
        <v>#N/A Requesting Data...701405679</v>
        <stp/>
        <stp>BDP|12063939312664514322</stp>
        <tr r="N17" s="252"/>
        <tr r="N17" s="252"/>
      </tp>
      <tp t="s">
        <v>#N/A Requesting Data...2715634803</v>
        <stp/>
        <stp>BDP|11934537446469823426</stp>
        <tr r="E6" s="2"/>
      </tp>
      <tp t="b">
        <v>0</v>
        <stp/>
        <stp>BDH|17898212836438090360</stp>
        <tr r="AP53" s="338"/>
        <tr r="AP54" s="338"/>
        <tr r="AP52" s="338"/>
      </tp>
      <tp t="b">
        <v>0</v>
        <stp/>
        <stp>BDH|13885285882450008494</stp>
        <tr r="J17" s="252"/>
      </tp>
      <tp>
        <v>626.14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84.5</v>
        <stp/>
        <stp>BDP|3617422536658376331|22</stp>
        <stp>XLP Equity</stp>
        <stp>LAST PRICE</stp>
        <tr r="I9" s="338"/>
      </tp>
      <tp>
        <v>71.5</v>
        <stp/>
        <stp>BDP|4911432985148125573|22</stp>
        <stp>META US 07/17/26 C700 Equity</stp>
        <stp>ask</stp>
        <tr r="L14" s="89"/>
        <tr r="L27" s="89"/>
        <tr r="L171" s="89"/>
        <tr r="Q10" s="2"/>
      </tp>
      <tp>
        <v>0.13651339709758759</v>
        <stp/>
        <stp>BDP|17883794052074029184|22</stp>
        <stp>MSFT US 02/20/26 C450 Equity</stp>
        <stp>DELTA_MID_RT</stp>
        <tr r="W203" s="89"/>
      </tp>
      <tp t="s">
        <v>#N/A Requesting Data...3958792131</v>
        <stp/>
        <stp>BDP|12339741374220877028</stp>
        <tr r="AB19" s="1"/>
        <tr r="AB20" s="1"/>
        <tr r="F21" s="446"/>
      </tp>
      <tp t="s">
        <v>#N/A Requesting Data...2297535936</v>
        <stp/>
        <stp>BDP|10313697833123536458</stp>
        <tr r="E12" s="2"/>
      </tp>
      <tp t="s">
        <v>#N/A Requesting Data...4167004331</v>
        <stp/>
        <stp>BDP|15108137503044913212</stp>
        <tr r="T170" s="89"/>
      </tp>
      <tp t="s">
        <v>#N/A Requesting Data...3430503474</v>
        <stp/>
        <stp>BDP|12562291822957166773</stp>
        <tr r="X15" s="338"/>
        <tr r="X39" s="338"/>
      </tp>
      <tp t="s">
        <v>#N/A Requesting Data...3265858090</v>
        <stp/>
        <stp>BDP|17646594623933242160</stp>
        <tr r="AJ8" s="338"/>
        <tr r="AJ9" s="338"/>
      </tp>
      <tp t="s">
        <v>#N/A Requesting Data...2174791688</v>
        <stp/>
        <stp>BDP|10920319565786030158</stp>
        <tr r="E116" s="89"/>
      </tp>
      <tp t="s">
        <v>#N/A Requesting Data...2309785338</v>
        <stp/>
        <stp>BDP|11988979111049200256</stp>
        <tr r="AK29" s="338"/>
      </tp>
      <tp t="s">
        <v>#N/A Requesting Data...756665419</v>
        <stp/>
        <stp>BDP|15123503718841871299</stp>
        <tr r="T211" s="89"/>
      </tp>
      <tp t="s">
        <v>#N/A Requesting Data...1521540496</v>
        <stp/>
        <stp>BDP|12832425312094016130</stp>
        <tr r="D6" s="2"/>
      </tp>
      <tp t="s">
        <v>#N/A N/A</v>
        <stp/>
        <stp>BDP|14479187750583764118</stp>
        <tr r="AI17" s="1"/>
      </tp>
      <tp t="s">
        <v>#N/A Requesting Data...2992692086</v>
        <stp/>
        <stp>BDP|10430788467275400653</stp>
        <tr r="AA236" s="89"/>
        <tr r="Z236" s="89"/>
      </tp>
      <tp t="s">
        <v>#N/A N/A</v>
        <stp/>
        <stp>BDP|15571587832455231410</stp>
        <tr r="AC34" s="1"/>
        <tr r="AC35" s="1"/>
      </tp>
      <tp t="s">
        <v>#N/A Requesting Data...1050223801</v>
        <stp/>
        <stp>BDP|17216633965664243193</stp>
        <tr r="L51" s="338"/>
        <tr r="L34" s="338"/>
        <tr r="J34" s="338"/>
        <tr r="L35" s="338"/>
        <tr r="J35" s="338"/>
        <tr r="L36" s="338"/>
        <tr r="J36" s="338"/>
        <tr r="L37" s="338"/>
        <tr r="J37" s="338"/>
        <tr r="L50" s="338"/>
        <tr r="H50" s="338"/>
        <tr r="H51" s="338"/>
      </tp>
      <tp t="s">
        <v>#N/A Requesting Data...2728694855</v>
        <stp/>
        <stp>BDP|14776745928063005042</stp>
        <tr r="T136" s="89"/>
      </tp>
      <tp t="s">
        <v>#N/A Requesting Data...4236904982</v>
        <stp/>
        <stp>BDP|12776798055890176257</stp>
        <tr r="V211" s="89"/>
      </tp>
      <tp t="s">
        <v>#N/A Requesting Data...1212527865</v>
        <stp/>
        <stp>BDP|16719292853193179031</stp>
        <tr r="T24" s="2"/>
      </tp>
      <tp t="s">
        <v>#N/A Requesting Data...3575367835</v>
        <stp/>
        <stp>BDP|13796779298948123776</stp>
        <tr r="C136" s="89"/>
      </tp>
      <tp t="s">
        <v>#N/A Requesting Data...871298480</v>
        <stp/>
        <stp>BDP|13805405504302407767</stp>
        <tr r="AA197" s="89"/>
        <tr r="Z197" s="89"/>
      </tp>
      <tp t="s">
        <v>#N/A Requesting Data...1208392372</v>
        <stp/>
        <stp>BDP|17104168856602664398</stp>
        <tr r="E211" s="89"/>
      </tp>
      <tp t="s">
        <v>#N/A Requesting Data...2125757487</v>
        <stp/>
        <stp>BDP|16819116934213136521</stp>
        <tr r="F11" s="2"/>
      </tp>
      <tp t="s">
        <v>#N/A Requesting Data...2281106241</v>
        <stp/>
        <stp>BDP|13150872693841225199</stp>
        <tr r="AR6" s="2"/>
      </tp>
      <tp t="s">
        <v>#N/A Requesting Data...3813402593</v>
        <stp/>
        <stp>BDP|13698454327306550105</stp>
        <tr r="T180" s="89"/>
      </tp>
      <tp t="s">
        <v>#N/A Requesting Data...1956840026</v>
        <stp/>
        <stp>BDP|16047448851216675329</stp>
        <tr r="V68" s="89"/>
      </tp>
      <tp t="s">
        <v>#N/A Requesting Data...1537816016</v>
        <stp/>
        <stp>BDP|11875259860180843752</stp>
        <tr r="L9" s="252"/>
        <tr r="L9" s="252"/>
      </tp>
      <tp t="s">
        <v>#N/A Requesting Data...3747978696</v>
        <stp/>
        <stp>BDP|17193753013640317341</stp>
        <tr r="AA21" s="2"/>
        <tr r="T197" s="89"/>
      </tp>
      <tp t="s">
        <v>#N/A Requesting Data...1025841690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N/A</v>
        <stp/>
        <stp>BDP|16665812118984554998</stp>
        <tr r="AC13" s="2"/>
        <tr r="AC14" s="2"/>
        <tr r="AC12" s="2"/>
        <tr r="AC11" s="2"/>
      </tp>
      <tp t="s">
        <v>#N/A Requesting Data...2152906553</v>
        <stp/>
        <stp>BDP|10392302271721368734</stp>
        <tr r="AJ15" s="338"/>
        <tr r="AJ39" s="338"/>
        <tr r="AK40" s="338"/>
      </tp>
      <tp t="s">
        <v>#N/A Requesting Data...2473581701</v>
        <stp/>
        <stp>BDP|13077127063164089235</stp>
        <tr r="L29" s="338"/>
        <tr r="H29" s="338"/>
        <tr r="L30" s="338"/>
        <tr r="H30" s="338"/>
      </tp>
      <tp t="s">
        <v>#N/A Requesting Data...2424694035</v>
        <stp/>
        <stp>BDP|17190454425561690252</stp>
        <tr r="AR15" s="2"/>
      </tp>
      <tp t="s">
        <v>#N/A Requesting Data...3464631594</v>
        <stp/>
        <stp>BDP|15616266803836462358</stp>
        <tr r="P18" s="338"/>
      </tp>
      <tp t="s">
        <v>#N/A Requesting Data...1847654981</v>
        <stp/>
        <stp>BDP|12909617883408150686</stp>
        <tr r="F17" s="446"/>
      </tp>
      <tp t="s">
        <v>#N/A Requesting Data...4170016692</v>
        <stp/>
        <stp>BDP|12668630201684454223</stp>
        <tr r="T40" s="338"/>
      </tp>
      <tp t="s">
        <v>#N/A Requesting Data...1583390766</v>
        <stp/>
        <stp>BDP|14907590063523957686</stp>
        <tr r="D39" s="446"/>
      </tp>
      <tp t="s">
        <v>#N/A Requesting Data...2856615847</v>
        <stp/>
        <stp>BDP|15427086549125422631</stp>
        <tr r="F29" s="446"/>
      </tp>
      <tp t="s">
        <v>#N/A Requesting Data...2099756504</v>
        <stp/>
        <stp>BDP|12603611155092450139</stp>
        <tr r="P44" s="338"/>
      </tp>
      <tp t="s">
        <v>#N/A Requesting Data...1130667076</v>
        <stp/>
        <stp>BDP|12650903035052242853</stp>
        <tr r="T50" s="338"/>
      </tp>
      <tp t="s">
        <v>#N/A Requesting Data...3764389531</v>
        <stp/>
        <stp>BDP|15097578277281717435</stp>
        <tr r="AK13" s="338"/>
      </tp>
      <tp t="s">
        <v>#N/A N/A</v>
        <stp/>
        <stp>BDP|17445646416605654744</stp>
        <tr r="R56" s="89"/>
        <tr r="R55" s="89"/>
      </tp>
      <tp t="s">
        <v>#N/A Requesting Data...3418533598</v>
        <stp/>
        <stp>BDP|14798833541272440858</stp>
        <tr r="L33" s="338"/>
        <tr r="L10" s="338"/>
        <tr r="H10" s="338"/>
        <tr r="L11" s="338"/>
        <tr r="H11" s="338"/>
        <tr r="H33" s="338"/>
      </tp>
      <tp t="s">
        <v>#N/A Requesting Data...717943030</v>
        <stp/>
        <stp>BDP|18048389808619604013</stp>
        <tr r="Q14" s="338"/>
      </tp>
      <tp t="s">
        <v>#N/A N/A</v>
        <stp/>
        <stp>BDP|17447943913214573912</stp>
        <tr r="AC24" s="2"/>
        <tr r="AC25" s="2"/>
      </tp>
      <tp t="s">
        <v>#N/A Requesting Data...3616060693</v>
        <stp/>
        <stp>BDP|10540491936722929740</stp>
        <tr r="F13" s="446"/>
      </tp>
      <tp t="s">
        <v>#N/A Requesting Data...1673974709</v>
        <stp/>
        <stp>BDP|12465228967747275351</stp>
        <tr r="F5" s="2"/>
      </tp>
      <tp t="s">
        <v>#N/A N/A</v>
        <stp/>
        <stp>BDP|15421502917490517308</stp>
        <tr r="E187" s="89"/>
      </tp>
      <tp t="s">
        <v>#N/A Requesting Data...935654210</v>
        <stp/>
        <stp>BDP|14883124263986960762</stp>
        <tr r="E212" s="89"/>
      </tp>
      <tp t="s">
        <v>#N/A Requesting Data...2142509159</v>
        <stp/>
        <stp>BDP|11774657841727499618</stp>
        <tr r="AA7" s="2"/>
      </tp>
      <tp t="b">
        <v>0</v>
        <stp/>
        <stp>BDH|17220079290198638431</stp>
        <tr r="T20" s="252"/>
        <tr r="W20" s="252"/>
      </tp>
      <tp t="b">
        <v>0</v>
        <stp/>
        <stp>BDH|17584423057877396301</stp>
        <tr r="J7" s="252"/>
      </tp>
      <tp>
        <v>120.93</v>
        <stp/>
        <stp>BDP|1868269163989593436|22</stp>
        <stp>EWY Equity</stp>
        <stp>LAST_PRICE</stp>
        <tr r="I36" s="1"/>
        <tr r="I37" s="1"/>
      </tp>
      <tp t="b">
        <v>0</v>
        <stp/>
        <stp>BDH|10176358329745000696</stp>
        <tr r="AR45" s="338"/>
      </tp>
      <tp t="b">
        <v>0</v>
        <stp/>
        <stp>BDH|12979698333126710333</stp>
        <tr r="AP10" s="338"/>
        <tr r="AP33" s="338"/>
        <tr r="AP11" s="338"/>
      </tp>
      <tp t="b">
        <v>0</v>
        <stp/>
        <stp>BDH|12486911096436588617</stp>
        <tr r="AS45" s="338"/>
      </tp>
      <tp t="b">
        <v>0</v>
        <stp/>
        <stp>BDH|13433517978227188448</stp>
        <tr r="J12" s="252"/>
      </tp>
      <tp t="b">
        <v>0</v>
        <stp/>
        <stp>BDH|12281208509653161102</stp>
        <tr r="AM41" s="338"/>
        <tr r="AM42" s="338"/>
      </tp>
      <tp t="b">
        <v>0</v>
        <stp/>
        <stp>BDH|14850520700676732518</stp>
        <tr r="AU29" s="338"/>
      </tp>
      <tp t="b">
        <v>0</v>
        <stp/>
        <stp>BDH|17285122675687382487</stp>
        <tr r="AR54" s="338"/>
      </tp>
      <tp>
        <v>54.85</v>
        <stp/>
        <stp>BDP|3322764634781769714|22</stp>
        <stp>META US 02/27/26 C660 Equity</stp>
        <stp>ask</stp>
        <tr r="L180" s="89"/>
      </tp>
      <tp t="s">
        <v>#N/A N/A</v>
        <stp/>
        <stp>BDP|15895214585768543406</stp>
        <tr r="AB26" s="1"/>
        <tr r="AB27" s="1"/>
      </tp>
      <tp t="s">
        <v>#N/A N/A</v>
        <stp/>
        <stp>BDP|12506693576836787640</stp>
        <tr r="AC26" s="1"/>
        <tr r="AC27" s="1"/>
      </tp>
      <tp t="s">
        <v>#N/A N/A</v>
        <stp/>
        <stp>BDP|12913717425274232066</stp>
        <tr r="AG32" s="1"/>
      </tp>
      <tp t="s">
        <v>#N/A Requesting Data...3547612284</v>
        <stp/>
        <stp>BDP|14952713124422363077</stp>
        <tr r="AI54" s="338"/>
      </tp>
      <tp t="s">
        <v>#N/A Requesting Data...1665788952</v>
        <stp/>
        <stp>BDP|14312053142406869542</stp>
        <tr r="V33" s="89"/>
      </tp>
      <tp t="s">
        <v>#N/A N/A</v>
        <stp/>
        <stp>BDP|17344183941382189338</stp>
        <tr r="AB203" s="89"/>
        <tr r="AB204" s="89"/>
        <tr r="AB205" s="89"/>
        <tr r="AB211" s="89"/>
        <tr r="AB212" s="89"/>
        <tr r="AB213" s="89"/>
        <tr r="AB235" s="89"/>
      </tp>
      <tp t="s">
        <v>#N/A Requesting Data...2713526511</v>
        <stp/>
        <stp>BDP|12659323579531227475</stp>
        <tr r="C137" s="89"/>
      </tp>
      <tp t="s">
        <v>#N/A N/A</v>
        <stp/>
        <stp>BDP|11928681486748964459</stp>
        <tr r="R7" s="89"/>
        <tr r="R8" s="89"/>
        <tr r="AV16" s="2"/>
        <tr r="AV15" s="2"/>
      </tp>
      <tp t="s">
        <v>#N/A Requesting Data...819563922</v>
        <stp/>
        <stp>BDP|18436128563428697489</stp>
        <tr r="AR23" s="2"/>
      </tp>
      <tp t="s">
        <v>#N/A Requesting Data...3458950834</v>
        <stp/>
        <stp>BDP|13685951603788859137</stp>
        <tr r="T138" s="89"/>
      </tp>
      <tp t="s">
        <v>#N/A Requesting Data...4055105046</v>
        <stp/>
        <stp>BDP|16973005602894719115</stp>
        <tr r="P19" s="252"/>
      </tp>
      <tp t="s">
        <v>#N/A Requesting Data...3995379389</v>
        <stp/>
        <stp>BDP|12197625641431851271</stp>
        <tr r="D14" s="2"/>
        <tr r="C63" s="89"/>
      </tp>
      <tp t="s">
        <v>#N/A Requesting Data...1213696746</v>
        <stp/>
        <stp>BDP|14061654258613093712</stp>
        <tr r="Z116" s="89"/>
        <tr r="AA116" s="89"/>
      </tp>
      <tp t="s">
        <v>#N/A Requesting Data...1862973603</v>
        <stp/>
        <stp>BDP|11585397164616268161</stp>
        <tr r="D116" s="89"/>
      </tp>
      <tp t="s">
        <v>#N/A Requesting Data...1784093589</v>
        <stp/>
        <stp>BDP|18214340488518015823</stp>
        <tr r="V236" s="89"/>
      </tp>
      <tp t="s">
        <v>#N/A Requesting Data...3593182787</v>
        <stp/>
        <stp>BDP|12861943665177076956</stp>
        <tr r="AF12" s="338"/>
      </tp>
      <tp t="s">
        <v>#N/A Requesting Data...2554416970</v>
        <stp/>
        <stp>BDP|16310224704590045790</stp>
        <tr r="AA39" s="89"/>
        <tr r="Z39" s="89"/>
      </tp>
      <tp t="s">
        <v>#N/A Requesting Data...3890320210</v>
        <stp/>
        <stp>BDP|15919437567850131436</stp>
        <tr r="G28" s="446"/>
      </tp>
      <tp t="s">
        <v>#N/A Requesting Data...1627844721</v>
        <stp/>
        <stp>BDP|17345659231843132294</stp>
        <tr r="X31" s="338"/>
      </tp>
      <tp t="s">
        <v>#N/A N/A</v>
        <stp/>
        <stp>BDP|13934642593416417954</stp>
        <tr r="AI56" s="1"/>
      </tp>
      <tp t="s">
        <v>#N/A Requesting Data...3523766353</v>
        <stp/>
        <stp>BDP|11636396119835192597</stp>
        <tr r="T69" s="89"/>
      </tp>
      <tp t="s">
        <v>#N/A Requesting Data...1909158883</v>
        <stp/>
        <stp>BDP|17039732835313216359</stp>
        <tr r="G13" s="446"/>
      </tp>
      <tp t="s">
        <v>#N/A Requesting Data...3930551122</v>
        <stp/>
        <stp>BDP|10212284669224289309</stp>
        <tr r="G15" s="446"/>
      </tp>
      <tp t="s">
        <v>#N/A Requesting Data...1683725477</v>
        <stp/>
        <stp>BDP|16462724592283769820</stp>
        <tr r="Z69" s="89"/>
        <tr r="AA69" s="89"/>
      </tp>
      <tp t="s">
        <v>#N/A N/A</v>
        <stp/>
        <stp>BDP|14477773684938548023</stp>
        <tr r="AI29" s="1"/>
      </tp>
      <tp t="s">
        <v>#N/A Requesting Data...934274055</v>
        <stp/>
        <stp>BDP|16582836999550942450</stp>
        <tr r="O56" s="89"/>
      </tp>
      <tp t="s">
        <v>#N/A Requesting Data...3043283505</v>
        <stp/>
        <stp>BDP|16139528108117140790</stp>
        <tr r="AA8" s="2"/>
        <tr r="AA9" s="2"/>
        <tr r="T13" s="89"/>
      </tp>
      <tp t="s">
        <v>#N/A Requesting Data...2419933014</v>
        <stp/>
        <stp>BDP|10628744726607068175</stp>
        <tr r="C225" s="89"/>
      </tp>
      <tp t="s">
        <v>#N/A N/A</v>
        <stp/>
        <stp>BDP|12577068118946906617</stp>
        <tr r="AF33" s="1"/>
      </tp>
      <tp t="s">
        <v>#N/A Requesting Data...919397552</v>
        <stp/>
        <stp>BDP|16931852689404443127</stp>
        <tr r="AB18" s="1"/>
        <tr r="F23" s="446"/>
      </tp>
      <tp t="s">
        <v>#N/A Requesting Data...950348563</v>
        <stp/>
        <stp>BDP|14461057417982680435</stp>
        <tr r="AA14" s="2"/>
        <tr r="T63" s="89"/>
      </tp>
      <tp t="s">
        <v>#N/A Requesting Data...3224102163</v>
        <stp/>
        <stp>BDP|14468716151160495523</stp>
        <tr r="AA14" s="89"/>
        <tr r="AA27" s="89"/>
        <tr r="AA171" s="89"/>
        <tr r="Z14" s="89"/>
        <tr r="Z27" s="89"/>
        <tr r="Z171" s="89"/>
      </tp>
      <tp t="s">
        <v>#N/A N/A</v>
        <stp/>
        <stp>BDP|17214529260663576400</stp>
        <tr r="AC32" s="1"/>
      </tp>
      <tp t="s">
        <v>#N/A Requesting Data...868719483</v>
        <stp/>
        <stp>BDP|11246696260120787292</stp>
        <tr r="F10" s="252"/>
      </tp>
      <tp t="s">
        <v>#N/A Requesting Data...1766297954</v>
        <stp/>
        <stp>BDP|15227373250511500153</stp>
        <tr r="X14" s="338"/>
      </tp>
      <tp t="s">
        <v>#N/A Requesting Data...1068210859</v>
        <stp/>
        <stp>BDP|13044527620903591424</stp>
        <tr r="U15" s="338"/>
        <tr r="U39" s="338"/>
      </tp>
      <tp t="s">
        <v>#N/A Requesting Data...1906068873</v>
        <stp/>
        <stp>BDP|11488079128501837162</stp>
        <tr r="T10" s="2"/>
        <tr r="O171" s="89"/>
        <tr r="O14" s="89"/>
        <tr r="O27" s="89"/>
      </tp>
      <tp t="s">
        <v>#N/A N/A</v>
        <stp/>
        <stp>BDP|16066178257148215968</stp>
        <tr r="AV11" s="2"/>
        <tr r="AV13" s="2"/>
        <tr r="AV14" s="2"/>
        <tr r="R62" s="89"/>
        <tr r="R63" s="89"/>
        <tr r="AV12" s="2"/>
      </tp>
      <tp t="s">
        <v>#N/A N/A</v>
        <stp/>
        <stp>BDP|12718343677950174519</stp>
        <tr r="E7" s="1"/>
        <tr r="K29" s="1"/>
      </tp>
      <tp t="s">
        <v>#N/A Requesting Data...2842878350</v>
        <stp/>
        <stp>BDP|14592404034766531631</stp>
        <tr r="S53" s="338"/>
      </tp>
      <tp t="s">
        <v>#N/A Requesting Data...3480488290</v>
        <stp/>
        <stp>BDP|12699517143758716846</stp>
        <tr r="AA34" s="89"/>
        <tr r="Z34" s="89"/>
      </tp>
      <tp t="s">
        <v>#N/A Requesting Data...4167501700</v>
        <stp/>
        <stp>BDP|12148860832943674947</stp>
        <tr r="D7" s="89"/>
      </tp>
      <tp t="s">
        <v>#N/A Requesting Data...2524436200</v>
        <stp/>
        <stp>BDP|11486261538490579386</stp>
        <tr r="AI55" s="338"/>
        <tr r="AI14" s="338"/>
        <tr r="AH55" s="338"/>
      </tp>
      <tp t="s">
        <v>#N/A Requesting Data...1206699617</v>
        <stp/>
        <stp>BDP|11303561937597356363</stp>
        <tr r="E204" s="89"/>
      </tp>
      <tp t="s">
        <v>#N/A Requesting Data...3179417072</v>
        <stp/>
        <stp>BDP|10407776681355403913</stp>
        <tr r="AI9" s="338"/>
      </tp>
      <tp t="s">
        <v>#N/A N/A</v>
        <stp/>
        <stp>BDP|14730076527710394522</stp>
        <tr r="K3" s="1"/>
      </tp>
      <tp t="b">
        <v>0</v>
        <stp/>
        <stp>BDH|16722549617651249070</stp>
        <tr r="AN11" s="338"/>
        <tr r="AN33" s="338"/>
        <tr r="AN10" s="338"/>
      </tp>
      <tp t="b">
        <v>0</v>
        <stp/>
        <stp>BDH|14583815225278766527</stp>
        <tr r="J8" s="252"/>
      </tp>
      <tp t="b">
        <v>0</v>
        <stp/>
        <stp>BDH|17421551527294673795</stp>
        <tr r="AM36" s="338"/>
      </tp>
      <tp t="b">
        <v>0</v>
        <stp/>
        <stp>BDH|13646039042971138581</stp>
        <tr r="AR49" s="338"/>
        <tr r="AR48" s="338"/>
      </tp>
      <tp t="s">
        <v>#N/A Real Time</v>
        <stp/>
        <stp>BDP|8550151833773817651|22</stp>
        <stp>3OF5C    22500 Index</stp>
        <stp>bid</stp>
        <tr r="K109" s="89"/>
      </tp>
      <tp>
        <v>71.099999999999994</v>
        <stp/>
        <stp>BDP|3120711432826724576|22</stp>
        <stp>META US 07/17/26 C700 Equity</stp>
        <stp>bid</stp>
        <tr r="K14" s="89"/>
        <tr r="K27" s="89"/>
        <tr r="K171" s="89"/>
        <tr r="P10" s="2"/>
      </tp>
      <tp t="s">
        <v>#N/A N/A</v>
        <stp/>
        <stp>BDP|14881796519496077416</stp>
        <tr r="AC42" s="1"/>
        <tr r="AC43" s="1"/>
      </tp>
      <tp t="s">
        <v>#N/A N/A</v>
        <stp/>
        <stp>BDP|13215475469594762530</stp>
        <tr r="AB89" s="89"/>
        <tr r="AB90" s="89"/>
      </tp>
      <tp t="s">
        <v>#N/A Requesting Data...4291933585</v>
        <stp/>
        <stp>BDP|10384653628097195348</stp>
        <tr r="V33" s="338"/>
      </tp>
      <tp t="s">
        <v>#N/A Requesting Data...3662571699</v>
        <stp/>
        <stp>BDP|14068986720868497779</stp>
        <tr r="D26" s="89"/>
      </tp>
      <tp t="s">
        <v>#N/A Requesting Data...857842518</v>
        <stp/>
        <stp>BDP|15830810886156463309</stp>
        <tr r="Z89" s="89"/>
        <tr r="AA89" s="89"/>
      </tp>
      <tp t="s">
        <v>#N/A Requesting Data...1529474764</v>
        <stp/>
        <stp>BDP|16329127935980609498</stp>
        <tr r="M9" s="252"/>
      </tp>
      <tp t="s">
        <v>#N/A Requesting Data...1960162190</v>
        <stp/>
        <stp>BDP|10213293417720387350</stp>
        <tr r="V20" s="89"/>
      </tp>
      <tp t="s">
        <v>#N/A Requesting Data...3306203477</v>
        <stp/>
        <stp>BDP|14136785762373472653</stp>
        <tr r="P12" s="338"/>
      </tp>
      <tp t="s">
        <v>#N/A Requesting Data...1963026136</v>
        <stp/>
        <stp>BDP|10907713945543986097</stp>
        <tr r="AJ12" s="338"/>
      </tp>
      <tp t="s">
        <v>#N/A Requesting Data...4027973128</v>
        <stp/>
        <stp>BDP|18157396268365948849</stp>
        <tr r="G32" s="446"/>
      </tp>
      <tp t="s">
        <v>#N/A Requesting Data...1401668357</v>
        <stp/>
        <stp>BDP|12322490716684467354</stp>
        <tr r="AD25" s="2"/>
      </tp>
      <tp t="s">
        <v>#N/A Requesting Data...4125493513</v>
        <stp/>
        <stp>BDP|17187500422678411886</stp>
        <tr r="AA13" s="2"/>
        <tr r="T62" s="89"/>
      </tp>
      <tp t="s">
        <v>#N/A Requesting Data...1602133645</v>
        <stp/>
        <stp>BDP|11850099902500446183</stp>
        <tr r="AR25" s="2"/>
      </tp>
      <tp t="s">
        <v>#N/A Requesting Data...2596837110</v>
        <stp/>
        <stp>BDP|11924826381262215379</stp>
        <tr r="D115" s="89"/>
      </tp>
      <tp t="s">
        <v>#N/A N/A</v>
        <stp/>
        <stp>BDP|16418587176254290070</stp>
        <tr r="AB129" s="89"/>
      </tp>
      <tp t="s">
        <v>#N/A Requesting Data...1904094015</v>
        <stp/>
        <stp>BDP|13742435379952421279</stp>
        <tr r="Z26" s="89"/>
        <tr r="AA26" s="89"/>
      </tp>
      <tp t="s">
        <v>#N/A N/A</v>
        <stp/>
        <stp>BDP|13846974553487624841</stp>
        <tr r="AQ18" s="2"/>
        <tr r="AQ17" s="2"/>
        <tr r="AB76" s="89"/>
        <tr r="AB75" s="89"/>
        <tr r="AB82" s="89"/>
        <tr r="AB81" s="89"/>
        <tr r="AB186" s="89"/>
        <tr r="AB188" s="89"/>
        <tr r="AB187" s="89"/>
        <tr r="AB68" s="89"/>
        <tr r="AB69" s="89"/>
      </tp>
      <tp t="s">
        <v>#N/A Requesting Data...2055005837</v>
        <stp/>
        <stp>BDP|13176433799579956737</stp>
        <tr r="C13" s="2"/>
      </tp>
      <tp t="s">
        <v>#N/A Requesting Data...1075477665</v>
        <stp/>
        <stp>BDP|11877678453870847248</stp>
        <tr r="AJ29" s="338"/>
        <tr r="AJ30" s="338"/>
      </tp>
      <tp t="s">
        <v>#N/A Requesting Data...1682117234</v>
        <stp/>
        <stp>BDP|17979638844017722292</stp>
        <tr r="E224" s="89"/>
      </tp>
      <tp t="s">
        <v>#N/A Requesting Data...1212661916</v>
        <stp/>
        <stp>BDP|12913131077284987044</stp>
        <tr r="T55" s="89"/>
      </tp>
      <tp t="s">
        <v>#N/A Requesting Data...3052149763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Data...3570777037</v>
        <stp/>
        <stp>BDP|17857693024795624634</stp>
        <tr r="V19" s="89"/>
      </tp>
      <tp t="s">
        <v>#N/A N/A</v>
        <stp/>
        <stp>BDP|14736375789817362891</stp>
        <tr r="AC2" s="1"/>
        <tr r="AD2" s="1"/>
      </tp>
      <tp t="s">
        <v>#N/A N/A</v>
        <stp/>
        <stp>BDP|16915999897423444512</stp>
        <tr r="AC18" s="1"/>
      </tp>
      <tp t="s">
        <v>#N/A Requesting Data...988111333</v>
        <stp/>
        <stp>BDP|13439578072010389109</stp>
        <tr r="O225" s="89"/>
      </tp>
      <tp t="s">
        <v>#N/A Requesting Data...2312817107</v>
        <stp/>
        <stp>BDP|15588300861006151675</stp>
        <tr r="C211" s="89"/>
      </tp>
      <tp t="s">
        <v>#N/A Requesting Data...2767572462</v>
        <stp/>
        <stp>BDP|11184865175579332734</stp>
        <tr r="F12" s="446"/>
      </tp>
      <tp t="s">
        <v>#N/A Requesting Data...2109105334</v>
        <stp/>
        <stp>BDP|12133420967599732913</stp>
        <tr r="AG12" s="338"/>
      </tp>
      <tp t="s">
        <v>#N/A N/A</v>
        <stp/>
        <stp>BDP|13857612189674301914</stp>
        <tr r="D153" s="89"/>
      </tp>
      <tp t="s">
        <v>#N/A Requesting Data...3582232873</v>
        <stp/>
        <stp>BDP|15122146107040099471</stp>
        <tr r="E55" s="89"/>
      </tp>
      <tp t="s">
        <v>#N/A Requesting Data...2716096636</v>
        <stp/>
        <stp>BDP|11301603537853289723</stp>
        <tr r="T18" s="338"/>
      </tp>
      <tp t="s">
        <v>#N/A N/A</v>
        <stp/>
        <stp>BDP|14721782818326063433</stp>
        <tr r="AC16" s="2"/>
        <tr r="AC15" s="2"/>
      </tp>
      <tp t="s">
        <v>#N/A Requesting Data...3080096234</v>
        <stp/>
        <stp>BDP|17819773794190840945</stp>
        <tr r="P17" s="252"/>
      </tp>
      <tp t="s">
        <v>#N/A Requesting Data...1455348432</v>
        <stp/>
        <stp>BDP|14405326057281461339</stp>
        <tr r="E236" s="89"/>
      </tp>
      <tp t="s">
        <v>#N/A Requesting Data...2174677762</v>
        <stp/>
        <stp>BDP|11542574144783666360</stp>
        <tr r="F41" s="446"/>
      </tp>
      <tp>
        <v>89.52</v>
        <stp/>
        <stp>BDP|2399130969064853177|22</stp>
        <stp>IGV Equity</stp>
        <stp>LAST_PRICE</stp>
        <tr r="I30" s="1"/>
        <tr r="I31" s="1"/>
      </tp>
      <tp>
        <v>162</v>
        <stp/>
        <stp>BDP|12590546275739745124|22</stp>
        <stp>1OG6P 25750 Index</stp>
        <stp>ask</stp>
        <tr r="L153" s="89"/>
      </tp>
      <tp t="b">
        <v>0</v>
        <stp/>
        <stp>BDH|16088690324290679276</stp>
        <tr r="AN50" s="338"/>
        <tr r="AS37" s="338"/>
        <tr r="AS36" s="338"/>
        <tr r="AN51" s="338"/>
        <tr r="AS35" s="338"/>
        <tr r="AS34" s="338"/>
      </tp>
      <tp t="b">
        <v>0</v>
        <stp/>
        <stp>BDH|17972631495749469178</stp>
        <tr r="AM12" s="338"/>
      </tp>
      <tp t="s">
        <v>USD</v>
        <stp/>
        <stp>BDP|2710784205974410109|22</stp>
        <stp>ASHR US 02/20/26 C35 Equity</stp>
        <stp>QUOTED_CURRENCY_REALTIME</stp>
        <tr r="G4" s="2"/>
      </tp>
      <tp t="s">
        <v>#N/A Real Time</v>
        <stp/>
        <stp>BDP|7488669990583969064|22</stp>
        <stp>SPXW US 12/31/25 C6950 Index</stp>
        <stp>ask</stp>
        <tr r="L160" s="89"/>
      </tp>
      <tp>
        <v>67.5</v>
        <stp/>
        <stp>BDP|3050834555440308322|22</stp>
        <stp>LITE US 03/20/26 C420 Equity</stp>
        <stp>bid</stp>
        <tr r="P7" s="2"/>
      </tp>
      <tp>
        <v>0.10704950988292694</v>
        <stp/>
        <stp>BDP|4961468225848282629|22</stp>
        <stp>NVDA US 02/13/26 C202.5 Equity</stp>
        <stp>DELTA_MID_RT</stp>
        <tr r="W34" s="89"/>
      </tp>
      <tp t="s">
        <v>#N/A Requesting Data...4121478657</v>
        <stp/>
        <stp>BDP|10801083268771247632</stp>
        <tr r="D90" s="89"/>
      </tp>
      <tp t="s">
        <v>#N/A Requesting Data...825886603</v>
        <stp/>
        <stp>BDP|15656499554320397517</stp>
        <tr r="AA196" s="89"/>
        <tr r="Z196" s="89"/>
      </tp>
      <tp t="s">
        <v>#N/A Requesting Data...4037965387</v>
        <stp/>
        <stp>BDP|16715867013956947830</stp>
        <tr r="Z56" s="89"/>
        <tr r="AA56" s="89"/>
      </tp>
      <tp t="s">
        <v>#N/A Requesting Data...1217917663</v>
        <stp/>
        <stp>BDP|12214778078421334262</stp>
        <tr r="T39" s="89"/>
      </tp>
      <tp t="s">
        <v>#N/A Requesting Data...3176684038</v>
        <stp/>
        <stp>BDP|11531803114351862812</stp>
        <tr r="F7" s="2"/>
      </tp>
      <tp t="s">
        <v>#N/A Requesting Data...1727981337</v>
        <stp/>
        <stp>BDP|17750280324281015730</stp>
        <tr r="F15" s="2"/>
      </tp>
      <tp t="s">
        <v>#N/A Requesting Data...1037761695</v>
        <stp/>
        <stp>BDP|12055500611067822013</stp>
        <tr r="AJ31" s="338"/>
        <tr r="AJ32" s="338"/>
        <tr r="AH31" s="338"/>
        <tr r="AH32" s="338"/>
      </tp>
      <tp t="s">
        <v>#N/A N/A</v>
        <stp/>
        <stp>BDP|11265502119766043209</stp>
        <tr r="AI30" s="1"/>
        <tr r="AI31" s="1"/>
      </tp>
      <tp t="s">
        <v>#N/A Requesting Data...2972456126</v>
        <stp/>
        <stp>BDP|10712352949092709470</stp>
        <tr r="AA19" s="89"/>
        <tr r="Z19" s="89"/>
      </tp>
      <tp t="s">
        <v>#N/A Requesting Data...2235658219</v>
        <stp/>
        <stp>BDP|14336270361883873268</stp>
        <tr r="E62" s="89"/>
      </tp>
      <tp t="s">
        <v>#N/A Requesting Data...3943710347</v>
        <stp/>
        <stp>BDP|15783676161145872136</stp>
        <tr r="O12" s="252"/>
      </tp>
      <tp t="s">
        <v>#N/A N/A</v>
        <stp/>
        <stp>BDP|10827554593684445907</stp>
        <tr r="AG51" s="1"/>
      </tp>
      <tp t="s">
        <v>#N/A Requesting Data...4184903650</v>
        <stp/>
        <stp>BDP|12277737202057915304</stp>
        <tr r="Q40" s="338"/>
      </tp>
      <tp t="s">
        <v>#N/A Requesting Data...1102069199</v>
        <stp/>
        <stp>BDP|10651894387614235500</stp>
        <tr r="V138" s="89"/>
      </tp>
      <tp t="s">
        <v>#N/A Requesting Data...1273508377</v>
        <stp/>
        <stp>BDP|10435868994421818135</stp>
        <tr r="C25" s="2"/>
      </tp>
      <tp t="s">
        <v>#N/A Requesting Data...2588845327</v>
        <stp/>
        <stp>BDP|18017376398746707540</stp>
        <tr r="G37" s="446"/>
      </tp>
      <tp t="s">
        <v>#N/A N/A</v>
        <stp/>
        <stp>BDP|17365785494690778868</stp>
        <tr r="E5" s="1"/>
        <tr r="K26" s="1"/>
      </tp>
      <tp t="s">
        <v>#N/A Requesting Data...2092343678</v>
        <stp/>
        <stp>BDP|11154785569869703897</stp>
        <tr r="V101" s="89"/>
      </tp>
      <tp t="s">
        <v>#N/A N/A</v>
        <stp/>
        <stp>BDP|15797485450435917089</stp>
        <tr r="AG34" s="1"/>
        <tr r="AG35" s="1"/>
      </tp>
      <tp t="s">
        <v>#N/A Requesting Data...870731608</v>
        <stp/>
        <stp>BDP|15429373874678916801</stp>
        <tr r="C55" s="89"/>
      </tp>
      <tp t="s">
        <v>#N/A Requesting Data...1877776881</v>
        <stp/>
        <stp>BDP|13462113802766482523</stp>
        <tr r="P51" s="338"/>
      </tp>
      <tp t="s">
        <v>#N/A Requesting Data...3433327506</v>
        <stp/>
        <stp>BDP|14026446155766712268</stp>
        <tr r="Q17" s="338"/>
      </tp>
      <tp t="s">
        <v>#N/A Requesting Data...2724841370</v>
        <stp/>
        <stp>BDP|13507309990980542809</stp>
        <tr r="P54" s="338"/>
      </tp>
      <tp t="s">
        <v>#N/A N/A</v>
        <stp/>
        <stp>BDP|10629460632567404161</stp>
        <tr r="AF40" s="1"/>
        <tr r="AF41" s="1"/>
      </tp>
      <tp t="s">
        <v>#N/A Requesting Data...2156276897</v>
        <stp/>
        <stp>BDP|13251961527568785177</stp>
        <tr r="L41" s="338"/>
        <tr r="H41" s="338"/>
        <tr r="L42" s="338"/>
        <tr r="H42" s="338"/>
      </tp>
      <tp t="s">
        <v>#N/A Requesting Data...862812191</v>
        <stp/>
        <stp>BDP|10532025680450781936</stp>
        <tr r="T53" s="338"/>
      </tp>
      <tp t="s">
        <v>#N/A Requesting Data...1227784665</v>
        <stp/>
        <stp>BDP|15584846954420486925</stp>
        <tr r="V30" s="338"/>
      </tp>
      <tp t="s">
        <v>#N/A Requesting Data...4079216353</v>
        <stp/>
        <stp>BDP|12417922592843377049</stp>
        <tr r="V50" s="338"/>
      </tp>
      <tp t="s">
        <v>#N/A Requesting Data...1436633017</v>
        <stp/>
        <stp>BDP|15633972697785552118</stp>
        <tr r="V115" s="89"/>
      </tp>
      <tp t="s">
        <v>#N/A N/A</v>
        <stp/>
        <stp>BDP|15698160403534380128</stp>
        <tr r="AB23" s="1"/>
      </tp>
      <tp t="s">
        <v>#N/A Requesting Data...1793163177</v>
        <stp/>
        <stp>BDP|11998355979195097173</stp>
        <tr r="T160" s="89"/>
      </tp>
      <tp t="s">
        <v>#N/A Requesting Data...3811880344</v>
        <stp/>
        <stp>BDP|16353514989043023996</stp>
        <tr r="AH14" s="338"/>
        <tr r="AH35" s="338"/>
        <tr r="AJ14" s="338"/>
        <tr r="AJ35" s="338"/>
      </tp>
      <tp t="s">
        <v>#N/A Requesting Data...4265560375</v>
        <stp/>
        <stp>BDP|11157579934717202151</stp>
        <tr r="V136" s="89"/>
      </tp>
      <tp t="s">
        <v>#N/A Requesting Data...3034192480</v>
        <stp/>
        <stp>BDP|11272212584752669848</stp>
        <tr r="D204" s="89"/>
      </tp>
      <tp t="s">
        <v>#N/A Requesting Data...3458985065</v>
        <stp/>
        <stp>BDP|16176003730321499511</stp>
        <tr r="L9" s="338"/>
        <tr r="J9" s="338"/>
      </tp>
      <tp t="s">
        <v>#N/A Requesting Data...3175619678</v>
        <stp/>
        <stp>BDP|16488629082059415041</stp>
        <tr r="M15" s="252"/>
      </tp>
      <tp t="s">
        <v>#N/A Requesting Data...2160913279</v>
        <stp/>
        <stp>BDP|13170702077463225105</stp>
        <tr r="V102" s="89"/>
      </tp>
      <tp t="s">
        <v>#N/A Requesting Data...1087226017</v>
        <stp/>
        <stp>BDP|18267029483522135357</stp>
        <tr r="C19" s="89"/>
      </tp>
      <tp t="s">
        <v>#N/A Requesting Data...925208218</v>
        <stp/>
        <stp>BDP|15665722340580183729</stp>
        <tr r="AH17" s="338"/>
        <tr r="AH18" s="338"/>
      </tp>
      <tp t="s">
        <v>#N/A Requesting Data...3532091328</v>
        <stp/>
        <stp>BDP|10682710845653266163</stp>
        <tr r="E96" s="89"/>
      </tp>
      <tp t="s">
        <v>#N/A Requesting Data...2406035781</v>
        <stp/>
        <stp>BDP|10764751743486083471</stp>
        <tr r="E4" s="2"/>
      </tp>
      <tp t="s">
        <v>#N/A Requesting Data...1857787025</v>
        <stp/>
        <stp>BDP|14914589903223067341</stp>
        <tr r="AH31" s="338"/>
        <tr r="AH32" s="338"/>
      </tp>
      <tp t="b">
        <v>0</v>
        <stp/>
        <stp>BDH|17966328095088833469</stp>
        <tr r="AS49" s="338"/>
        <tr r="AS48" s="338"/>
      </tp>
      <tp t="b">
        <v>0</v>
        <stp/>
        <stp>BDH|14649226179963918316</stp>
        <tr r="AN29" s="338"/>
        <tr r="AN30" s="338"/>
      </tp>
      <tp t="b">
        <v>0</v>
        <stp/>
        <stp>BDH|17124422033882589331</stp>
        <tr r="AR50" s="338"/>
        <tr r="AR46" s="338"/>
        <tr r="AR32" s="338"/>
        <tr r="AR8" s="338"/>
      </tp>
      <tp t="b">
        <v>0</v>
        <stp/>
        <stp>BDH|17667008671813724297</stp>
        <tr r="AR35" s="338"/>
        <tr r="AR36" s="338"/>
        <tr r="AR37" s="338"/>
        <tr r="AM51" s="338"/>
        <tr r="AM50" s="338"/>
        <tr r="AR34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Data...2843700345</v>
        <stp/>
        <stp>BDP|10297523734239490992</stp>
        <tr r="AB56" s="1"/>
        <tr r="F19" s="446"/>
      </tp>
      <tp t="s">
        <v>#N/A Requesting Data...4176458193</v>
        <stp/>
        <stp>BDP|12796713228197729608</stp>
        <tr r="P20" s="252"/>
      </tp>
      <tp t="s">
        <v>#N/A Requesting Data...1639695313</v>
        <stp/>
        <stp>BDP|14277784462456832595</stp>
        <tr r="L17" s="338"/>
        <tr r="H17" s="338"/>
        <tr r="L18" s="338"/>
        <tr r="H18" s="338"/>
      </tp>
      <tp t="s">
        <v>#N/A N/A</v>
        <stp/>
        <stp>BDP|17424699323975103062</stp>
        <tr r="K38" s="1"/>
      </tp>
      <tp t="s">
        <v>#N/A N/A</v>
        <stp/>
        <stp>BDP|13534980394766736373</stp>
        <tr r="AG54" s="1"/>
      </tp>
      <tp t="s">
        <v>#N/A Requesting Data...1843005873</v>
        <stp/>
        <stp>BDP|17797289754802274410</stp>
        <tr r="AH16" s="338"/>
        <tr r="AH38" s="338"/>
        <tr r="AH40" s="338"/>
      </tp>
      <tp t="s">
        <v>#N/A Requesting Data...1073677581</v>
        <stp/>
        <stp>BDP|10811773521330276340</stp>
        <tr r="F42" s="446"/>
      </tp>
      <tp t="s">
        <v>#N/A Requesting Data...1670907548</v>
        <stp/>
        <stp>BDP|10555016852265553684</stp>
        <tr r="V222" s="89"/>
      </tp>
      <tp t="s">
        <v>#N/A Requesting Data...3625632136</v>
        <stp/>
        <stp>BDP|11364787337662503131</stp>
        <tr r="L49" s="338"/>
        <tr r="L48" s="338"/>
        <tr r="J48" s="338"/>
        <tr r="J49" s="338"/>
      </tp>
      <tp t="s">
        <v>#N/A N/A</v>
        <stp/>
        <stp>BDP|13295681926322217334</stp>
        <tr r="AG30" s="1"/>
        <tr r="AG31" s="1"/>
      </tp>
      <tp t="s">
        <v>#N/A Requesting Data...1779512563</v>
        <stp/>
        <stp>BDP|10592355801820537596</stp>
        <tr r="V225" s="89"/>
      </tp>
      <tp t="s">
        <v>#N/A Requesting Data...1174401696</v>
        <stp/>
        <stp>BDP|12754284242295866781</stp>
        <tr r="Y6" s="252"/>
      </tp>
      <tp t="s">
        <v>#N/A Requesting Data...4249701607</v>
        <stp/>
        <stp>BDP|18269203655158880133</stp>
        <tr r="F39" s="446"/>
      </tp>
      <tp t="s">
        <v>#N/A Requesting Data...3811474713</v>
        <stp/>
        <stp>BDP|12227291512562192542</stp>
        <tr r="AJ37" s="338"/>
      </tp>
      <tp t="s">
        <v>#N/A Requesting Data...1641957166</v>
        <stp/>
        <stp>BDP|10439367344074999538</stp>
        <tr r="E13" s="89"/>
      </tp>
      <tp t="s">
        <v>#N/A Requesting Data...3847214504</v>
        <stp/>
        <stp>BDP|16951549404092060765</stp>
        <tr r="V109" s="89"/>
      </tp>
      <tp t="s">
        <v>#N/A Requesting Data...2458595195</v>
        <stp/>
        <stp>BDP|11386689669882555588</stp>
        <tr r="E122" s="89"/>
      </tp>
      <tp t="s">
        <v>#N/A N/A</v>
        <stp/>
        <stp>BDP|17896325173096505324</stp>
        <tr r="K44" s="1"/>
      </tp>
      <tp t="s">
        <v>#N/A Requesting Data...1196924164</v>
        <stp/>
        <stp>BDP|16385386864915757060</stp>
        <tr r="T54" s="338"/>
      </tp>
      <tp t="s">
        <v>#N/A N/A</v>
        <stp/>
        <stp>BDP|13639162762852624052</stp>
        <tr r="AF38" s="1"/>
        <tr r="AF39" s="1"/>
      </tp>
      <tp t="s">
        <v>#N/A Requesting Data...2186603443</v>
        <stp/>
        <stp>BDP|16302213673966019302</stp>
        <tr r="V224" s="89"/>
      </tp>
      <tp t="s">
        <v>#N/A Requesting Data...1666103480</v>
        <stp/>
        <stp>BDP|14172029208847257580</stp>
        <tr r="V42" s="338"/>
      </tp>
      <tp t="s">
        <v>#N/A N/A</v>
        <stp/>
        <stp>BDP|15423437544927070434</stp>
        <tr r="T82" s="89"/>
      </tp>
      <tp t="s">
        <v>#N/A Requesting Data...1035090576</v>
        <stp/>
        <stp>BDP|10374609618263940213</stp>
        <tr r="S30" s="338"/>
      </tp>
      <tp t="s">
        <v>#N/A Requesting Data...1765658209</v>
        <stp/>
        <stp>BDP|11156706822837900596</stp>
        <tr r="V51" s="338"/>
      </tp>
      <tp t="s">
        <v>#N/A Requesting Data...2425565488</v>
        <stp/>
        <stp>BDP|18365939499897354990</stp>
        <tr r="D160" s="89"/>
      </tp>
      <tp t="s">
        <v>#N/A Requesting Data...2010834752</v>
        <stp/>
        <stp>BDP|11064610705050727104</stp>
        <tr r="V137" s="89"/>
      </tp>
      <tp t="s">
        <v>#N/A Requesting Data...4115559630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Data...3788597325</v>
        <stp/>
        <stp>BDP|16272552922964616315</stp>
        <tr r="T129" s="89"/>
      </tp>
      <tp t="s">
        <v>#N/A Requesting Data...1531672709</v>
        <stp/>
        <stp>BDP|10078809003498061665</stp>
        <tr r="AH12" s="338"/>
      </tp>
      <tp t="s">
        <v>#N/A Requesting Data...2606627483</v>
        <stp/>
        <stp>BDP|11346506323885413513</stp>
        <tr r="E19" s="2"/>
      </tp>
      <tp t="s">
        <v>#N/A Requesting Data...1574237959</v>
        <stp/>
        <stp>BDP|11277689408467201656</stp>
        <tr r="T13" s="338"/>
      </tp>
      <tp t="s">
        <v>#N/A Requesting Data...2121046568</v>
        <stp/>
        <stp>BDP|13974956684510873453</stp>
        <tr r="D123" s="89"/>
      </tp>
      <tp t="s">
        <v>#N/A Requesting Data...2325014749</v>
        <stp/>
        <stp>BDP|13361563583531194937</stp>
        <tr r="AA23" s="2"/>
      </tp>
      <tp t="s">
        <v>#N/A Requesting Data...2638608466</v>
        <stp/>
        <stp>BDP|10427861548958967244</stp>
        <tr r="AK14" s="338"/>
        <tr r="AJ55" s="338"/>
        <tr r="AK55" s="338"/>
      </tp>
      <tp t="s">
        <v>#N/A Requesting Data...1488462570</v>
        <stp/>
        <stp>BDP|12964383061440508121</stp>
        <tr r="S49" s="338"/>
      </tp>
      <tp t="s">
        <v>#N/A Requesting Data...1584973952</v>
        <stp/>
        <stp>BDP|17935753969917403773</stp>
        <tr r="F11" s="252"/>
      </tp>
      <tp t="s">
        <v>#N/A Requesting Data...3716985036</v>
        <stp/>
        <stp>BDP|16562085350705983025</stp>
        <tr r="D223" s="89"/>
      </tp>
      <tp t="s">
        <v>#N/A Requesting Data...2203383070</v>
        <stp/>
        <stp>BDP|12893396681958013760</stp>
        <tr r="C95" s="89"/>
      </tp>
      <tp t="b">
        <v>0</v>
        <stp/>
        <stp>BDH|14722567267987614631</stp>
        <tr r="AN9" s="338"/>
        <tr r="AN8" s="338"/>
      </tp>
      <tp t="b">
        <v>0</v>
        <stp/>
        <stp>BDH|10658776607639471809</stp>
        <tr r="J18" s="252"/>
      </tp>
      <tp t="b">
        <v>0</v>
        <stp/>
        <stp>BDH|10629205440112287213</stp>
        <tr r="AP9" s="338"/>
        <tr r="AP8" s="338"/>
      </tp>
      <tp t="b">
        <v>0</v>
        <stp/>
        <stp>BDH|12318173024303019470</stp>
        <tr r="AS32" s="338"/>
        <tr r="AS50" s="338"/>
        <tr r="AS8" s="338"/>
        <tr r="AS46" s="338"/>
      </tp>
      <tp t="b">
        <v>0</v>
        <stp/>
        <stp>BDH|17925436157313723326</stp>
        <tr r="AR42" s="338"/>
      </tp>
      <tp t="b">
        <v>0</v>
        <stp/>
        <stp>BDH|14450195340306220145</stp>
        <tr r="AU12" s="338"/>
      </tp>
      <tp t="b">
        <v>0</v>
        <stp/>
        <stp>BDH|14289489407640742656</stp>
        <tr r="AU49" s="338"/>
        <tr r="AU48" s="338"/>
      </tp>
      <tp t="s">
        <v>USD</v>
        <stp/>
        <stp>BDP|2423561100599861373|22</stp>
        <stp>INTC US 07/17/26 P40 Equity</stp>
        <stp>QUOTED_CURRENCY_REALTIME</stp>
        <tr r="G21" s="2"/>
        <tr r="F197" s="89"/>
      </tp>
      <tp>
        <v>4</v>
        <stp/>
        <stp>BDP|8949872558870802689|22</stp>
        <stp>MSFT US 02/20/26 P410 Equity</stp>
        <stp>bid</stp>
        <tr r="K205" s="89"/>
        <tr r="K213" s="89"/>
      </tp>
      <tp>
        <v>48.7</v>
        <stp/>
        <stp>BDP|5005092167591802286|22</stp>
        <stp>META US 04/17/26 C690 Equity</stp>
        <stp>bid</stp>
        <tr r="K169" s="89"/>
      </tp>
      <tp t="s">
        <v>#N/A Requesting Data...2646689221</v>
        <stp/>
        <stp>BDP|17890634738740236582</stp>
        <tr r="V50" s="89"/>
      </tp>
      <tp t="s">
        <v>#N/A Requesting Data...2422416877</v>
        <stp/>
        <stp>BDP|14882631572614102616</stp>
        <tr r="S10" s="252"/>
      </tp>
      <tp t="s">
        <v>#N/A Requesting Data...2513801923</v>
        <stp/>
        <stp>BDP|14531256854956960242</stp>
        <tr r="D20" s="2"/>
        <tr r="C196" s="89"/>
      </tp>
      <tp t="s">
        <v>#N/A Requesting Data...3208495734</v>
        <stp/>
        <stp>BDP|14222470646161364298</stp>
        <tr r="C11" s="2"/>
      </tp>
      <tp t="s">
        <v>#N/A Requesting Data...3855842373</v>
        <stp/>
        <stp>BDP|13396250829954504031</stp>
        <tr r="O222" s="89"/>
      </tp>
      <tp t="s">
        <v>#N/A N/A</v>
        <stp/>
        <stp>BDP|17370707244810639397</stp>
        <tr r="AC5" s="2"/>
      </tp>
      <tp t="s">
        <v>#N/A Requesting Data...2604578418</v>
        <stp/>
        <stp>BDP|14546342925643453186</stp>
        <tr r="L46" s="338"/>
        <tr r="L8" s="338"/>
        <tr r="L50" s="338"/>
        <tr r="J8" s="338"/>
        <tr r="L32" s="338"/>
        <tr r="J32" s="338"/>
        <tr r="J46" s="338"/>
        <tr r="J50" s="338"/>
      </tp>
      <tp t="s">
        <v>#N/A Requesting Data...3151761506</v>
        <stp/>
        <stp>BDP|14404809696233932105</stp>
        <tr r="E34" s="89"/>
      </tp>
      <tp t="s">
        <v>#N/A Requesting Data...1004626647</v>
        <stp/>
        <stp>BDP|16114816352785885914</stp>
        <tr r="O39" s="89"/>
      </tp>
      <tp t="s">
        <v>#N/A Requesting Data...2559643308</v>
        <stp/>
        <stp>BDP|15404493773766767722</stp>
        <tr r="G36" s="446"/>
      </tp>
      <tp t="s">
        <v>#N/A Requesting Data...2363995464</v>
        <stp/>
        <stp>BDP|10498485443064599312</stp>
        <tr r="X50" s="338"/>
      </tp>
      <tp t="s">
        <v>#N/A Requesting Data...3648000435</v>
        <stp/>
        <stp>BDP|18114698683463557242</stp>
        <tr r="AF56" s="1"/>
        <tr r="AG9" s="338"/>
      </tp>
      <tp t="s">
        <v>#N/A Requesting Data...1705256325</v>
        <stp/>
        <stp>BDP|14185986357608085749</stp>
        <tr r="V44" s="338"/>
      </tp>
      <tp t="s">
        <v>#N/A Requesting Data...3460182371</v>
        <stp/>
        <stp>BDP|11418046365811941163</stp>
        <tr r="E50" s="89"/>
      </tp>
      <tp t="s">
        <v>#N/A Requesting Data...3611510910</v>
        <stp/>
        <stp>BDP|13775077133931138686</stp>
        <tr r="AH41" s="338"/>
        <tr r="AH42" s="338"/>
        <tr r="AJ41" s="338"/>
        <tr r="AJ42" s="338"/>
      </tp>
      <tp t="s">
        <v>#N/A Requesting Data...1090938943</v>
        <stp/>
        <stp>BDP|15710273126027498587</stp>
        <tr r="E68" s="89"/>
      </tp>
      <tp t="s">
        <v>#N/A Requesting Data...3672543515</v>
        <stp/>
        <stp>BDP|17601997833672663804</stp>
        <tr r="AA234" s="89"/>
        <tr r="Z234" s="89"/>
      </tp>
      <tp t="s">
        <v>#N/A Requesting Data...2735835421</v>
        <stp/>
        <stp>BDP|14627889356148517678</stp>
        <tr r="E195" s="89"/>
      </tp>
      <tp t="s">
        <v>#N/A N/A</v>
        <stp/>
        <stp>BDP|14590579742297818521</stp>
        <tr r="K32" s="1"/>
      </tp>
      <tp t="s">
        <v>#N/A Requesting Data...3890253568</v>
        <stp/>
        <stp>BDP|14232577743505528792</stp>
        <tr r="F7" s="252"/>
      </tp>
      <tp t="s">
        <v>#N/A N/A</v>
        <stp/>
        <stp>BDP|14556104661927858316</stp>
        <tr r="K6" s="1"/>
      </tp>
      <tp t="s">
        <v>#N/A Requesting Data...2362517602</v>
        <stp/>
        <stp>BDP|17848755087998009764</stp>
        <tr r="O49" s="89"/>
      </tp>
      <tp t="s">
        <v>#N/A Requesting Data...4116673299</v>
        <stp/>
        <stp>BDP|12341108167772818008</stp>
        <tr r="T35" s="338"/>
      </tp>
      <tp t="s">
        <v>#N/A N/A</v>
        <stp/>
        <stp>BDP|15607530839212696655</stp>
        <tr r="AG21" s="1"/>
        <tr r="AG22" s="1"/>
      </tp>
      <tp t="s">
        <v>#N/A Requesting Data...2175409252</v>
        <stp/>
        <stp>BDP|10253727379283384458</stp>
        <tr r="C56" s="89"/>
      </tp>
      <tp t="s">
        <v>#N/A Requesting Data...2026635670</v>
        <stp/>
        <stp>BDP|13772195236723550526</stp>
        <tr r="X55" s="338"/>
      </tp>
      <tp t="s">
        <v>#N/A N/A</v>
        <stp/>
        <stp>BDP|12702822838908053632</stp>
        <tr r="C17" s="2"/>
      </tp>
      <tp t="s">
        <v>#N/A Requesting Data...3408534671</v>
        <stp/>
        <stp>BDP|17524118567766475161</stp>
        <tr r="F20" s="252"/>
      </tp>
      <tp t="s">
        <v>#N/A Requesting Data...3484262455</v>
        <stp/>
        <stp>BDP|13483096816386354391</stp>
        <tr r="S54" s="338"/>
      </tp>
      <tp t="s">
        <v>#N/A Requesting Data...2213384805</v>
        <stp/>
        <stp>BDP|16190103000157320731</stp>
        <tr r="V144" s="89"/>
      </tp>
      <tp t="s">
        <v>#N/A Requesting Data...1966897250</v>
        <stp/>
        <stp>BDP|12052868717818962496</stp>
        <tr r="AI32" s="338"/>
        <tr r="AI46" s="338"/>
        <tr r="AI50" s="338"/>
        <tr r="AI8" s="338"/>
      </tp>
      <tp t="s">
        <v>#N/A Requesting Data...1818558431</v>
        <stp/>
        <stp>BDP|12678050625094398357</stp>
        <tr r="AC48" s="1"/>
        <tr r="AC49" s="1"/>
        <tr r="D35" s="446"/>
      </tp>
      <tp t="s">
        <v>#N/A Requesting Data...1257494987</v>
        <stp/>
        <stp>BDP|10174429034410523025</stp>
        <tr r="E5" s="2"/>
      </tp>
      <tp t="s">
        <v>#N/A Requesting Data...2090436416</v>
        <stp/>
        <stp>BDP|13691107662271159260</stp>
        <tr r="AR24" s="2"/>
      </tp>
      <tp t="s">
        <v>#N/A Requesting Data...1832192230</v>
        <stp/>
        <stp>BDP|15357058437984658543</stp>
        <tr r="E108" s="89"/>
      </tp>
      <tp t="s">
        <v>#N/A N/A</v>
        <stp/>
        <stp>BDP|13548034063303146173</stp>
        <tr r="AC17" s="2"/>
        <tr r="AC18" s="2"/>
      </tp>
      <tp t="s">
        <v>#N/A Requesting Data...1608144639</v>
        <stp/>
        <stp>BDP|15243317262926618151</stp>
        <tr r="AA205" s="89"/>
        <tr r="AA213" s="89"/>
        <tr r="Z205" s="89"/>
        <tr r="Z213" s="89"/>
      </tp>
      <tp t="s">
        <v>#N/A Requesting Data...2476822678</v>
        <stp/>
        <stp>BDP|16678311834407962683</stp>
        <tr r="V180" s="89"/>
      </tp>
      <tp t="s">
        <v>#N/A Requesting Data...1542314080</v>
        <stp/>
        <stp>BDP|10809595656630258773</stp>
        <tr r="N8" s="252"/>
        <tr r="N8" s="252"/>
      </tp>
      <tp t="s">
        <v>#N/A Requesting Data...3001330111</v>
        <stp/>
        <stp>BDP|11136935115988096638</stp>
        <tr r="AJ17" s="338"/>
        <tr r="AJ18" s="338"/>
      </tp>
      <tp t="s">
        <v>#N/A Requesting Data...1347018290</v>
        <stp/>
        <stp>BDP|18344672223928166325</stp>
        <tr r="V49" s="89"/>
      </tp>
      <tp t="s">
        <v>#N/A Requesting Data...3115991641</v>
        <stp/>
        <stp>BDP|17117535562106038540</stp>
        <tr r="X35" s="338"/>
      </tp>
      <tp t="s">
        <v>#N/A Requesting Data...1775392224</v>
        <stp/>
        <stp>BDP|17595860646595585978</stp>
        <tr r="Q50" s="338"/>
      </tp>
      <tp t="s">
        <v>#N/A Requesting Data...2950571010</v>
        <stp/>
        <stp>BDP|11947265064485960753</stp>
        <tr r="U32" s="338"/>
      </tp>
      <tp t="s">
        <v>#N/A N/A</v>
        <stp/>
        <stp>BDP|16417427955559579911</stp>
        <tr r="AA187" s="89"/>
        <tr r="Z187" s="89"/>
      </tp>
      <tp t="s">
        <v>#N/A N/A</v>
        <stp/>
        <stp>BDP|13856641820218803820</stp>
        <tr r="AB13" s="1"/>
      </tp>
      <tp t="b">
        <v>0</v>
        <stp/>
        <stp>BDH|13758779089782981901</stp>
        <tr r="AP36" s="338"/>
      </tp>
      <tp>
        <v>84.5</v>
        <stp/>
        <stp>BDP|2057497571936690391|22</stp>
        <stp>XLP Equity</stp>
        <stp>LAST_PRICE</stp>
        <tr r="I56" s="1"/>
      </tp>
      <tp t="b">
        <v>0</v>
        <stp/>
        <stp>BDH|10188630603181956001</stp>
        <tr r="AP37" s="338"/>
      </tp>
      <tp t="b">
        <v>0</v>
        <stp/>
        <stp>BDH|18280801329220991597</stp>
        <tr r="AM37" s="338"/>
      </tp>
      <tp t="b">
        <v>0</v>
        <stp/>
        <stp>BDH|14841814459759862757</stp>
        <tr r="W19" s="252"/>
        <tr r="T19" s="252"/>
      </tp>
      <tp t="b">
        <v>0</v>
        <stp/>
        <stp>BDH|17663640529772248671</stp>
        <tr r="J15" s="252"/>
      </tp>
      <tp>
        <v>87.19</v>
        <stp/>
        <stp>BDP|9722167412074972561|22</stp>
        <stp>MXCN Index</stp>
        <stp>LAST_PRICE</stp>
        <tr r="H17" s="252"/>
        <tr r="H17" s="252"/>
      </tp>
      <tp>
        <v>-0.36534881591796875</v>
        <stp/>
        <stp>BDP|18418713240494206607|22</stp>
        <stp>MRVL US 03/20/26 P75 Equity</stp>
        <stp>DELTA_MID_RT</stp>
        <tr r="AF12" s="2"/>
      </tp>
      <tp>
        <v>48.08</v>
        <stp/>
        <stp>BDP|8316763994800088980|22</stp>
        <stp>META US 07/17/26 C750 Equity</stp>
        <stp>mid</stp>
        <tr r="L8" s="2"/>
        <tr r="L9" s="2"/>
      </tp>
      <tp t="s">
        <v>#N/A N/A</v>
        <stp/>
        <stp>BDP|17547210857960973439</stp>
        <tr r="D17" s="2"/>
        <tr r="C75" s="89"/>
      </tp>
      <tp t="s">
        <v>#N/A Requesting Data...2523361237</v>
        <stp/>
        <stp>BDP|17506313141244542095</stp>
        <tr r="O55" s="89"/>
      </tp>
      <tp t="s">
        <v>#N/A N/A</v>
        <stp/>
        <stp>BDP|12194689278231069699</stp>
        <tr r="AI12" s="1"/>
      </tp>
      <tp t="s">
        <v>#N/A N/A</v>
        <stp/>
        <stp>BDP|15839339977736656325</stp>
        <tr r="AQ7" s="2"/>
      </tp>
      <tp t="s">
        <v>#N/A Requesting Data...3496314077</v>
        <stp/>
        <stp>BDP|10441895032989795603</stp>
        <tr r="AI11" s="338"/>
      </tp>
      <tp t="s">
        <v>#N/A Requesting Data...2217310545</v>
        <stp/>
        <stp>BDP|14441106816594061499</stp>
        <tr r="C123" s="89"/>
      </tp>
      <tp t="s">
        <v>#N/A Requesting Data...1291186976</v>
        <stp/>
        <stp>BDP|16851834935831563802</stp>
        <tr r="T6" s="2"/>
      </tp>
      <tp t="s">
        <v>#N/A Requesting Data...3165753027</v>
        <stp/>
        <stp>BDP|14192014209218566878</stp>
        <tr r="T34" s="89"/>
      </tp>
      <tp t="s">
        <v>#N/A Requesting Data...4144395191</v>
        <stp/>
        <stp>BDP|16150678046234374495</stp>
        <tr r="T37" s="338"/>
      </tp>
      <tp t="s">
        <v>#N/A Requesting Data...1183684597</v>
        <stp/>
        <stp>BDP|11019717141062892428</stp>
        <tr r="D222" s="89"/>
      </tp>
      <tp t="s">
        <v>#N/A Requesting Data...1174130155</v>
        <stp/>
        <stp>BDP|17303082674511603530</stp>
        <tr r="C180" s="89"/>
      </tp>
      <tp t="s">
        <v>#N/A N/A</v>
        <stp/>
        <stp>BDP|17958159524868336813</stp>
        <tr r="AI33" s="1"/>
      </tp>
      <tp t="s">
        <v>#N/A Requesting Data...1226917453</v>
        <stp/>
        <stp>BDP|13677881495424052263</stp>
        <tr r="V46" s="338"/>
      </tp>
      <tp t="s">
        <v>#N/A Requesting Data...3405168264</v>
        <stp/>
        <stp>BDP|17810208191751672937</stp>
        <tr r="U53" s="338"/>
      </tp>
      <tp t="s">
        <v>#N/A N/A</v>
        <stp/>
        <stp>BDP|14479848369356708821</stp>
        <tr r="AF15" s="1"/>
        <tr r="AF16" s="1"/>
      </tp>
      <tp t="s">
        <v>#N/A Requesting Data...3826129877</v>
        <stp/>
        <stp>BDP|13362587002474685639</stp>
        <tr r="G33" s="446"/>
      </tp>
      <tp t="s">
        <v>#N/A Requesting Data...1481331451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Data...4150863675</v>
        <stp/>
        <stp>BDP|11902077291294537854</stp>
        <tr r="T234" s="89"/>
      </tp>
      <tp t="s">
        <v>#N/A Requesting Data...2760533562</v>
        <stp/>
        <stp>BDP|10343368500873310497</stp>
        <tr r="Q48" s="338"/>
      </tp>
      <tp t="s">
        <v>#N/A Requesting Data...3519226417</v>
        <stp/>
        <stp>BDP|10953387444814317799</stp>
        <tr r="S18" s="252"/>
      </tp>
      <tp t="s">
        <v>#N/A Requesting Data...1129180981</v>
        <stp/>
        <stp>BDP|16095389787508071105</stp>
        <tr r="V11" s="338"/>
      </tp>
      <tp t="s">
        <v>#N/A Requesting Data...1809238084</v>
        <stp/>
        <stp>BDP|11580587764812660407</stp>
        <tr r="P48" s="338"/>
      </tp>
      <tp t="s">
        <v>#N/A N/A</v>
        <stp/>
        <stp>BDP|14006343299942798856</stp>
        <tr r="AI24" s="1"/>
        <tr r="AI25" s="1"/>
      </tp>
      <tp t="s">
        <v>#N/A Requesting Data...4280282847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Data...2556407158</v>
        <stp/>
        <stp>BDP|15878521351180442107</stp>
        <tr r="D109" s="89"/>
      </tp>
      <tp t="s">
        <v>#N/A N/A</v>
        <stp/>
        <stp>BDP|12062717686630053994</stp>
        <tr r="V188" s="89"/>
      </tp>
      <tp>
        <v>25874.25</v>
        <stp/>
        <stp>BDP|5100640861095501669|22</stp>
        <stp>1OH6 Index</stp>
        <stp>LAST_PRICE</stp>
        <tr r="S153" s="89"/>
      </tp>
      <tp t="s">
        <v>#N/A Requesting Data...2106863401</v>
        <stp/>
        <stp>BDP|13970059459100158254</stp>
        <tr r="T222" s="89"/>
      </tp>
      <tp t="s">
        <v>#N/A Requesting Data...3341564273</v>
        <stp/>
        <stp>BDP|10930560316549062982</stp>
        <tr r="C160" s="89"/>
      </tp>
      <tp t="s">
        <v>#N/A N/A</v>
        <stp/>
        <stp>BDP|17624673723155105222</stp>
        <tr r="AB55" s="1"/>
      </tp>
      <tp t="s">
        <v>#N/A Requesting Data...2208306080</v>
        <stp/>
        <stp>BDP|16023917640776957980</stp>
        <tr r="AI11" s="338"/>
        <tr r="AK11" s="338"/>
      </tp>
      <tp t="s">
        <v>#N/A Requesting Data...3654068394</v>
        <stp/>
        <stp>BDP|14437871301241284935</stp>
        <tr r="AJ36" s="338"/>
      </tp>
      <tp t="s">
        <v>#N/A Requesting Data...3886609304</v>
        <stp/>
        <stp>BDP|11214745035248274920</stp>
        <tr r="V32" s="338"/>
      </tp>
      <tp t="s">
        <v>#N/A Requesting Data...2966864804</v>
        <stp/>
        <stp>BDP|12168490429210433067</stp>
        <tr r="T169" s="89"/>
      </tp>
      <tp t="s">
        <v>#N/A Requesting Data...2061104563</v>
        <stp/>
        <stp>BDP|11625676250200786659</stp>
        <tr r="T32" s="338"/>
      </tp>
      <tp t="s">
        <v>#N/A Requesting Data...2010421919</v>
        <stp/>
        <stp>BDP|13296159244091423359</stp>
        <tr r="P29" s="338"/>
      </tp>
      <tp t="s">
        <v>#N/A N/A</v>
        <stp/>
        <stp>BDP|18042899846108511886</stp>
        <tr r="AQ6" s="2"/>
        <tr r="AB237" s="89"/>
        <tr r="AB33" s="89"/>
        <tr r="AB34" s="89"/>
        <tr r="AB39" s="89"/>
        <tr r="AB40" s="89"/>
      </tp>
      <tp t="s">
        <v>#N/A Requesting Data...4192756538</v>
        <stp/>
        <stp>BDP|10190934152880793852</stp>
        <tr r="X52" s="338"/>
      </tp>
      <tp t="s">
        <v>#N/A Requesting Data...3886104172</v>
        <stp/>
        <stp>BDP|14059396921424230587</stp>
        <tr r="AF51" s="1"/>
        <tr r="AF14" s="338"/>
        <tr r="AF35" s="338"/>
      </tp>
      <tp t="s">
        <v>#N/A Requesting Data...3708429532</v>
        <stp/>
        <stp>BDP|12679894611876997952</stp>
        <tr r="S44" s="338"/>
      </tp>
      <tp t="s">
        <v>#N/A Requesting Data...2779699793</v>
        <stp/>
        <stp>BDP|16746828299737809411</stp>
        <tr r="C26" s="89"/>
      </tp>
      <tp t="s">
        <v>#N/A Requesting Data...1815804917</v>
        <stp/>
        <stp>BDP|12166373874230381241</stp>
        <tr r="C21" s="2"/>
      </tp>
      <tp t="s">
        <v>#N/A N/A</v>
        <stp/>
        <stp>BDP|10330199677783039183</stp>
        <tr r="AB49" s="89"/>
        <tr r="AB50" s="89"/>
      </tp>
      <tp t="s">
        <v>#N/A Requesting Data...1486117865</v>
        <stp/>
        <stp>BDP|17956776735294864366</stp>
        <tr r="E145" s="89"/>
      </tp>
      <tp t="s">
        <v>#N/A Requesting Data...1751197639</v>
        <stp/>
        <stp>BDP|13164210523337526031</stp>
        <tr r="E89" s="89"/>
      </tp>
      <tp t="s">
        <v>#N/A Requesting Data...4274201733</v>
        <stp/>
        <stp>BDP|10130888374289856216</stp>
        <tr r="U13" s="338"/>
      </tp>
      <tp t="s">
        <v>#N/A Requesting Data...3431376077</v>
        <stp/>
        <stp>BDP|18285644343839945789</stp>
        <tr r="AA212" s="89"/>
        <tr r="Z212" s="89"/>
      </tp>
      <tp t="s">
        <v>#N/A Requesting Data...1780385558</v>
        <stp/>
        <stp>BDP|17618008533351406162</stp>
        <tr r="F23" s="2"/>
      </tp>
      <tp t="s">
        <v>#N/A Requesting Data...1102094749</v>
        <stp/>
        <stp>BDP|12072061123567199335</stp>
        <tr r="X16" s="338"/>
        <tr r="X38" s="338"/>
      </tp>
      <tp t="s">
        <v>#N/A Requesting Data...1153158638</v>
        <stp/>
        <stp>BDP|10337841861653211939</stp>
        <tr r="AB54" s="1"/>
        <tr r="F14" s="446"/>
      </tp>
      <tp t="s">
        <v>#N/A Requesting Data...3032643620</v>
        <stp/>
        <stp>BDP|13510264833692721404</stp>
        <tr r="U49" s="338"/>
      </tp>
      <tp t="s">
        <v>#N/A N/A</v>
        <stp/>
        <stp>BDP|12370547281383201820</stp>
        <tr r="AG24" s="1"/>
        <tr r="AG25" s="1"/>
      </tp>
      <tp t="s">
        <v>#N/A N/A</v>
        <stp/>
        <stp>BDP|11243430201469561835</stp>
        <tr r="AI46" s="1"/>
        <tr r="AI47" s="1"/>
      </tp>
      <tp t="b">
        <v>0</v>
        <stp/>
        <stp>BDH|16124829796220590317</stp>
        <tr r="AN14" s="338"/>
        <tr r="AN35" s="338"/>
      </tp>
      <tp t="b">
        <v>0</v>
        <stp/>
        <stp>BDH|14073907180451142068</stp>
        <tr r="AR30" s="338"/>
      </tp>
      <tp t="b">
        <v>0</v>
        <stp/>
        <stp>BDH|14787871165809047737</stp>
        <tr r="J10" s="252"/>
      </tp>
      <tp>
        <v>0.40375694632530212</v>
        <stp/>
        <stp>BDP|13606219202075101737|22</stp>
        <stp>INTC US 07/17/26 C60 Equity</stp>
        <stp>DELTA_MID_RT</stp>
        <tr r="AF19" s="2"/>
        <tr r="W195" s="89"/>
      </tp>
      <tp t="s">
        <v>#N/A Invalid Security</v>
        <stp/>
        <stp>BDP|17276935431976766163|22</stp>
        <stp xml:space="preserve"> Equity</stp>
        <stp>QUOTED_CURRENCY_REALTIME</stp>
        <tr r="F178" s="89"/>
        <tr r="F179" s="89"/>
      </tp>
      <tp>
        <v>-0.25966745615005493</v>
        <stp/>
        <stp>BDP|14936198501062674443|22</stp>
        <stp>DELL US 02/06/26 P115 Equity</stp>
        <stp>DELTA_MID_RT</stp>
        <tr r="W49" s="89"/>
      </tp>
      <tp>
        <v>47.95</v>
        <stp/>
        <stp>BDP|1435529279737285533|22</stp>
        <stp>META US 07/17/26 C750 Equity</stp>
        <stp>bid</stp>
        <tr r="K13" s="89"/>
        <tr r="P8" s="2"/>
        <tr r="P9" s="2"/>
      </tp>
      <tp>
        <v>53.1</v>
        <stp/>
        <stp>BDP|3455432218402996031|22</stp>
        <stp>META US 02/27/26 C660 Equity</stp>
        <stp>bid</stp>
        <tr r="K180" s="89"/>
      </tp>
      <tp>
        <v>7.28</v>
        <stp/>
        <stp>BDP|1560319554749533723|22</stp>
        <stp>AAPL US 04/17/26 C280 Equity</stp>
        <stp>mid</stp>
        <tr r="L16" s="2"/>
      </tp>
      <tp t="s">
        <v>#N/A Requesting Data...3875357355</v>
        <stp/>
        <stp>BDP|10508197528283416594</stp>
        <tr r="X48" s="338"/>
      </tp>
      <tp t="s">
        <v>#N/A N/A</v>
        <stp/>
        <stp>BDP|10976567873595722239</stp>
        <tr r="AV24" s="2"/>
        <tr r="AV25" s="2"/>
        <tr r="R20" s="89"/>
        <tr r="R19" s="89"/>
      </tp>
      <tp t="s">
        <v>#N/A Requesting Data...2481633351</v>
        <stp/>
        <stp>BDP|15688066863846340087</stp>
        <tr r="D28" s="446"/>
      </tp>
      <tp t="s">
        <v>#N/A Requesting Data...3341491797</v>
        <stp/>
        <stp>BDP|10174366559095309654</stp>
        <tr r="Z137" s="89"/>
        <tr r="AA137" s="89"/>
      </tp>
      <tp t="s">
        <v>#N/A Requesting Data...3942563348</v>
        <stp/>
        <stp>BDP|15767057305588506896</stp>
        <tr r="AH10" s="338"/>
        <tr r="AH11" s="338"/>
        <tr r="AH33" s="338"/>
      </tp>
      <tp t="s">
        <v>#N/A N/A</v>
        <stp/>
        <stp>BDP|12598914732268945550</stp>
        <tr r="E10" s="1"/>
      </tp>
      <tp t="s">
        <v>#N/A Requesting Data...3266618979</v>
        <stp/>
        <stp>BDP|10946231384896009942</stp>
        <tr r="N15" s="252"/>
        <tr r="N15" s="252"/>
      </tp>
      <tp t="s">
        <v>#N/A Requesting Data...1649863270</v>
        <stp/>
        <stp>BDP|10968744678995921066</stp>
        <tr r="C179" s="89"/>
        <tr r="C178" s="89"/>
      </tp>
      <tp t="s">
        <v>#N/A Requesting Data...4000623387</v>
        <stp/>
        <stp>BDP|11098096253680456149</stp>
        <tr r="P16" s="338"/>
        <tr r="P38" s="338"/>
      </tp>
      <tp t="s">
        <v>#N/A Requesting Data...2566692618</v>
        <stp/>
        <stp>BDP|12490577043850363694</stp>
        <tr r="C169" s="89"/>
      </tp>
      <tp t="s">
        <v>#N/A N/A</v>
        <stp/>
        <stp>BDP|13133068388367036926</stp>
        <tr r="K42" s="1"/>
      </tp>
      <tp t="s">
        <v>#N/A Requesting Data...1926676214</v>
        <stp/>
        <stp>BDP|10787623999933097918</stp>
        <tr r="L10" s="252"/>
        <tr r="L10" s="252"/>
      </tp>
      <tp t="s">
        <v>#N/A N/A</v>
        <stp/>
        <stp>BDP|10008779212771859209</stp>
        <tr r="F18" s="2"/>
        <tr r="E76" s="89"/>
      </tp>
      <tp t="s">
        <v>#N/A Requesting Data...4193467736</v>
        <stp/>
        <stp>BDP|15872646771885299421</stp>
        <tr r="F16" s="446"/>
      </tp>
      <tp t="s">
        <v>#N/A N/A</v>
        <stp/>
        <stp>BDP|16725783465037531523</stp>
        <tr r="K41" s="1"/>
      </tp>
      <tp t="s">
        <v>#N/A Requesting Data...1921245854</v>
        <stp/>
        <stp>BDP|17540140349122652537</stp>
        <tr r="T26" s="89"/>
      </tp>
      <tp t="s">
        <v>#N/A Requesting Data...4218406371</v>
        <stp/>
        <stp>BDP|17220718142881835059</stp>
        <tr r="F14" s="252"/>
      </tp>
      <tp t="s">
        <v>#N/A N/A</v>
        <stp/>
        <stp>BDP|10657184220757541146</stp>
        <tr r="C18" s="2"/>
      </tp>
      <tp t="s">
        <v>#N/A N/A</v>
        <stp/>
        <stp>BDP|15051140014688420859</stp>
        <tr r="AC12" s="1"/>
      </tp>
      <tp t="s">
        <v>#N/A Requesting Data...3084119114</v>
        <stp/>
        <stp>BDP|13738518813242630024</stp>
        <tr r="U55" s="338"/>
      </tp>
      <tp t="s">
        <v>#N/A Requesting Data...3945858242</v>
        <stp/>
        <stp>BDP|10649617194228048229</stp>
        <tr r="AD19" s="2"/>
        <tr r="V195" s="89"/>
      </tp>
      <tp t="s">
        <v>#N/A Requesting Data...3363078484</v>
        <stp/>
        <stp>BDP|16068368952433220674</stp>
        <tr r="D145" s="89"/>
      </tp>
      <tp t="s">
        <v>#N/A Requesting Data...2824477331</v>
        <stp/>
        <stp>BDP|13465529309701622291</stp>
        <tr r="D49" s="89"/>
      </tp>
      <tp t="s">
        <v>#N/A Requesting Data...1743156129</v>
        <stp/>
        <stp>BDP|17342615633087431051</stp>
        <tr r="AR16" s="2"/>
      </tp>
      <tp t="s">
        <v>#N/A Requesting Data...4137350834</v>
        <stp/>
        <stp>BDP|10830522917212474394</stp>
        <tr r="M6" s="252"/>
      </tp>
      <tp t="s">
        <v>#N/A N/A</v>
        <stp/>
        <stp>BDP|17289014403731542359</stp>
        <tr r="AQ21" s="2"/>
        <tr r="AQ19" s="2"/>
        <tr r="AQ20" s="2"/>
        <tr r="AB195" s="89"/>
        <tr r="AB196" s="89"/>
        <tr r="AB197" s="89"/>
      </tp>
      <tp t="s">
        <v>#N/A Requesting Data...3532654421</v>
        <stp/>
        <stp>BDP|13449047331402957787</stp>
        <tr r="F12" s="2"/>
      </tp>
      <tp t="s">
        <v>#N/A Requesting Data...2731664363</v>
        <stp/>
        <stp>BDP|14342024613619901985</stp>
        <tr r="F32" s="446"/>
      </tp>
      <tp t="s">
        <v>#N/A Requesting Data...3584427646</v>
        <stp/>
        <stp>BDP|17882539857607640595</stp>
        <tr r="AG54" s="338"/>
      </tp>
      <tp t="s">
        <v>#N/A Requesting Data...3136356556</v>
        <stp/>
        <stp>BDP|13450917922399223467</stp>
        <tr r="G34" s="446"/>
      </tp>
      <tp t="s">
        <v>#N/A N/A</v>
        <stp/>
        <stp>BDP|10603598986270914823</stp>
        <tr r="AC30" s="1"/>
        <tr r="AC31" s="1"/>
      </tp>
      <tp t="s">
        <v>#N/A N/A</v>
        <stp/>
        <stp>BDP|12142735374617755031</stp>
        <tr r="AG13" s="1"/>
      </tp>
      <tp t="s">
        <v>#N/A N/A</v>
        <stp/>
        <stp>BDP|12540520710212521104</stp>
        <tr r="AC21" s="1"/>
        <tr r="AC22" s="1"/>
      </tp>
      <tp t="s">
        <v>#N/A Requesting Data...2799618296</v>
        <stp/>
        <stp>BDP|10511277652532461062</stp>
        <tr r="Z90" s="89"/>
        <tr r="AA90" s="89"/>
      </tp>
      <tp t="s">
        <v>#N/A Requesting Data...4010225203</v>
        <stp/>
        <stp>BDP|12129279820182595515</stp>
        <tr r="E196" s="89"/>
      </tp>
      <tp t="s">
        <v>#N/A Requesting Data...2471924439</v>
        <stp/>
        <stp>BDP|14655831860859350630</stp>
        <tr r="L13" s="338"/>
        <tr r="J13" s="338"/>
      </tp>
      <tp t="s">
        <v>#N/A Requesting Data...3672223571</v>
        <stp/>
        <stp>BDP|15509568954070416077</stp>
        <tr r="O212" s="89"/>
      </tp>
      <tp t="s">
        <v>#N/A N/A</v>
        <stp/>
        <stp>BDP|18269255641489268206</stp>
        <tr r="AC38" s="1"/>
        <tr r="AC39" s="1"/>
      </tp>
      <tp t="s">
        <v>#N/A N/A</v>
        <stp/>
        <stp>BDP|10194178422811898787</stp>
        <tr r="AF17" s="1"/>
      </tp>
      <tp t="s">
        <v>#N/A Requesting Data...3306556776</v>
        <stp/>
        <stp>BDP|14267816579409601783</stp>
        <tr r="Q49" s="338"/>
      </tp>
      <tp t="s">
        <v>#N/A N/A</v>
        <stp/>
        <stp>BDP|15660791077340487089</stp>
        <tr r="E1" s="1"/>
        <tr r="K46" s="1"/>
      </tp>
      <tp t="s">
        <v>#N/A Requesting Data...2297524339</v>
        <stp/>
        <stp>BDP|10749732335826116771</stp>
        <tr r="D224" s="89"/>
      </tp>
      <tp t="s">
        <v>#N/A Requesting Data...4112925923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Data...3814250639</v>
        <stp/>
        <stp>BDP|17114611528944869260</stp>
        <tr r="AI12" s="338"/>
        <tr r="AK12" s="338"/>
      </tp>
      <tp t="s">
        <v>#N/A N/A</v>
        <stp/>
        <stp>BDP|14505061934744038618</stp>
        <tr r="AB2" s="1"/>
      </tp>
      <tp t="s">
        <v>#N/A Requesting Data...3142263585</v>
        <stp/>
        <stp>BDP|13635936347568321371</stp>
        <tr r="AA235" s="89"/>
        <tr r="Z235" s="89"/>
      </tp>
      <tp t="s">
        <v>#N/A Requesting Data...1389350821</v>
        <stp/>
        <stp>BDP|11370170641465778442</stp>
        <tr r="O169" s="89"/>
      </tp>
      <tp t="b">
        <v>0</v>
        <stp/>
        <stp>BDH|14131773964710507045</stp>
        <tr r="J9" s="252"/>
      </tp>
      <tp t="b">
        <v>0</v>
        <stp/>
        <stp>BDH|16114104446132086432</stp>
        <tr r="AU13" s="338"/>
      </tp>
      <tp t="b">
        <v>0</v>
        <stp/>
        <stp>BDH|10629123154266937706</stp>
        <tr r="AM18" s="338"/>
        <tr r="AM17" s="338"/>
      </tp>
      <tp t="b">
        <v>0</v>
        <stp/>
        <stp>BDH|14815518618510993529</stp>
        <tr r="AR40" s="338"/>
        <tr r="AM15" s="338"/>
        <tr r="AM39" s="338"/>
      </tp>
      <tp t="b">
        <v>0</v>
        <stp/>
        <stp>BDH|10825554036716072545</stp>
        <tr r="W8" s="252"/>
        <tr r="T8" s="252"/>
      </tp>
      <tp t="b">
        <v>0</v>
        <stp/>
        <stp>BDH|12817058387938472701</stp>
        <tr r="W10" s="252"/>
        <tr r="T10" s="252"/>
      </tp>
    </main>
    <main first="bofaddin.rtdserver">
      <tp>
        <v>14764.19</v>
        <stp/>
        <stp>BDP|9776891762487809350|22</stp>
        <stp>XIN9I Index</stp>
        <stp>LAST_PRICE</stp>
        <tr r="H11" s="252"/>
        <tr r="H11" s="252"/>
      </tp>
      <tp t="s">
        <v>#N/A Real Time</v>
        <stp/>
        <stp>BDP|15884850902642085200|22</stp>
        <stp>RFSWZ4C3 2400 Index</stp>
        <stp>ask</stp>
        <tr r="L123" s="89"/>
      </tp>
      <tp>
        <v>262.18</v>
        <stp/>
        <stp>BDP|7062867511992634566|22</stp>
        <stp>IWM EQUITY</stp>
        <stp>LAST_PRICE</stp>
        <tr r="I8" s="1"/>
      </tp>
      <tp>
        <v>33.08</v>
        <stp/>
        <stp>BDP|16778716474861008512|22</stp>
        <stp>ASHR US Equity</stp>
        <stp>LAST_PRICE</stp>
        <tr r="Z4" s="2"/>
      </tp>
      <tp>
        <v>151200</v>
        <stp/>
        <stp>BDP|2801672589713003233|22</stp>
        <stp>005930 KS Equity</stp>
        <stp>LAST_PRICE</stp>
        <tr r="I35" s="1"/>
        <tr r="I34" s="1"/>
      </tp>
      <tp>
        <v>830000</v>
        <stp/>
        <stp>BDP|5584348829070198606|22</stp>
        <stp>000660 KP Equity</stp>
        <stp>LAST_PRICE</stp>
        <tr r="I32" s="1"/>
      </tp>
      <tp>
        <v>218.48</v>
        <stp/>
        <stp>BDP|14695328540844976221|22</stp>
        <stp>GSENEPOW Equity</stp>
        <stp>LAST PRICE</stp>
        <tr r="G41" s="338"/>
        <tr r="G42" s="338"/>
      </tp>
      <tp t="s">
        <v>#N/A Real Time</v>
        <stp/>
        <stp>BDP|4480144096505489759|22</stp>
        <stp>MRYWZ4C4 2390 Index</stp>
        <stp>DELTA_MID_RT</stp>
        <tr r="W129" s="89"/>
      </tp>
      <tp>
        <v>-1.8019536510109901E-2</v>
        <stp/>
        <stp>BDP|16828695075002840217|22</stp>
        <stp>INTC US 07/17/26 P40 Equity</stp>
        <stp>theta_mid_rt</stp>
        <tr r="AN21" s="2"/>
      </tp>
      <tp t="s">
        <v>#N/A Real Time</v>
        <stp/>
        <stp>BDP|8671606719947634072|22</stp>
        <stp>4EM5P    6025 Index</stp>
        <stp>DELTA_MID_RT</stp>
        <tr r="W137" s="89"/>
      </tp>
      <tp t="s">
        <v>#N/A Real Time</v>
        <stp/>
        <stp>BDP|8369518914882815880|22</stp>
        <stp>QQQ US 01/15/26 P623 Equity</stp>
        <stp>DELTA_MID_RT</stp>
        <tr r="W68" s="89"/>
      </tp>
      <tp t="s">
        <v>#N/A Requesting Data...</v>
        <stp/>
        <stp>BDP|1608839076827039061|22</stp>
        <stp>2,1792365808973 Index</stp>
        <stp>mid</stp>
        <tr r="L1" s="2"/>
      </tp>
      <tp t="s">
        <v>#N/A Real Time</v>
        <stp/>
        <stp>BDP|2387402778293168161|22</stp>
        <stp>4OZ24 Index</stp>
        <stp>LAST_PRICE</stp>
        <tr r="S108" s="89"/>
      </tp>
      <tp>
        <v>9.4857342541217804E-2</v>
        <stp/>
        <stp>BDP|2686469546627559019|22</stp>
        <stp>QQQ US 02/06/26 C640 Equity</stp>
        <stp>DELTA_MID_RT</stp>
        <tr r="W186" s="89"/>
      </tp>
      <tp t="s">
        <v>#N/A Real Time</v>
        <stp/>
        <stp>BDP|11820070012775282534|22</stp>
        <stp>RTYWU5C3 2500 Index</stp>
        <stp>ask</stp>
        <tr r="L145" s="89"/>
      </tp>
      <tp>
        <v>331.11</v>
        <stp/>
        <stp>BDP|17019897193923426340|22</stp>
        <stp>AVGO US Equity</stp>
        <stp>LAST_PRICE</stp>
        <tr r="Z5" s="2"/>
        <tr r="S222" s="89"/>
        <tr r="S223" s="89"/>
        <tr r="S224" s="89"/>
        <tr r="S225" s="89"/>
      </tp>
      <tp t="s">
        <v>USD</v>
        <stp/>
        <stp>BDP|8578071273177149995|22</stp>
        <stp>AVGO US 06/18/26 P270 Equity</stp>
        <stp>QUOTED_CURRENCY_REALTIME</stp>
        <tr r="F225" s="89"/>
      </tp>
      <tp t="s">
        <v>#N/A Invalid Security</v>
        <stp/>
        <stp>BDP|8395936700053853217|22</stp>
        <stp>CSCO US 07/17/26 C670 Equity</stp>
        <stp>QUOTED_CURRENCY_REALTIME</stp>
        <tr r="F26" s="89"/>
      </tp>
      <tp t="s">
        <v>#N/A Real Time</v>
        <stp/>
        <stp>BDP|16831399122066681226|22</stp>
        <stp>RTYWU5C3 2500 Index</stp>
        <stp>bid</stp>
        <tr r="K145" s="89"/>
      </tp>
      <tp>
        <v>407.97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  <tp>
        <v>-6.8885914981365204E-2</v>
        <stp/>
        <stp>BDP|17204206709522420966|22</stp>
        <stp>AAPL US 04/17/26 C280 Equity</stp>
        <stp>theta_mid_rt</stp>
        <tr r="AN16" s="2"/>
      </tp>
      <tp>
        <v>-6.7243732511997223E-2</v>
        <stp/>
        <stp>BDP|12394711501428764022|22</stp>
        <stp>AAPL US 04/17/26 C260 Equity</stp>
        <stp>theta_mid_rt</stp>
        <tr r="AN15" s="2"/>
      </tp>
      <tp t="s">
        <v>#N/A Real Time</v>
        <stp/>
        <stp>BDP|9893971634581157776|22</stp>
        <stp>RTYWU5C3 2425 Index</stp>
        <stp>DELTA_MID_RT</stp>
        <tr r="W144" s="89"/>
      </tp>
      <tp>
        <v>61.61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#N/A Requesting Data...4245974374</v>
        <stp/>
        <stp>BDP|3297967097008051</stp>
        <tr r="AA223" s="89"/>
        <tr r="Z223" s="89"/>
      </tp>
      <tp>
        <v>25874.25</v>
        <stp/>
        <stp>BDP|15621475834069929149|22</stp>
        <stp>NQA INDEX</stp>
        <stp>LAST_PRICE</stp>
        <tr r="I15" s="1"/>
        <tr r="I16" s="1"/>
      </tp>
      <tp>
        <v>333.84</v>
        <stp/>
        <stp>BDP|4205875099267338750|22</stp>
        <stp>V Equity</stp>
        <stp>LAST PRICE</stp>
        <tr r="G15" s="338"/>
        <tr r="G39" s="338"/>
        <tr r="I40" s="338"/>
      </tp>
      <tp>
        <v>341.36</v>
        <stp/>
        <stp>BDP|5454315708850008901|22</stp>
        <stp>TSM EQUITY</stp>
        <stp>LAST_PRICE</stp>
        <tr r="C3" s="1"/>
      </tp>
      <tp t="s">
        <v>USD</v>
        <stp/>
        <stp>BDP|4932980636865218571|22</stp>
        <stp>MSFT US 02/20/26 P420 Equity</stp>
        <stp>QUOTED_CURRENCY_REALTIME</stp>
        <tr r="F212" s="89"/>
      </tp>
      <tp>
        <v>-0.4201296865940094</v>
        <stp/>
        <stp>BDP|4097278365440757822|22</stp>
        <stp>QQQ US 02/06/26 P624 Equity</stp>
        <stp>DELTA_MID_RT</stp>
        <tr r="W188" s="89"/>
      </tp>
      <tp t="s">
        <v>USD</v>
        <stp/>
        <stp>BDP|8466093696555252240|22</stp>
        <stp>DELL US 02/06/26 P115 Equity</stp>
        <stp>QUOTED_CURRENCY_REALTIME</stp>
        <tr r="F49" s="89"/>
      </tp>
      <tp t="s">
        <v>USD</v>
        <stp/>
        <stp>BDP|2430132797707671505|22</stp>
        <stp>NVDA US 05/15/26 C200 Equity</stp>
        <stp>QUOTED_CURRENCY_REALTIME</stp>
        <tr r="G6" s="2"/>
      </tp>
      <tp>
        <v>15.45</v>
        <stp/>
        <stp>BDP|224084046732399728|22</stp>
        <stp>MSFT US 07/17/26 C470 Equity</stp>
        <stp>ask</stp>
        <tr r="L235" s="89"/>
      </tp>
      <tp t="s">
        <v>USD</v>
        <stp/>
        <stp>BDP|4302585845716339382|22</stp>
        <stp>MSFT US 07/17/26 C470 Equity</stp>
        <stp>QUOTED_CURRENCY_REALTIME</stp>
        <tr r="F235" s="89"/>
      </tp>
      <tp t="s">
        <v>USD</v>
        <stp/>
        <stp>BDP|5718330705965420367|22</stp>
        <stp>AVGO US 06/18/26 P300 Equity</stp>
        <stp>QUOTED_CURRENCY_REALTIME</stp>
        <tr r="F224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>
        <v>328.4</v>
        <stp/>
        <stp>BDP|14680776317739946594|22</stp>
        <stp>AMAT US Equity</stp>
        <stp>LAST_PRICE</stp>
        <tr r="S56" s="89"/>
        <tr r="S55" s="89"/>
      </tp>
      <tp t="s">
        <v>#N/A Real Time</v>
        <stp/>
        <stp>BDP|5618054662935339575|22</stp>
        <stp>4EM5P    5800 Index</stp>
        <stp>DELTA_MID_RT</stp>
        <tr r="W138" s="89"/>
      </tp>
      <tp t="s">
        <v>#N/A Real Time</v>
        <stp/>
        <stp>BDP|3644211716247599726|22</stp>
        <stp>RTYWU5C3 2500 Index</stp>
        <stp>DELTA_MID_RT</stp>
        <tr r="W145" s="89"/>
      </tp>
      <tp>
        <v>0.2</v>
        <stp/>
        <stp>BDP|675619676305340664|22</stp>
        <stp>NVDA US 02/13/26 C210 Equity</stp>
        <stp>ask</stp>
        <tr r="L40" s="89"/>
      </tp>
      <tp t="s">
        <v>USD</v>
        <stp/>
        <stp>BDP|9634295531406082081|22</stp>
        <stp>MSFT US 02/20/26 C445 Equity</stp>
        <stp>QUOTED_CURRENCY_REALTIME</stp>
        <tr r="F211" s="89"/>
      </tp>
      <tp t="s">
        <v>USD</v>
        <stp/>
        <stp>BDP|8789910064232569805|22</stp>
        <stp>AMAT US 01/23/26 P290 Equity</stp>
        <stp>QUOTED_CURRENCY_REALTIME</stp>
        <tr r="F55" s="89"/>
      </tp>
      <tp>
        <v>-0.67549413442611694</v>
        <stp/>
        <stp>BDP|17444184218214348444|22</stp>
        <stp>LITE US 03/20/26 C420 Equity</stp>
        <stp>theta_mid_rt</stp>
        <tr r="AN7" s="2"/>
      </tp>
      <tp>
        <v>-6.9024346768856049E-2</v>
        <stp/>
        <stp>BDP|15158621682476696755|22</stp>
        <stp>MRVL US 03/20/26 P75 Equity</stp>
        <stp>theta_mid_rt</stp>
        <tr r="AN12" s="2"/>
      </tp>
      <tp>
        <v>0.62</v>
        <stp/>
        <stp>BDP|13640198828985467188|22</stp>
        <stp>NVDA US 02/13/26 C202.5 Equity</stp>
        <stp>bid</stp>
        <tr r="K34" s="89"/>
      </tp>
      <tp>
        <v>33</v>
        <stp/>
        <stp>BDP|213268990698774113|22</stp>
        <stp>GOOG US 07/17/26 C350 Equity</stp>
        <stp>bid</stp>
        <tr r="K236" s="89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BDP|7738847520517229982|22</stp>
        <stp>META US 07/17/26 C670 Equity</stp>
        <stp>QUOTED_CURRENCY_REALTIME</stp>
        <tr r="F170" s="89"/>
      </tp>
      <tp t="s">
        <v>USD</v>
        <stp/>
        <stp>BDP|5183346410322862647|22</stp>
        <stp>AAPL US 04/17/26 C260 Equity</stp>
        <stp>QUOTED_CURRENCY_REALTIME</stp>
        <tr r="G15" s="2"/>
        <tr r="F7" s="89"/>
      </tp>
      <tp t="s">
        <v>USD</v>
        <stp/>
        <stp>BDP|5793744081546209980|22</stp>
        <stp>META US 04/17/26 C690 Equity</stp>
        <stp>QUOTED_CURRENCY_REALTIME</stp>
        <tr r="F169" s="89"/>
      </tp>
      <tp t="s">
        <v>#N/A Real Time</v>
        <stp/>
        <stp>BDP|4903616747917947670|22</stp>
        <stp>SCH5C   6200 Index</stp>
        <stp>DELTA_MID_RT</stp>
        <tr r="W101" s="89"/>
      </tp>
      <tp t="s">
        <v>#N/A Invalid Security</v>
        <stp/>
        <stp>BDP|4149584775528543730|22</stp>
        <stp xml:space="preserve"> Equity</stp>
        <stp>ask</stp>
        <tr r="Q2" s="2"/>
        <tr r="L178" s="89"/>
        <tr r="L179" s="89"/>
      </tp>
      <tp>
        <v>437.8</v>
        <stp/>
        <stp>BDP|12429311880057526361|22</stp>
        <stp>MU EQUITY</stp>
        <stp>LAST_PRICE</stp>
        <tr r="C4" s="1"/>
      </tp>
      <tp t="s">
        <v>#N/A Real Time</v>
        <stp/>
        <stp>BDP|7920363454183743223|22</stp>
        <stp>IMBWK5C4 5880 Index</stp>
        <stp>DELTA_MID_RT</stp>
        <tr r="W90" s="89"/>
      </tp>
      <tp>
        <v>14.5</v>
        <stp/>
        <stp>BDP|959515516383838906|22</stp>
        <stp>AVGO US 06/18/26 P270 Equity</stp>
        <stp>ask</stp>
        <tr r="L225" s="89"/>
      </tp>
      <tp>
        <v>158</v>
        <stp/>
        <stp>BDP|816505876123726002|22</stp>
        <stp>1OG6P 25750 Index</stp>
        <stp>bid</stp>
        <tr r="K153" s="89"/>
      </tp>
      <tp t="s">
        <v>USD</v>
        <stp/>
        <stp>BDP|9373829889527232263|22</stp>
        <stp>META US 07/17/26 C750 Equity</stp>
        <stp>QUOTED_CURRENCY_REALTIME</stp>
        <tr r="G8" s="2"/>
        <tr r="G9" s="2"/>
        <tr r="F13" s="89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>
        <v>-2.3733807727694511E-2</v>
        <stp/>
        <stp>BDP|18355121389053073684|22</stp>
        <stp>INTC US 07/17/26 C60 Equity</stp>
        <stp>theta_mid_rt</stp>
        <tr r="AN19" s="2"/>
      </tp>
      <tp>
        <v>48.81</v>
        <stp/>
        <stp>BDP|15280641543212915371|22</stp>
        <stp>INTC US Equity</stp>
        <stp>LAST_PRICE</stp>
        <tr r="Z19" s="2"/>
        <tr r="Z20" s="2"/>
        <tr r="Z21" s="2"/>
        <tr r="S195" s="89"/>
        <tr r="S196" s="89"/>
        <tr r="S197" s="89"/>
      </tp>
      <tp>
        <v>7.5</v>
        <stp/>
        <stp>BDP|504148194751819713|22</stp>
        <stp>MSFT US 02/20/26 P420 Equity</stp>
        <stp>ask</stp>
        <tr r="L212" s="89"/>
      </tp>
      <tp>
        <v>162</v>
        <stp/>
        <stp>BDP|17996182457754937917|22</stp>
        <stp>1OG6P 25750 INDEX</stp>
        <stp>ask</stp>
        <tr r="Q22" s="2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>
        <v>-5.9061422944068909E-2</v>
        <stp/>
        <stp>BDP|16456111785153391042|22</stp>
        <stp>MRVL US 03/20/26 P70 Equity</stp>
        <stp>theta_mid_rt</stp>
        <tr r="AN14" s="2"/>
      </tp>
      <tp t="s">
        <v>USD</v>
        <stp/>
        <stp>BDP|15790829845725470611|22</stp>
        <stp>QQQ US 02/06/26 C634 Equity</stp>
        <stp>QUOTED_CURRENCY_REALTIME</stp>
        <tr r="F187" s="89"/>
      </tp>
      <tp>
        <v>5941.3788999999997</v>
        <stp/>
        <stp>BDP|12063806539307343070|22</stp>
        <stp>H11137 Index</stp>
        <stp>LAST_PRICE</stp>
        <tr r="H13" s="252"/>
        <tr r="H13" s="252"/>
      </tp>
      <tp>
        <v>242.96</v>
        <stp/>
        <stp>BDP|11431942920512482031|22</stp>
        <stp>AMZN US Equity</stp>
        <stp>LAST_PRICE</stp>
        <tr r="S234" s="89"/>
      </tp>
      <tp>
        <v>626.14</v>
        <stp/>
        <stp>BDP|360499996244621952|22</stp>
        <stp>QQQ US Equity</stp>
        <stp>LAST_PRICE</stp>
        <tr r="S69" s="89"/>
        <tr r="S75" s="89"/>
        <tr r="S76" s="89"/>
        <tr r="S82" s="89"/>
        <tr r="S187" s="89"/>
        <tr r="S188" s="89"/>
        <tr r="S68" s="89"/>
        <tr r="S186" s="89"/>
        <tr r="S81" s="89"/>
        <tr r="Z18" s="2"/>
        <tr r="Z17" s="2"/>
      </tp>
      <tp t="s">
        <v>#N/A Real Time</v>
        <stp/>
        <stp>BDP|15463751634066228508|22</stp>
        <stp>MRYWZ4C4 2390 Index</stp>
        <stp>ask</stp>
        <tr r="L129" s="89"/>
      </tp>
      <tp>
        <v>439</v>
        <stp/>
        <stp>BDP|6606668543975560666|22</stp>
        <stp>300502 CH Equity</stp>
        <stp>LAST_PRICE</stp>
        <tr r="I44" s="1"/>
        <tr r="I45" s="1"/>
      </tp>
      <tp>
        <v>706.41</v>
        <stp/>
        <stp>BDP|12884552599081678750|22</stp>
        <stp>META US Equity</stp>
        <stp>LAST_PRICE</stp>
        <tr r="S169" s="89"/>
        <tr r="S170" s="89"/>
        <tr r="S171" s="89"/>
        <tr r="S27" s="89"/>
        <tr r="Z8" s="2"/>
        <tr r="Z10" s="2"/>
        <tr r="S13" s="89"/>
        <tr r="S180" s="89"/>
        <tr r="S233" s="89"/>
        <tr r="S14" s="89"/>
        <tr r="Z9" s="2"/>
      </tp>
      <tp>
        <v>0.63</v>
        <stp/>
        <stp>BDP|12043615711539746151|22</stp>
        <stp>NVDA US 02/13/26 C202.5 Equity</stp>
        <stp>ask</stp>
        <tr r="L34" s="89"/>
      </tp>
      <tp>
        <v>30.75</v>
        <stp/>
        <stp>BDP|10623114917221366627|22</stp>
        <stp>1OG6P 25000 INDEX</stp>
        <stp>bid</stp>
        <tr r="P23" s="2"/>
      </tp>
      <tp>
        <v>33</v>
        <stp/>
        <stp>BDP|13041341947821937685|22</stp>
        <stp>1OG6P 25000 INDEX</stp>
        <stp>ask</stp>
        <tr r="Q23" s="2"/>
      </tp>
      <tp t="s">
        <v>#N/A Real Time</v>
        <stp/>
        <stp>BDP|11252053857629401191|22</stp>
        <stp>MRYWZ4C4 2390 Index</stp>
        <stp>QUOTED_CURRENCY_REALTIME</stp>
        <tr r="F129" s="89"/>
      </tp>
      <tp>
        <v>-2.33151875436306E-2</v>
        <stp/>
        <stp>BDP|17856461713270669920|22</stp>
        <stp>INTC US 07/17/26 C50 Equity</stp>
        <stp>theta_mid_rt</stp>
        <tr r="AN20" s="2"/>
      </tp>
      <tp>
        <v>-7.1277320384979248E-2</v>
        <stp/>
        <stp>BDP|12438727553717188638|22</stp>
        <stp>MRVL US 03/20/26 P85 Equity</stp>
        <stp>theta_mid_rt</stp>
        <tr r="AN11" s="2"/>
      </tp>
      <tp t="s">
        <v>#N/A Real Time</v>
        <stp/>
        <stp>BDP|658030899051855651|22</stp>
        <stp>RFSZ24 Index</stp>
        <stp>LAST_PRICE</stp>
        <tr r="S122" s="89"/>
        <tr r="S123" s="89"/>
      </tp>
      <tp t="s">
        <v>USD</v>
        <stp/>
        <stp>BDP|6391045500104896499|22</stp>
        <stp>LITE US 03/20/26 C420 Equity</stp>
        <stp>QUOTED_CURRENCY_REALTIME</stp>
        <tr r="G7" s="2"/>
      </tp>
      <tp>
        <v>89.52</v>
        <stp/>
        <stp>BDP|2213699979188169021|22</stp>
        <stp>IGV EQUITY</stp>
        <stp>LAST_PRICE</stp>
        <tr r="I2" s="1"/>
      </tp>
      <tp t="s">
        <v>#N/A Real Time</v>
        <stp/>
        <stp>BDP|6678830315195885932|22</stp>
        <stp>RFSWZ4C3 2400 Index</stp>
        <stp>DELTA_MID_RT</stp>
        <tr r="W123" s="89"/>
      </tp>
      <tp>
        <v>80.64</v>
        <stp/>
        <stp>BDP|224343272968290990|22</stp>
        <stp>CSCO Equity</stp>
        <stp>LAST_PRICE</stp>
        <tr r="I41" s="1"/>
        <tr r="I40" s="1"/>
      </tp>
      <tp t="s">
        <v>USD</v>
        <stp/>
        <stp>BDP|11467795818627236233|22</stp>
        <stp>QQQ US 02/06/26 C640 Equity</stp>
        <stp>QUOTED_CURRENCY_REALTIME</stp>
        <tr r="F186" s="89"/>
      </tp>
      <tp t="s">
        <v>USD</v>
        <stp/>
        <stp>BDP|8551146402332547609|22</stp>
        <stp>META US 07/17/26 C700 Equity</stp>
        <stp>QUOTED_CURRENCY_REALTIME</stp>
        <tr r="G10" s="2"/>
        <tr r="F14" s="89"/>
        <tr r="F27" s="89"/>
        <tr r="F171" s="89"/>
      </tp>
      <tp t="s">
        <v>#N/A Real Time</v>
        <stp/>
        <stp>BDP|2879552152728014398|22</stp>
        <stp>4OK5C 21300 Index</stp>
        <stp>QUOTED_CURRENCY_REALTIME</stp>
        <tr r="F115" s="89"/>
      </tp>
      <tp>
        <v>0.35</v>
        <stp/>
        <stp>BDP|13096424927641554551|22</stp>
        <stp>NVDA US 02/06/26 C197.5 Equity</stp>
        <stp>ask</stp>
        <tr r="L33" s="89"/>
      </tp>
      <tp t="s">
        <v>#N/A Invalid Security</v>
        <stp/>
        <stp>BDP|7846864529941089881|22</stp>
        <stp xml:space="preserve"> Equity</stp>
        <stp>mid</stp>
        <tr r="L2" s="2"/>
      </tp>
      <tp>
        <v>626.14</v>
        <stp/>
        <stp>BDP|2689810960265066336|22</stp>
        <stp>QQQ EQUITY</stp>
        <stp>LAST_PRICE</stp>
        <tr r="I6" s="1"/>
      </tp>
      <tp>
        <v>-7.9008623957633972E-2</v>
        <stp/>
        <stp>BDP|11554504603472673655|22</stp>
        <stp>NVDA US 05/15/26 C200 Equity</stp>
        <stp>theta_mid_rt</stp>
        <tr r="AN6" s="2"/>
      </tp>
      <tp t="s">
        <v>#N/A N/A</v>
        <stp/>
        <stp>BDP|4708007087188271889</stp>
        <tr r="E153" s="89"/>
      </tp>
      <tp t="b">
        <v>0</v>
        <stp/>
        <stp>BDH|9095699427067757636</stp>
        <tr r="AU38" s="338"/>
        <tr r="AU39" s="338"/>
        <tr r="AU17" s="338"/>
        <tr r="AU44" s="338"/>
        <tr r="AU15" s="338"/>
        <tr r="AU16" s="338"/>
        <tr r="AU52" s="338"/>
      </tp>
      <tp t="b">
        <v>0</v>
        <stp/>
        <stp>BDH|4417729174901806904</stp>
        <tr r="AS15" s="338"/>
        <tr r="AS44" s="338"/>
        <tr r="AS17" s="338"/>
        <tr r="AS16" s="338"/>
        <tr r="AS39" s="338"/>
        <tr r="AS52" s="338"/>
        <tr r="AS38" s="338"/>
      </tp>
      <tp t="s">
        <v>#N/A Requesting Data...3627317890</v>
        <stp/>
        <stp>BDP|3199868809002196541</stp>
        <tr r="Q31" s="338"/>
      </tp>
      <tp t="s">
        <v>#N/A Requesting Data...4201154442</v>
        <stp/>
        <stp>BDP|3970119255888163378</stp>
        <tr r="L14" s="338"/>
        <tr r="H14" s="338"/>
        <tr r="L35" s="338"/>
        <tr r="H35" s="338"/>
      </tp>
      <tp t="s">
        <v>#N/A N/A</v>
        <stp/>
        <stp>BDP|1780817128230709721</stp>
        <tr r="AC50" s="1"/>
      </tp>
      <tp t="s">
        <v>#N/A Requesting Data...4150710030</v>
        <stp/>
        <stp>BDP|6079579929065496810</stp>
        <tr r="O17" s="252"/>
      </tp>
      <tp t="s">
        <v>#N/A Requesting Data...4294248350</v>
        <stp/>
        <stp>BDP|7892942422180160079</stp>
        <tr r="AF29" s="338"/>
        <tr r="AF30" s="338"/>
      </tp>
      <tp t="b">
        <v>0</v>
        <stp/>
        <stp>BDH|7961865477593128715</stp>
        <tr r="AS41" s="338"/>
        <tr r="AN46" s="338"/>
        <tr r="AS47" s="338"/>
        <tr r="AS33" s="338"/>
        <tr r="AN45" s="338"/>
        <tr r="AN49" s="338"/>
        <tr r="AS31" s="338"/>
        <tr r="AS51" s="338"/>
      </tp>
      <tp t="s">
        <v>#N/A Requesting Data...3229967765</v>
        <stp/>
        <stp>BDP|6875767680954769102</stp>
        <tr r="AR5" s="2"/>
      </tp>
      <tp t="s">
        <v>#N/A N/A</v>
        <stp/>
        <stp>BDP|7500005297250850236</stp>
        <tr r="K1" s="1"/>
      </tp>
      <tp t="s">
        <v>#N/A Requesting Data...1639134205</v>
        <stp/>
        <stp>BDP|7828562231434179977</stp>
        <tr r="G30" s="446"/>
      </tp>
      <tp t="s">
        <v>#N/A Requesting Data...2990769512</v>
        <stp/>
        <stp>BDP|5719360958046661910</stp>
        <tr r="U16" s="338"/>
        <tr r="U38" s="338"/>
      </tp>
      <tp t="s">
        <v>#N/A Requesting Data...2238878098</v>
        <stp/>
        <stp>BDP|7242194062655091966</stp>
        <tr r="AA33" s="89"/>
        <tr r="Z33" s="89"/>
      </tp>
      <tp t="s">
        <v>#N/A N/A</v>
        <stp/>
        <stp>BDP|8367283627072476679</stp>
        <tr r="AC46" s="1"/>
        <tr r="AC47" s="1"/>
      </tp>
      <tp t="s">
        <v>#N/A Requesting Data...1408036459</v>
        <stp/>
        <stp>BDP|6021078455249412694</stp>
        <tr r="AJ37" s="338"/>
      </tp>
      <tp t="s">
        <v>#N/A Requesting Data...2071136058</v>
        <stp/>
        <stp>BDP|1166102887343177783</stp>
        <tr r="C69" s="89"/>
      </tp>
      <tp t="s">
        <v>#N/A N/A</v>
        <stp/>
        <stp>BDP|4596394917382492801</stp>
        <tr r="AF10" s="1"/>
      </tp>
      <tp t="s">
        <v>#N/A Requesting Data...2309453588</v>
        <stp/>
        <stp>BDP|6404917817581645389</stp>
        <tr r="O14" s="252"/>
      </tp>
      <tp t="s">
        <v>#N/A N/A</v>
        <stp/>
        <stp>BDP|8267476373493896423</stp>
        <tr r="K2" s="1"/>
        <tr r="K30" s="1"/>
      </tp>
      <tp t="b">
        <v>0</v>
        <stp/>
        <stp>BDH|4711820152700901529</stp>
        <tr r="AN42" s="338"/>
        <tr r="AN41" s="338"/>
      </tp>
      <tp t="s">
        <v>#N/A N/A</v>
        <stp/>
        <stp>BDP|7893846030156355629</stp>
        <tr r="AA153" s="89"/>
        <tr r="Z153" s="89"/>
      </tp>
      <tp t="s">
        <v>#N/A Requesting Data...3667185474</v>
        <stp/>
        <stp>BDP|4738998939235389797</stp>
        <tr r="F8" s="446"/>
      </tp>
      <tp t="s">
        <v>#N/A N/A</v>
        <stp/>
        <stp>BDP|2282995976142786289</stp>
        <tr r="AV5" s="2"/>
        <tr r="R222" s="89"/>
        <tr r="R223" s="89"/>
        <tr r="R224" s="89"/>
        <tr r="R225" s="89"/>
      </tp>
      <tp t="s">
        <v>#N/A Requesting Data...3604421623</v>
        <stp/>
        <stp>BDP|8370148836023021531</stp>
        <tr r="AF52" s="1"/>
        <tr r="AF37" s="338"/>
      </tp>
      <tp t="s">
        <v>#N/A Requesting Data...3883471315</v>
        <stp/>
        <stp>BDP|3775671083546925781</stp>
        <tr r="D205" s="89"/>
      </tp>
      <tp t="s">
        <v>#N/A N/A</v>
        <stp/>
        <stp>BDP|6311974071085603110</stp>
        <tr r="V82" s="89"/>
      </tp>
      <tp t="s">
        <v>#N/A Requesting Data...2976884912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b">
        <v>0</v>
        <stp/>
        <stp>BDH|9590122635941478649</stp>
        <tr r="AN36" s="338"/>
      </tp>
      <tp t="s">
        <v>#N/A Requesting Data...2171134364</v>
        <stp/>
        <stp>BDP|5270872678817673187</stp>
        <tr r="O13" s="252"/>
      </tp>
      <tp t="s">
        <v>#N/A N/A</v>
        <stp/>
        <stp>BDP|2737330982055463026</stp>
        <tr r="AG52" s="1"/>
      </tp>
      <tp t="s">
        <v>#N/A Requesting Data...1940886100</v>
        <stp/>
        <stp>BDP|3098041072779459130</stp>
        <tr r="E169" s="89"/>
      </tp>
      <tp t="s">
        <v>#N/A Requesting Data...2005205073</v>
        <stp/>
        <stp>BDP|3430438294345068720</stp>
        <tr r="O40" s="89"/>
      </tp>
      <tp t="s">
        <v>#N/A Requesting Data...4094065057</v>
        <stp/>
        <stp>BDP|6202726206315217853</stp>
        <tr r="AH41" s="338"/>
        <tr r="AH42" s="338"/>
      </tp>
      <tp t="s">
        <v>#N/A Requesting Data...3590470504</v>
        <stp/>
        <stp>BDP|4670123577217166936</stp>
        <tr r="D8" s="2"/>
        <tr r="D9" s="2"/>
        <tr r="C13" s="89"/>
      </tp>
      <tp t="b">
        <v>0</v>
        <stp/>
        <stp>BDH|9004776845775608355</stp>
        <tr r="J13" s="252"/>
      </tp>
      <tp t="s">
        <v>#N/A Requesting Data...2839165836</v>
        <stp/>
        <stp>BDP|5489377534060375922</stp>
        <tr r="T145" s="89"/>
      </tp>
      <tp t="s">
        <v>#N/A Requesting Data...3180230052</v>
        <stp/>
        <stp>BDP|7547135630721272822</stp>
        <tr r="T29" s="338"/>
      </tp>
      <tp t="s">
        <v>#N/A Requesting Data...4187337126</v>
        <stp/>
        <stp>BDP|9515949913399601436</stp>
        <tr r="G25" s="446"/>
      </tp>
      <tp t="s">
        <v>#N/A Requesting Data...4206308699</v>
        <stp/>
        <stp>BDP|2250196021425433893</stp>
        <tr r="AA237" s="89"/>
        <tr r="Z237" s="89"/>
      </tp>
      <tp t="s">
        <v>#N/A Requesting Data...3356359713</v>
        <stp/>
        <stp>BDP|9712190854671951078</stp>
        <tr r="M16" s="252"/>
      </tp>
      <tp t="s">
        <v>#N/A Requesting Data...2591722525</v>
        <stp/>
        <stp>BDP|5805209688912204161</stp>
        <tr r="T33" s="89"/>
      </tp>
      <tp t="s">
        <v>#N/A Requesting Data...3400484957</v>
        <stp/>
        <stp>BDP|5511275398847971578</stp>
        <tr r="T45" s="338"/>
      </tp>
      <tp>
        <v>87.64</v>
        <stp/>
        <stp>BDP|7394371982457470369|22</stp>
        <stp>KBWB Equity</stp>
        <stp>LAST PRICE</stp>
        <tr r="G52" s="338"/>
        <tr r="G53" s="338"/>
        <tr r="G54" s="338"/>
      </tp>
      <tp t="s">
        <v>#N/A Requesting Data...2271178432</v>
        <stp/>
        <stp>BDP|9641015641826985650</stp>
        <tr r="U52" s="338"/>
      </tp>
      <tp t="s">
        <v>#N/A Requesting Data...3069214779</v>
        <stp/>
        <stp>BDP|6731818678664058062</stp>
        <tr r="C116" s="89"/>
      </tp>
      <tp t="s">
        <v>#N/A Requesting Data...1729009800</v>
        <stp/>
        <stp>BDP|3337761684491833019</stp>
        <tr r="F44" s="446"/>
      </tp>
      <tp t="s">
        <v>#N/A Requesting Data...2157212038</v>
        <stp/>
        <stp>BDP|4245700180187394193</stp>
        <tr r="E144" s="89"/>
      </tp>
      <tp t="s">
        <v>#N/A Requesting Data...2995136166</v>
        <stp/>
        <stp>BDP|2599954552966387584</stp>
        <tr r="V15" s="338"/>
        <tr r="V39" s="338"/>
      </tp>
      <tp t="s">
        <v>#N/A Requesting Data...3330605501</v>
        <stp/>
        <stp>BDP|6927294984968537987</stp>
        <tr r="C224" s="89"/>
      </tp>
      <tp t="s">
        <v>#N/A N/A</v>
        <stp/>
        <stp>BDP|9699474378527567053</stp>
        <tr r="AC36" s="1"/>
        <tr r="AC37" s="1"/>
      </tp>
      <tp t="s">
        <v>#N/A Requesting Data...2099624726</v>
        <stp/>
        <stp>BDP|4059296425981795825</stp>
        <tr r="T89" s="89"/>
      </tp>
      <tp t="s">
        <v>#N/A Requesting Data...3035042110</v>
        <stp/>
        <stp>BDP|2316277569649315203</stp>
        <tr r="AA40" s="89"/>
        <tr r="Z40" s="89"/>
      </tp>
      <tp t="s">
        <v>#N/A Requesting Data...3625256091</v>
        <stp/>
        <stp>BDP|8113789535866062735</stp>
        <tr r="T237" s="89"/>
      </tp>
      <tp t="s">
        <v>#N/A Requesting Data...2277203630</v>
        <stp/>
        <stp>BDP|6822986114586808509</stp>
        <tr r="AA12" s="2"/>
      </tp>
      <tp t="s">
        <v>#N/A Requesting Data...2677260323</v>
        <stp/>
        <stp>BDP|9592498748502103695</stp>
        <tr r="L7" s="252"/>
        <tr r="L7" s="252"/>
      </tp>
      <tp t="s">
        <v>#N/A Requesting Data...2505570959</v>
        <stp/>
        <stp>BDP|6754010884411976277</stp>
        <tr r="X44" s="338"/>
      </tp>
      <tp t="s">
        <v>#N/A Requesting Data...2399578070</v>
        <stp/>
        <stp>BDP|4958570254160242959</stp>
        <tr r="T33" s="338"/>
      </tp>
      <tp t="s">
        <v>#N/A Requesting Data...1639290802</v>
        <stp/>
        <stp>BDP|4678905769292619449</stp>
        <tr r="AK29" s="338"/>
      </tp>
      <tp t="s">
        <v>#N/A Requesting Data...3012223051</v>
        <stp/>
        <stp>BDP|8546570959465252042</stp>
        <tr r="D14" s="89"/>
        <tr r="D27" s="89"/>
      </tp>
      <tp t="b">
        <v>0</v>
        <stp/>
        <stp>BDH|3567079113566866948</stp>
        <tr r="AR12" s="338"/>
      </tp>
      <tp t="s">
        <v>#N/A Requesting Data...2448155899</v>
        <stp/>
        <stp>BDP|7223883239641187000</stp>
        <tr r="G16" s="446"/>
      </tp>
      <tp t="s">
        <v>#N/A Requesting Data...3428175003</v>
        <stp/>
        <stp>BDP|5114854945934215018</stp>
        <tr r="V169" s="89"/>
      </tp>
      <tp t="s">
        <v>#N/A N/A</v>
        <stp/>
        <stp>BDP|1598659997744367766</stp>
        <tr r="E188" s="89"/>
      </tp>
      <tp t="b">
        <v>0</v>
        <stp/>
        <stp>BDH|6510200972726120845</stp>
        <tr r="T14" s="252"/>
        <tr r="W14" s="252"/>
      </tp>
      <tp t="s">
        <v>#N/A Requesting Data...3374496249</v>
        <stp/>
        <stp>BDP|4501705585220195623</stp>
        <tr r="D50" s="89"/>
      </tp>
      <tp t="s">
        <v>#N/A Requesting Data...2499004959</v>
        <stp/>
        <stp>BDP|9201662923697524715</stp>
        <tr r="O203" s="89"/>
      </tp>
      <tp t="s">
        <v>#N/A Requesting Data...3613268420</v>
        <stp/>
        <stp>BDP|8023230975554206472</stp>
        <tr r="U33" s="338"/>
      </tp>
      <tp t="s">
        <v>#N/A Requesting Data...3244374248</v>
        <stp/>
        <stp>BDP|2832828567039648888</stp>
        <tr r="D4" s="2"/>
      </tp>
      <tp t="s">
        <v>#N/A Requesting Data...2124042730</v>
        <stp/>
        <stp>BDP|1449141764908407306</stp>
        <tr r="F11" s="446"/>
      </tp>
      <tp t="s">
        <v>#N/A Requesting Data...3985176829</v>
        <stp/>
        <stp>BDP|6113923539666992720</stp>
        <tr r="N14" s="252"/>
        <tr r="N14" s="252"/>
      </tp>
      <tp t="s">
        <v>#N/A N/A</v>
        <stp/>
        <stp>BDP|8840098927283470439</stp>
        <tr r="AB153" s="89"/>
      </tp>
      <tp t="s">
        <v>#N/A Requesting Data...3507945613</v>
        <stp/>
        <stp>BDP|7951947862590616582</stp>
        <tr r="AF48" s="1"/>
        <tr r="AF49" s="1"/>
        <tr r="AF13" s="338"/>
        <tr r="AF34" s="338"/>
      </tp>
      <tp t="s">
        <v>#N/A Requesting Data...3805241217</v>
        <stp/>
        <stp>BDP|9891481019803044282</stp>
        <tr r="G23" s="446"/>
      </tp>
      <tp t="s">
        <v>#N/A Requesting Data...2703241480</v>
        <stp/>
        <stp>BDP|8890689995642342808</stp>
        <tr r="V53" s="338"/>
      </tp>
      <tp t="s">
        <v>#N/A Requesting Data...2029823548</v>
        <stp/>
        <stp>BDP|4140538680732569611</stp>
        <tr r="V170" s="89"/>
      </tp>
      <tp t="s">
        <v>#N/A Requesting Data...2353414305</v>
        <stp/>
        <stp>BDP|2455215735317653905</stp>
        <tr r="E223" s="89"/>
      </tp>
      <tp t="s">
        <v>#N/A Requesting Data...3104110539</v>
        <stp/>
        <stp>BDP|7612533417436704812</stp>
        <tr r="AJ13" s="338"/>
        <tr r="AJ34" s="338"/>
      </tp>
      <tp t="s">
        <v>#N/A Requesting Data...2899039759</v>
        <stp/>
        <stp>BDP|9574059420494792234</stp>
        <tr r="L41" s="338"/>
        <tr r="L31" s="338"/>
        <tr r="J31" s="338"/>
        <tr r="L33" s="338"/>
        <tr r="J33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Data...1637667005</v>
        <stp/>
        <stp>BDP|3007975292676340821</stp>
        <tr r="G24" s="446"/>
      </tp>
      <tp t="s">
        <v>#N/A Requesting Data...2484307190</v>
        <stp/>
        <stp>BDP|5665815221263095138</stp>
        <tr r="E95" s="89"/>
      </tp>
      <tp t="s">
        <v>#N/A N/A</v>
        <stp/>
        <stp>BDP|8914680487893491873</stp>
        <tr r="D18" s="2"/>
        <tr r="C76" s="89"/>
      </tp>
      <tp t="b">
        <v>0</v>
        <stp/>
        <stp>BDH|2114060395467773106</stp>
        <tr r="J16" s="252"/>
      </tp>
      <tp>
        <v>14.05</v>
        <stp/>
        <stp>BDP|18096733178424916458|22</stp>
        <stp>AVGO US 06/18/26 P270 Equity</stp>
        <stp>bid</stp>
        <tr r="K225" s="89"/>
      </tp>
      <tp>
        <v>35.299999999999997</v>
        <stp/>
        <stp>BDP|10089550128122679017|22</stp>
        <stp>TSM US 06/18/26 C340 Equity</stp>
        <stp>ask</stp>
        <tr r="Q24" s="2"/>
      </tp>
      <tp>
        <v>1.83</v>
        <stp/>
        <stp>BDP|15647805313047322533|22</stp>
        <stp>QQQ US 02/06/26 C634 Equity</stp>
        <stp>ask</stp>
        <tr r="L187" s="89"/>
      </tp>
      <tp>
        <v>-0.256632000207901</v>
        <stp/>
        <stp>BDP|3431413272118379814|22</stp>
        <stp>MRVL US 03/20/26 P70 Equity</stp>
        <stp>DELTA_MID_RT</stp>
        <tr r="AF14" s="2"/>
        <tr r="W63" s="89"/>
      </tp>
      <tp t="s">
        <v>#N/A Requesting Data...1860055626</v>
        <stp/>
        <stp>BDP|5266989866390412427</stp>
        <tr r="D38" s="446"/>
      </tp>
      <tp t="s">
        <v>#N/A N/A</v>
        <stp/>
        <stp>BDP|8927228557595141478</stp>
        <tr r="R115" s="89"/>
        <tr r="R116" s="89"/>
      </tp>
      <tp t="s">
        <v>#N/A Requesting Data...2579068982</v>
        <stp/>
        <stp>BDP|8343851539158048555</stp>
        <tr r="Q36" s="338"/>
      </tp>
      <tp t="s">
        <v>#N/A Requesting Data...3939796715</v>
        <stp/>
        <stp>BDP|1529618684855229495</stp>
        <tr r="E197" s="89"/>
      </tp>
      <tp t="s">
        <v>#N/A N/A</v>
        <stp/>
        <stp>BDP|8452001835880289581</stp>
        <tr r="AB40" s="1"/>
        <tr r="AB41" s="1"/>
      </tp>
      <tp t="s">
        <v>#N/A Requesting Data...1960623160</v>
        <stp/>
        <stp>BDP|8518419899713251871</stp>
        <tr r="X8" s="338"/>
      </tp>
      <tp t="s">
        <v>#N/A Requesting Data...2311948843</v>
        <stp/>
        <stp>BDP|6375542897924166091</stp>
        <tr r="C109" s="89"/>
      </tp>
      <tp t="s">
        <v>#N/A Requesting Data...3123608056</v>
        <stp/>
        <stp>BDP|6865956502756622717</stp>
        <tr r="AH36" s="338"/>
        <tr r="AJ36" s="338"/>
      </tp>
      <tp t="s">
        <v>#N/A Requesting Data...3731656082</v>
        <stp/>
        <stp>BDP|2379295593121097618</stp>
        <tr r="D44" s="446"/>
      </tp>
      <tp t="s">
        <v>#N/A Requesting Data...2493536904</v>
        <stp/>
        <stp>BDP|9349867885552045593</stp>
        <tr r="S48" s="338"/>
      </tp>
      <tp t="s">
        <v>#N/A Requesting Data...4087418708</v>
        <stp/>
        <stp>BDP|8800614714481507068</stp>
        <tr r="AD21" s="2"/>
        <tr r="V197" s="89"/>
      </tp>
      <tp t="s">
        <v>#N/A N/A</v>
        <stp/>
        <stp>BDP|2133092057898732167</stp>
        <tr r="AF44" s="1"/>
        <tr r="AF45" s="1"/>
      </tp>
      <tp t="s">
        <v>#N/A N/A</v>
        <stp/>
        <stp>BDP|5098883336000606065</stp>
        <tr r="AA81" s="89"/>
        <tr r="Z81" s="89"/>
      </tp>
      <tp t="b">
        <v>0</v>
        <stp/>
        <stp>BDH|7826749641072299813</stp>
        <tr r="AM16" s="338"/>
        <tr r="AM40" s="338"/>
        <tr r="AM38" s="338"/>
      </tp>
      <tp t="s">
        <v>#N/A Requesting Data...3255738369</v>
        <stp/>
        <stp>BDP|3116185742219750133</stp>
        <tr r="T109" s="89"/>
      </tp>
      <tp t="s">
        <v>#N/A Requesting Data...3925606891</v>
        <stp/>
        <stp>BDP|6738803180248897008</stp>
        <tr r="E33" s="89"/>
      </tp>
      <tp t="s">
        <v>#N/A N/A</v>
        <stp/>
        <stp>BDP|8927803377951233812</stp>
        <tr r="AB160" s="89"/>
      </tp>
      <tp t="s">
        <v>#N/A Requesting Data...3486281907</v>
        <stp/>
        <stp>BDP|9104922632105284817</stp>
        <tr r="D20" s="89"/>
      </tp>
      <tp t="s">
        <v>#N/A Requesting Data...2124997697</v>
        <stp/>
        <stp>BDP|5796504129065876948</stp>
        <tr r="U8" s="338"/>
      </tp>
      <tp t="s">
        <v>#N/A Requesting Data...2833359163</v>
        <stp/>
        <stp>BDP|5334711267318453225</stp>
        <tr r="N10" s="252"/>
        <tr r="N10" s="252"/>
      </tp>
      <tp t="s">
        <v>#N/A Requesting Data...3835912063</v>
        <stp/>
        <stp>BDP|9233199299816659948</stp>
        <tr r="P11" s="252"/>
      </tp>
      <tp t="s">
        <v>#N/A Requesting Data...2103487103</v>
        <stp/>
        <stp>BDP|2292616657717420814</stp>
        <tr r="AF31" s="338"/>
        <tr r="AF32" s="338"/>
      </tp>
      <tp t="s">
        <v>#N/A N/A</v>
        <stp/>
        <stp>BDP|1704402293557704529</stp>
        <tr r="K7" s="1"/>
      </tp>
      <tp t="s">
        <v>#N/A Requesting Data...3322520852</v>
        <stp/>
        <stp>BDP|4042472092244568314</stp>
        <tr r="V108" s="89"/>
      </tp>
      <tp t="s">
        <v>#N/A Requesting Data...2271752843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Data...4099900372</v>
        <stp/>
        <stp>BDP|5068380246295060987</stp>
        <tr r="P49" s="338"/>
      </tp>
      <tp t="b">
        <v>0</v>
        <stp/>
        <stp>BDH|5674194540649995708</stp>
        <tr r="W17" s="252"/>
        <tr r="T17" s="252"/>
      </tp>
      <tp t="s">
        <v>#N/A Requesting Data...3206748504</v>
        <stp/>
        <stp>BDP|6562923680930375939</stp>
        <tr r="T11" s="338"/>
      </tp>
      <tp t="s">
        <v>#N/A Requesting Data...3541931489</v>
        <stp/>
        <stp>BDP|4719256686637012732</stp>
        <tr r="M19" s="252"/>
      </tp>
      <tp t="s">
        <v>#N/A Requesting Data...2918596605</v>
        <stp/>
        <stp>BDP|2644203280360986688</stp>
        <tr r="AB48" s="1"/>
        <tr r="AB49" s="1"/>
        <tr r="F35" s="446"/>
      </tp>
      <tp t="s">
        <v>#N/A Requesting Data...3708738993</v>
        <stp/>
        <stp>BDP|3687895063137929413</stp>
        <tr r="U51" s="338"/>
      </tp>
      <tp t="s">
        <v>#N/A Requesting Data...2186101908</v>
        <stp/>
        <stp>BDP|6809253334738551199</stp>
        <tr r="C34" s="89"/>
      </tp>
      <tp t="s">
        <v>#N/A Requesting Data...2750663820</v>
        <stp/>
        <stp>BDP|8832260242793878318</stp>
        <tr r="T50" s="89"/>
      </tp>
      <tp t="s">
        <v>#N/A Requesting Data...4139122725</v>
        <stp/>
        <stp>BDP|2866283045919885388</stp>
        <tr r="L18" s="338"/>
        <tr r="J18" s="338"/>
      </tp>
      <tp t="s">
        <v>#N/A Requesting Data...1921346211</v>
        <stp/>
        <stp>BDP|8687464372741494432</stp>
        <tr r="D8" s="89"/>
      </tp>
      <tp t="s">
        <v>#N/A Requesting Data...3906844657</v>
        <stp/>
        <stp>BDP|8565804017506463936</stp>
        <tr r="L17" s="252"/>
        <tr r="L17" s="252"/>
      </tp>
      <tp>
        <v>21.4</v>
        <stp/>
        <stp>BDP|13753378013260123339|22</stp>
        <stp>AMZN US 07/17/26 C250 Equity</stp>
        <stp>bid</stp>
        <tr r="K234" s="89"/>
      </tp>
      <tp>
        <v>20.04</v>
        <stp/>
        <stp>BDP|1056906607050736285|22</stp>
        <stp>CPNG Equity</stp>
        <stp>LAST PRICE</stp>
        <tr r="L7" s="446"/>
      </tp>
      <tp>
        <v>37.700000000000003</v>
        <stp/>
        <stp>BDP|8479129259841183337|22</stp>
        <stp>BP Equity</stp>
        <stp>LAST PRICE</stp>
        <tr r="G29" s="338"/>
        <tr r="G30" s="338"/>
      </tp>
      <tp>
        <v>158</v>
        <stp/>
        <stp>BDP|1655270242269206785|22</stp>
        <stp>1OG6P 25750 INDEX</stp>
        <stp>bid</stp>
        <tr r="P22" s="2"/>
      </tp>
      <tp>
        <v>341.36</v>
        <stp/>
        <stp>BDP|10734773146792366841|22</stp>
        <stp>TSM US Equity</stp>
        <stp>LAST_PRICE</stp>
        <tr r="Z24" s="2"/>
        <tr r="Z25" s="2"/>
        <tr r="S20" s="89"/>
        <tr r="S19" s="89"/>
      </tp>
      <tp t="s">
        <v>#N/A Requesting Data...3559923518</v>
        <stp/>
        <stp>BDP|3786323124408946521</stp>
        <tr r="D45" s="446"/>
      </tp>
      <tp t="s">
        <v>#N/A N/A</v>
        <stp/>
        <stp>BDP|3092422296193933275</stp>
        <tr r="O82" s="89"/>
      </tp>
      <tp t="s">
        <v>#N/A Requesting Data...3513984941</v>
        <stp/>
        <stp>BDP|8896143753810578305</stp>
        <tr r="F13" s="2"/>
      </tp>
      <tp t="s">
        <v>#N/A N/A</v>
        <stp/>
        <stp>BDP|2806504826139638334</stp>
        <tr r="AG48" s="1"/>
        <tr r="AG49" s="1"/>
      </tp>
      <tp t="s">
        <v>#N/A Requesting Data...2858406373</v>
        <stp/>
        <stp>BDP|4784976331940308190</stp>
        <tr r="Z144" s="89"/>
        <tr r="AA144" s="89"/>
      </tp>
      <tp t="s">
        <v>#N/A Requesting Data...1969148566</v>
        <stp/>
        <stp>BDP|2131718523418809031</stp>
        <tr r="X9" s="338"/>
      </tp>
      <tp t="s">
        <v>#N/A N/A</v>
        <stp/>
        <stp>BDP|7053075802810528891</stp>
        <tr r="AI15" s="1"/>
        <tr r="AI16" s="1"/>
      </tp>
      <tp t="s">
        <v>#N/A N/A</v>
        <stp/>
        <stp>BDP|8119275495638947437</stp>
        <tr r="AI53" s="1"/>
      </tp>
      <tp t="s">
        <v>#N/A Requesting Data...1620119821</v>
        <stp/>
        <stp>BDP|7541483698052920755</stp>
        <tr r="C10" s="2"/>
      </tp>
      <tp t="s">
        <v>#N/A Requesting Data...2711655544</v>
        <stp/>
        <stp>BDP|4060140891760852341</stp>
        <tr r="T95" s="89"/>
      </tp>
      <tp t="b">
        <v>0</v>
        <stp/>
        <stp>BDH|3616744469525668847</stp>
        <tr r="AM14" s="338"/>
        <tr r="AM35" s="338"/>
      </tp>
      <tp t="s">
        <v>#N/A N/A</v>
        <stp/>
        <stp>BDP|1110263465193964954</stp>
        <tr r="AB122" s="89"/>
        <tr r="AB123" s="89"/>
      </tp>
      <tp t="s">
        <v>#N/A Requesting Data...3758052757</v>
        <stp/>
        <stp>BDP|2842170687233636700</stp>
        <tr r="AH13" s="338"/>
        <tr r="AH34" s="338"/>
      </tp>
      <tp t="s">
        <v>#N/A Requesting Data...3564080025</v>
        <stp/>
        <stp>BDP|1457483532620769970</stp>
        <tr r="L18" s="252"/>
        <tr r="L18" s="252"/>
      </tp>
      <tp t="s">
        <v>#N/A N/A</v>
        <stp/>
        <stp>BDP|7952717157178061208</stp>
        <tr r="AI21" s="1"/>
        <tr r="AI22" s="1"/>
      </tp>
      <tp t="s">
        <v>#N/A Requesting Data...3248906319</v>
        <stp/>
        <stp>BDP|6268649388386345129</stp>
        <tr r="D144" s="89"/>
      </tp>
      <tp t="s">
        <v>#N/A Requesting Data...2650296575</v>
        <stp/>
        <stp>BDP|8154630115763023381</stp>
        <tr r="T52" s="338"/>
      </tp>
      <tp t="s">
        <v>#N/A Requesting Data...1718151732</v>
        <stp/>
        <stp>BDP|7576730522755872830</stp>
        <tr r="F38" s="446"/>
      </tp>
      <tp t="s">
        <v>#N/A Requesting Data...4237293512</v>
        <stp/>
        <stp>BDP|9507005719251486644</stp>
        <tr r="M10" s="252"/>
      </tp>
      <tp t="s">
        <v>#N/A N/A</v>
        <stp/>
        <stp>BDP|4511290661908043710</stp>
        <tr r="AB34" s="1"/>
        <tr r="AB35" s="1"/>
      </tp>
      <tp t="s">
        <v>#N/A N/A</v>
        <stp/>
        <stp>BDP|3243919885914808926</stp>
        <tr r="AB14" s="1"/>
      </tp>
      <tp t="s">
        <v>#N/A N/A</v>
        <stp/>
        <stp>BDP|9290058924696671297</stp>
        <tr r="AD18" s="2"/>
        <tr r="V76" s="89"/>
      </tp>
      <tp t="s">
        <v>#N/A Requesting Data...3589860913</v>
        <stp/>
        <stp>BDP|9539667201337640785</stp>
        <tr r="U36" s="338"/>
      </tp>
      <tp t="s">
        <v>#N/A Requesting Data...4087575117</v>
        <stp/>
        <stp>BDP|7446900777882759491</stp>
        <tr r="AF18" s="1"/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N/A</v>
        <stp/>
        <stp>BDP|7758988602381610061</stp>
        <tr r="AC19" s="1"/>
        <tr r="AC20" s="1"/>
      </tp>
      <tp t="s">
        <v>#N/A N/A</v>
        <stp/>
        <stp>BDP|8782158116286979106</stp>
        <tr r="AG56" s="1"/>
      </tp>
      <tp t="s">
        <v>#N/A Requesting Data...2575588029</v>
        <stp/>
        <stp>BDP|4065099833740136891</stp>
        <tr r="P42" s="338"/>
      </tp>
      <tp t="s">
        <v>#N/A Requesting Data...4087425437</v>
        <stp/>
        <stp>BDP|5267619434148669720</stp>
        <tr r="AJ52" s="338"/>
        <tr r="AJ53" s="338"/>
        <tr r="AJ54" s="338"/>
      </tp>
      <tp t="s">
        <v>#N/A Requesting Data...3258051942</v>
        <stp/>
        <stp>BDP|8622760163721094706</stp>
        <tr r="Z178" s="89"/>
        <tr r="AA178" s="89"/>
        <tr r="Z179" s="89"/>
        <tr r="AA179" s="89"/>
      </tp>
      <tp t="s">
        <v>#N/A Requesting Data...3823423744</v>
        <stp/>
        <stp>BDP|7148106705448380141</stp>
        <tr r="V41" s="338"/>
      </tp>
      <tp t="s">
        <v>#N/A Requesting Data...3927270956</v>
        <stp/>
        <stp>BDP|1566983548630295344</stp>
        <tr r="AA11" s="2"/>
      </tp>
      <tp t="s">
        <v>#N/A Requesting Data...3895778001</v>
        <stp/>
        <stp>BDP|7511636250779138240</stp>
        <tr r="V40" s="338"/>
      </tp>
      <tp t="s">
        <v>#N/A Requesting Data...2708267821</v>
        <stp/>
        <stp>BDP|7029791628309736466</stp>
        <tr r="Q35" s="338"/>
      </tp>
      <tp t="s">
        <v>#N/A Requesting Data...2011250603</v>
        <stp/>
        <stp>BDP|5576438787561382724</stp>
        <tr r="AJ10" s="338"/>
        <tr r="AJ11" s="338"/>
        <tr r="AJ33" s="338"/>
      </tp>
      <tp t="s">
        <v>#N/A Requesting Data...3813314483</v>
        <stp/>
        <stp>BDP|1371944730256623208</stp>
        <tr r="T137" s="89"/>
      </tp>
      <tp t="s">
        <v>#N/A Requesting Data...4008073578</v>
        <stp/>
        <stp>BDP|2475069015355307957</stp>
        <tr r="V178" s="89"/>
        <tr r="V179" s="89"/>
      </tp>
      <tp t="s">
        <v>#N/A Requesting Data...2048878604</v>
        <stp/>
        <stp>BDP|8553085138774321079</stp>
        <tr r="T123" s="89"/>
      </tp>
      <tp t="s">
        <v>#N/A Requesting Data...3988804924</v>
        <stp/>
        <stp>BDP|9274343827420648768</stp>
        <tr r="G10" s="446"/>
      </tp>
      <tp t="s">
        <v>#N/A Requesting Data...3449824540</v>
        <stp/>
        <stp>BDP|1937197186723171466</stp>
        <tr r="F24" s="2"/>
      </tp>
      <tp t="s">
        <v>#N/A Requesting Data...1665814908</v>
        <stp/>
        <stp>BDP|1136567666448935591</stp>
        <tr r="V37" s="338"/>
      </tp>
      <tp t="s">
        <v>#N/A N/A</v>
        <stp/>
        <stp>BDP|7385638697900780713</stp>
        <tr r="AB38" s="1"/>
        <tr r="AB39" s="1"/>
      </tp>
      <tp t="s">
        <v>#N/A Requesting Data...2948294237</v>
        <stp/>
        <stp>BDP|7074458105679712510</stp>
        <tr r="V39" s="89"/>
      </tp>
      <tp t="s">
        <v>#N/A Requesting Data...4008701086</v>
        <stp/>
        <stp>BDP|8715752362304396251</stp>
        <tr r="C233" s="89"/>
      </tp>
      <tp t="s">
        <v>#N/A Requesting Data...2563748754</v>
        <stp/>
        <stp>BDP|9728149439951510598</stp>
        <tr r="F14" s="2"/>
      </tp>
      <tp t="s">
        <v>#N/A Requesting Data...2359577418</v>
        <stp/>
        <stp>BDP|2036830374436602479</stp>
        <tr r="U50" s="338"/>
      </tp>
      <tp t="s">
        <v>#N/A Requesting Data...1912058534</v>
        <stp/>
        <stp>BDP|6317578591636076338</stp>
        <tr r="D138" s="89"/>
      </tp>
      <tp t="s">
        <v>#N/A N/A</v>
        <stp/>
        <stp>BDP|7135774786603363450</stp>
        <tr r="D13" s="89"/>
      </tp>
      <tp t="s">
        <v>#N/A Requesting Data...3932785477</v>
        <stp/>
        <stp>BDP|1370952567270052174</stp>
        <tr r="AJ8" s="338"/>
        <tr r="AJ9" s="338"/>
        <tr r="AH8" s="338"/>
        <tr r="AH9" s="338"/>
      </tp>
      <tp t="s">
        <v>#N/A Requesting Data...4051784176</v>
        <stp/>
        <stp>BDP|6970093451128790412</stp>
        <tr r="T8" s="2"/>
        <tr r="T9" s="2"/>
        <tr r="O13" s="89"/>
      </tp>
      <tp t="s">
        <v>#N/A Requesting Data...3779114841</v>
        <stp/>
        <stp>BDP|9908493190928009374</stp>
        <tr r="S17" s="338"/>
      </tp>
      <tp t="s">
        <v>#N/A N/A</v>
        <stp/>
        <stp>BDP|5278263338822851904</stp>
        <tr r="AB108" s="89"/>
      </tp>
      <tp t="s">
        <v>#N/A N/A</v>
        <stp/>
        <stp>BDP|9461243956507277607</stp>
        <tr r="K54" s="1"/>
      </tp>
      <tp t="s">
        <v>#N/A Requesting Data...2006424739</v>
        <stp/>
        <stp>BDP|6160662584120657700</stp>
        <tr r="G12" s="446"/>
      </tp>
      <tp t="s">
        <v>#N/A Requesting Data...2344012969</v>
        <stp/>
        <stp>BDP|2050769895694328758</stp>
        <tr r="S7" s="252"/>
      </tp>
      <tp t="s">
        <v>#N/A Requesting Data...2329619118</v>
        <stp/>
        <stp>BDP|7406613185485631331</stp>
        <tr r="V233" s="89"/>
      </tp>
      <tp t="s">
        <v>#N/A Requesting Data...2974032565</v>
        <stp/>
        <stp>BDP|8759533260432150600</stp>
        <tr r="E56" s="89"/>
      </tp>
      <tp>
        <v>270.01</v>
        <stp/>
        <stp>BDP|8055576064445977008|22</stp>
        <stp>AAPL US Equity</stp>
        <stp>LAST_PRICE</stp>
        <tr r="S7" s="89"/>
        <tr r="S8" s="89"/>
        <tr r="Z16" s="2"/>
        <tr r="Z15" s="2"/>
      </tp>
      <tp>
        <v>331.11</v>
        <stp/>
        <stp>BDP|6093066913446547993|22</stp>
        <stp>AVGO Equity</stp>
        <stp>LAST_PRICE</stp>
        <tr r="I46" s="1"/>
        <tr r="I47" s="1"/>
      </tp>
      <tp>
        <v>34.35</v>
        <stp/>
        <stp>BDP|14476957307763141828|22</stp>
        <stp>TSM US 06/18/26 C340 Equity</stp>
        <stp>bid</stp>
        <tr r="P24" s="2"/>
      </tp>
      <tp>
        <v>695.41</v>
        <stp/>
        <stp>BDP|11764468863197025710|22</stp>
        <stp>SPY EQUITY</stp>
        <stp>LAST_PRICE</stp>
        <tr r="I4" s="1"/>
      </tp>
      <tp t="s">
        <v>#N/A Requesting Data...3258482836</v>
        <stp/>
        <stp>BDP|4983617041569093735</stp>
        <tr r="U10" s="338"/>
      </tp>
      <tp t="s">
        <v>#N/A Requesting Data...1969620315</v>
        <stp/>
        <stp>BDP|1158468690973405781</stp>
        <tr r="AK18" s="338"/>
      </tp>
      <tp t="s">
        <v>#N/A N/A</v>
        <stp/>
        <stp>BDP|2898694498747321222</stp>
        <tr r="E3" s="1"/>
        <tr r="K48" s="1"/>
      </tp>
      <tp t="s">
        <v>#N/A Requesting Data...1907510561</v>
        <stp/>
        <stp>BDP|7526986475906100712</stp>
        <tr r="E123" s="89"/>
      </tp>
      <tp t="s">
        <v>#N/A Requesting Data...3931646260</v>
        <stp/>
        <stp>BDP|9064191480710005817</stp>
        <tr r="V16" s="338"/>
        <tr r="V38" s="338"/>
      </tp>
      <tp t="s">
        <v>#N/A Requesting Data...1777801519</v>
        <stp/>
        <stp>BDP|9119371270756838373</stp>
        <tr r="N18" s="252"/>
        <tr r="N18" s="252"/>
      </tp>
      <tp t="s">
        <v>#N/A Requesting Data...2654774121</v>
        <stp/>
        <stp>BDP|6201270299844298101</stp>
        <tr r="O68" s="89"/>
      </tp>
      <tp t="s">
        <v>#N/A Requesting Data...1639859567</v>
        <stp/>
        <stp>BDP|8903788637142927602</stp>
        <tr r="AK30" s="338"/>
      </tp>
      <tp t="s">
        <v>#N/A Requesting Data...3382398969</v>
        <stp/>
        <stp>BDP|9657162411476734792</stp>
        <tr r="P47" s="338"/>
      </tp>
      <tp t="s">
        <v>#N/A Requesting Data...2611910641</v>
        <stp/>
        <stp>BDP|3688838504946501580</stp>
        <tr r="Q9" s="338"/>
      </tp>
      <tp t="s">
        <v>#N/A Requesting Data...2479658791</v>
        <stp/>
        <stp>BDP|5617698497960107250</stp>
        <tr r="E39" s="89"/>
      </tp>
      <tp t="s">
        <v>#N/A Requesting Data...2045576477</v>
        <stp/>
        <stp>BDP|7099656161528162789</stp>
        <tr r="E20" s="2"/>
      </tp>
      <tp t="s">
        <v>#N/A Requesting Data...3113634297</v>
        <stp/>
        <stp>BDP|9541693808182769518</stp>
        <tr r="D29" s="446"/>
      </tp>
      <tp t="s">
        <v>#N/A Requesting Data...3396633851</v>
        <stp/>
        <stp>BDP|6024155984106720147</stp>
        <tr r="D25" s="2"/>
      </tp>
      <tp t="s">
        <v>#N/A Requesting Data...2152322699</v>
        <stp/>
        <stp>BDP|6839173327418343594</stp>
        <tr r="F7" s="446"/>
      </tp>
      <tp t="s">
        <v>#N/A Requesting Data...2400562240</v>
        <stp/>
        <stp>BDP|7248503210943138805</stp>
        <tr r="D68" s="89"/>
      </tp>
      <tp t="s">
        <v>#N/A Requesting Data...3685527911</v>
        <stp/>
        <stp>BDP|5668869742685379426</stp>
        <tr r="AA222" s="89"/>
        <tr r="Z222" s="89"/>
      </tp>
      <tp t="s">
        <v>#N/A Requesting Data...2976308863</v>
        <stp/>
        <stp>BDP|6570414774738554560</stp>
        <tr r="AA7" s="89"/>
        <tr r="Z7" s="89"/>
      </tp>
      <tp t="s">
        <v>#N/A Requesting Data...2252182523</v>
        <stp/>
        <stp>BDP|5036112677148006353</stp>
        <tr r="L14" s="338"/>
        <tr r="L55" s="338"/>
        <tr r="L55" s="338"/>
        <tr r="H55" s="338"/>
        <tr r="J55" s="338"/>
        <tr r="J14" s="338"/>
      </tp>
      <tp t="b">
        <v>0</v>
        <stp/>
        <stp>BDH|4728919122584797306</stp>
        <tr r="AP48" s="338"/>
        <tr r="AU10" s="338"/>
        <tr r="AU53" s="338"/>
        <tr r="AP44" s="338"/>
        <tr r="AP47" s="338"/>
      </tp>
      <tp t="s">
        <v>#N/A N/A</v>
        <stp/>
        <stp>BDP|4132209046743413934</stp>
        <tr r="AA186" s="89"/>
        <tr r="Z186" s="89"/>
      </tp>
      <tp t="s">
        <v>#N/A N/A</v>
        <stp/>
        <stp>BDP|8357008011578091921</stp>
        <tr r="T18" s="2"/>
        <tr r="O76" s="89"/>
      </tp>
      <tp t="s">
        <v>#N/A Requesting Data...2927723204</v>
        <stp/>
        <stp>BDP|6284842999589802679</stp>
        <tr r="E7" s="89"/>
      </tp>
      <tp t="s">
        <v>#N/A Requesting Data...2349747298</v>
        <stp/>
        <stp>BDP|5041921473531692263</stp>
        <tr r="E23" s="2"/>
      </tp>
      <tp t="s">
        <v>#N/A Requesting Data...3031113704</v>
        <stp/>
        <stp>BDP|5237225300886746967</stp>
        <tr r="Z129" s="89"/>
        <tr r="AA129" s="89"/>
      </tp>
      <tp t="s">
        <v>#N/A N/A</v>
        <stp/>
        <stp>BDP|5098111893277025237</stp>
        <tr r="AI19" s="1"/>
        <tr r="AI20" s="1"/>
      </tp>
      <tp t="s">
        <v>#N/A Requesting Data...4144099898</v>
        <stp/>
        <stp>BDP|3746009638598604087</stp>
        <tr r="Z136" s="89"/>
        <tr r="AA136" s="89"/>
      </tp>
      <tp t="s">
        <v>#N/A Requesting Data...3638656621</v>
        <stp/>
        <stp>BDP|7027987678572062314</stp>
        <tr r="AC51" s="1"/>
        <tr r="D36" s="446"/>
      </tp>
      <tp t="s">
        <v>#N/A Requesting Data...4036427029</v>
        <stp/>
        <stp>BDP|2739243071518004749</stp>
        <tr r="E138" s="89"/>
      </tp>
      <tp t="s">
        <v>#N/A N/A</v>
        <stp/>
        <stp>BDP|9400997768466424874</stp>
        <tr r="AV19" s="2"/>
        <tr r="AV20" s="2"/>
        <tr r="AV21" s="2"/>
        <tr r="R195" s="89"/>
        <tr r="R196" s="89"/>
        <tr r="R197" s="89"/>
      </tp>
      <tp t="b">
        <v>0</v>
        <stp/>
        <stp>BDH|7095784594248936931</stp>
        <tr r="AR51" s="338"/>
        <tr r="AM45" s="338"/>
        <tr r="AR47" s="338"/>
        <tr r="AM46" s="338"/>
        <tr r="AR31" s="338"/>
        <tr r="AM49" s="338"/>
        <tr r="AR41" s="338"/>
        <tr r="AR33" s="338"/>
      </tp>
      <tp t="b">
        <v>0</v>
        <stp/>
        <stp>BDH|7010958550111077231</stp>
        <tr r="W16" s="252"/>
        <tr r="T16" s="252"/>
      </tp>
      <tp t="s">
        <v>#N/A Requesting Data...3456321465</v>
        <stp/>
        <stp>BDP|9450040674965070308</stp>
        <tr r="E25" s="2"/>
      </tp>
      <tp t="b">
        <v>0</v>
        <stp/>
        <stp>BDH|2375673906255636901</stp>
        <tr r="T11" s="252"/>
        <tr r="W11" s="252"/>
      </tp>
      <tp t="s">
        <v>#N/A Requesting Data...3762865856</v>
        <stp/>
        <stp>BDP|7322810857195514754</stp>
        <tr r="T235" s="89"/>
      </tp>
      <tp>
        <v>18.02</v>
        <stp/>
        <stp>BDP|10321974960198697342|22</stp>
        <stp>AAPL US 04/17/26 C260 Equity</stp>
        <stp>mid</stp>
        <tr r="L15" s="2"/>
      </tp>
      <tp>
        <v>131.31</v>
        <stp/>
        <stp>BDP|1232203967796078876|22</stp>
        <stp>ABNB Equity</stp>
        <stp>LAST PRICE</stp>
        <tr r="I12" s="338"/>
      </tp>
      <tp>
        <v>35.07</v>
        <stp/>
        <stp>BDP|2650520762982825878|22</stp>
        <stp>KWEB Equity</stp>
        <stp>LAST_PRICE</stp>
        <tr r="H12" s="252"/>
        <tr r="H12" s="252"/>
      </tp>
      <tp>
        <v>4.8499999999999996</v>
        <stp/>
        <stp>BDP|239012915816136366|22</stp>
        <stp>MRVL US 03/20/26 P75 Equity</stp>
        <stp>bid</stp>
        <tr r="P12" s="2"/>
      </tp>
      <tp t="s">
        <v>#N/A N/A</v>
        <stp/>
        <stp>BDP|7699884871442563304</stp>
        <tr r="C81" s="89"/>
      </tp>
      <tp t="s">
        <v>#N/A Requesting Data...3460372584</v>
        <stp/>
        <stp>BDP|2441593726955875997</stp>
        <tr r="L20" s="252"/>
        <tr r="L20" s="252"/>
      </tp>
      <tp t="s">
        <v>#N/A Requesting Data...3488164370</v>
        <stp/>
        <stp>BDP|8996292475495824173</stp>
        <tr r="O16" s="252"/>
      </tp>
      <tp t="s">
        <v>#N/A Requesting Data...3259328988</v>
        <stp/>
        <stp>BDP|8987440124962161522</stp>
        <tr r="E16" s="2"/>
      </tp>
      <tp t="s">
        <v>#N/A Requesting Data...2759264809</v>
        <stp/>
        <stp>BDP|9788785317823069539</stp>
        <tr r="C145" s="89"/>
      </tp>
      <tp t="s">
        <v>#N/A Requesting Data...2288655585</v>
        <stp/>
        <stp>BDP|3993805876862168756</stp>
        <tr r="U45" s="338"/>
      </tp>
      <tp t="s">
        <v>#N/A Requesting Data...3880267922</v>
        <stp/>
        <stp>BDP|5255036781235828107</stp>
        <tr r="D108" s="89"/>
      </tp>
      <tp t="s">
        <v>#N/A N/A</v>
        <stp/>
        <stp>BDP|6439491793934169661</stp>
        <tr r="AB236" s="89"/>
      </tp>
      <tp t="s">
        <v>#N/A Requesting Data...3474677955</v>
        <stp/>
        <stp>BDP|9754162438145550750</stp>
        <tr r="E13" s="2"/>
      </tp>
      <tp t="s">
        <v>#N/A Requesting Data...3579722465</v>
        <stp/>
        <stp>BDP|2257884823860585153</stp>
        <tr r="C144" s="89"/>
      </tp>
      <tp t="s">
        <v>#N/A Requesting Data...2253335096</v>
        <stp/>
        <stp>BDP|2463897743725982291</stp>
        <tr r="F20" s="446"/>
      </tp>
      <tp t="s">
        <v>#N/A Requesting Data...3864262989</v>
        <stp/>
        <stp>BDP|9344561247696579794</stp>
        <tr r="AH15" s="338"/>
        <tr r="AH39" s="338"/>
        <tr r="AI40" s="338"/>
      </tp>
      <tp t="s">
        <v>#N/A N/A</v>
        <stp/>
        <stp>BDP|8207706352447744484</stp>
        <tr r="AG40" s="1"/>
        <tr r="AG41" s="1"/>
      </tp>
      <tp t="s">
        <v>#N/A Requesting Data...2994235553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Data...3594688029</v>
        <stp/>
        <stp>BDP|1181258597285733681</stp>
        <tr r="AA49" s="89"/>
        <tr r="Z49" s="89"/>
      </tp>
      <tp t="s">
        <v>#N/A Requesting Data...4195512433</v>
        <stp/>
        <stp>BDP|1918834507510755077</stp>
        <tr r="S8" s="338"/>
      </tp>
      <tp t="s">
        <v>#N/A Requesting Data...4242230944</v>
        <stp/>
        <stp>BDP|8969661073822496253</stp>
        <tr r="V34" s="89"/>
      </tp>
      <tp t="s">
        <v>#N/A Requesting Data...3086867004</v>
        <stp/>
        <stp>BDP|6610210811028938424</stp>
        <tr r="O33" s="89"/>
      </tp>
      <tp t="s">
        <v>#N/A Requesting Data...3999429706</v>
        <stp/>
        <stp>BDP|1186915098941854922</stp>
        <tr r="P17" s="338"/>
      </tp>
      <tp t="s">
        <v>#N/A Requesting Data...4023809276</v>
        <stp/>
        <stp>BDP|3411193788855096676</stp>
        <tr r="AA25" s="2"/>
      </tp>
      <tp t="s">
        <v>#N/A N/A</v>
        <stp/>
        <stp>BDP|5430386408488532737</stp>
        <tr r="AB109" s="89"/>
      </tp>
      <tp t="s">
        <v>#N/A N/A</v>
        <stp/>
        <stp>BDP|2463017937370895897</stp>
        <tr r="AB44" s="1"/>
        <tr r="AB45" s="1"/>
      </tp>
      <tp t="s">
        <v>#N/A Requesting Data...3406290583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Data...2081441737</v>
        <stp/>
        <stp>BDP|2048477006706491956</stp>
        <tr r="X33" s="338"/>
      </tp>
      <tp t="s">
        <v>#N/A Requesting Data...4180787143</v>
        <stp/>
        <stp>BDP|6451679981117270604</stp>
        <tr r="AR10" s="2"/>
      </tp>
      <tp t="s">
        <v>#N/A Requesting Data...2963609615</v>
        <stp/>
        <stp>BDP|8993500628312049404</stp>
        <tr r="E180" s="89"/>
      </tp>
      <tp t="s">
        <v>#N/A N/A</v>
        <stp/>
        <stp>BDP|7323916510374581217</stp>
        <tr r="E22" s="2"/>
      </tp>
      <tp t="s">
        <v>#N/A Requesting Data...1792848723</v>
        <stp/>
        <stp>BDP|9762563002360150543</stp>
        <tr r="P9" s="338"/>
      </tp>
      <tp t="s">
        <v>#N/A Requesting Data...3536370264</v>
        <stp/>
        <stp>BDP|1617406885725244177</stp>
        <tr r="Z68" s="89"/>
        <tr r="AA68" s="89"/>
      </tp>
      <tp t="s">
        <v>#N/A Requesting Data...2998238598</v>
        <stp/>
        <stp>BDP|8690033388548820123</stp>
        <tr r="AJ14" s="338"/>
        <tr r="AJ35" s="338"/>
      </tp>
      <tp t="s">
        <v>#N/A Requesting Data...3505220334</v>
        <stp/>
        <stp>BDP|9326668867470264076</stp>
        <tr r="C203" s="89"/>
      </tp>
      <tp t="s">
        <v>#N/A Requesting Data...2395906693</v>
        <stp/>
        <stp>BDP|8916289435834203428</stp>
        <tr r="O234" s="89"/>
      </tp>
      <tp t="s">
        <v>#N/A Requesting Data...2110669086</v>
        <stp/>
        <stp>BDP|5400835087744406808</stp>
        <tr r="AG29" s="338"/>
      </tp>
      <tp t="s">
        <v>#N/A Requesting Data...2252050692</v>
        <stp/>
        <stp>BDP|9280288157897826002</stp>
        <tr r="C138" s="89"/>
      </tp>
      <tp t="s">
        <v>#N/A Requesting Data...2938251144</v>
        <stp/>
        <stp>BDP|6141864573737095712</stp>
        <tr r="T179" s="89"/>
        <tr r="T178" s="89"/>
      </tp>
      <tp t="s">
        <v>#N/A Requesting Data...3560402562</v>
        <stp/>
        <stp>BDP|8865039534922905038</stp>
        <tr r="L13" s="252"/>
        <tr r="L13" s="252"/>
      </tp>
      <tp>
        <v>48.9</v>
        <stp/>
        <stp>BDP|14111141271769378618|22</stp>
        <stp>META US 04/17/26 C690 Equity</stp>
        <stp>ask</stp>
        <tr r="L169" s="89"/>
      </tp>
      <tp t="s">
        <v>#N/A Real Time</v>
        <stp/>
        <stp>BDP|11293148887699984855|22</stp>
        <stp>4EM5P    5800 Index</stp>
        <stp>bid</stp>
        <tr r="K138" s="89"/>
      </tp>
      <tp t="s">
        <v>USD</v>
        <stp/>
        <stp>BDP|14253103693290071279|22</stp>
        <stp>AMZN US 07/17/26 C250 Equity</stp>
        <stp>QUOTED_CURRENCY_REALTIME</stp>
        <tr r="F234" s="89"/>
      </tp>
      <tp t="s">
        <v>#N/A Requesting Data...3698639211</v>
        <stp/>
        <stp>BDP|5587682882935341464</stp>
        <tr r="E90" s="89"/>
      </tp>
      <tp t="s">
        <v>#N/A Requesting Data...1741914674</v>
        <stp/>
        <stp>BDP|7230833674217968563</stp>
        <tr r="S36" s="338"/>
      </tp>
      <tp t="b">
        <v>0</v>
        <stp/>
        <stp>BDH|2937197568906195933</stp>
        <tr r="AU34" s="338"/>
        <tr r="AU37" s="338"/>
        <tr r="AP50" s="338"/>
        <tr r="AU36" s="338"/>
        <tr r="AU35" s="338"/>
        <tr r="AP51" s="338"/>
      </tp>
      <tp t="s">
        <v>#N/A N/A</v>
        <stp/>
        <stp>BDP|3603190722478324251</stp>
        <tr r="AI51" s="1"/>
      </tp>
      <tp t="s">
        <v>#N/A N/A</v>
        <stp/>
        <stp>BDP|1841797186795773188</stp>
        <tr r="AV7" s="2"/>
      </tp>
      <tp t="s">
        <v>#N/A N/A</v>
        <stp/>
        <stp>BDP|6392840872006556586</stp>
        <tr r="E8" s="1"/>
      </tp>
      <tp t="s">
        <v>#N/A Requesting Data...3740623217</v>
        <stp/>
        <stp>BDP|5263574927779802120</stp>
        <tr r="V45" s="338"/>
      </tp>
      <tp t="s">
        <v>#N/A Requesting Data...2332919733</v>
        <stp/>
        <stp>BDP|2344935394120970850</stp>
        <tr r="C108" s="89"/>
      </tp>
      <tp t="s">
        <v>#N/A Requesting Data...2426141804</v>
        <stp/>
        <stp>BDP|1305485589197843027</stp>
        <tr r="AJ17" s="338"/>
        <tr r="AJ18" s="338"/>
        <tr r="AH17" s="338"/>
        <tr r="AH18" s="338"/>
      </tp>
      <tp t="s">
        <v>#N/A Requesting Data...2648372135</v>
        <stp/>
        <stp>BDP|9065585755010767336</stp>
        <tr r="F17" s="252"/>
      </tp>
      <tp t="s">
        <v>#N/A Requesting Data...3862701501</v>
        <stp/>
        <stp>BDP|3146823963096909173</stp>
        <tr r="D16" s="2"/>
        <tr r="C8" s="89"/>
      </tp>
      <tp t="b">
        <v>0</v>
        <stp/>
        <stp>BDH|5153776597870901168</stp>
        <tr r="AU45" s="338"/>
      </tp>
      <tp t="b">
        <v>0</v>
        <stp/>
        <stp>BDH|2734053018858031144</stp>
        <tr r="J6" s="252"/>
      </tp>
      <tp t="s">
        <v>#N/A N/A</v>
        <stp/>
        <stp>BDP|3271990383928035073</stp>
        <tr r="K10" s="1"/>
        <tr r="K21" s="1"/>
      </tp>
      <tp t="s">
        <v>#N/A Requesting Data...4087225244</v>
        <stp/>
        <stp>BDP|4953965632476147235</stp>
        <tr r="Q46" s="338"/>
      </tp>
      <tp t="s">
        <v>#N/A Requesting Data...1861610018</v>
        <stp/>
        <stp>BDP|7038982583049677518</stp>
        <tr r="T108" s="89"/>
      </tp>
      <tp t="s">
        <v>#N/A Requesting Data...3155285532</v>
        <stp/>
        <stp>BDP|1004337573258431787</stp>
        <tr r="L8" s="338"/>
        <tr r="H8" s="338"/>
        <tr r="L9" s="338"/>
        <tr r="H9" s="338"/>
      </tp>
      <tp t="s">
        <v>#N/A Requesting Data...2462180052</v>
        <stp/>
        <stp>BDP|2913836118172985362</stp>
        <tr r="X47" s="338"/>
      </tp>
      <tp t="s">
        <v>#N/A N/A</v>
        <stp/>
        <stp>BDP|2658140518380678816</stp>
        <tr r="R95" s="89"/>
        <tr r="R96" s="89"/>
        <tr r="R102" s="89"/>
        <tr r="R101" s="89"/>
      </tp>
      <tp t="b">
        <v>0</v>
        <stp/>
        <stp>BDH|6071076246100437881</stp>
        <tr r="AP16" s="338"/>
        <tr r="AP40" s="338"/>
        <tr r="AP38" s="338"/>
      </tp>
      <tp t="s">
        <v>#N/A Requesting Data...3307817079</v>
        <stp/>
        <stp>BDP|2322958882768230140</stp>
        <tr r="E178" s="89"/>
        <tr r="E179" s="89"/>
      </tp>
      <tp t="s">
        <v>#N/A Requesting Data...4294215879</v>
        <stp/>
        <stp>BDP|2786473499167807238</stp>
        <tr r="AI45" s="338"/>
      </tp>
      <tp t="s">
        <v>#N/A Requesting Data...3305471385</v>
        <stp/>
        <stp>BDP|6785747401219846296</stp>
        <tr r="S41" s="338"/>
      </tp>
      <tp t="s">
        <v>#N/A Requesting Data...3478945535</v>
        <stp/>
        <stp>BDP|9500211458423629792</stp>
        <tr r="V31" s="338"/>
      </tp>
      <tp t="b">
        <v>0</v>
        <stp/>
        <stp>BDH|7120307843729016310</stp>
        <tr r="AP29" s="338"/>
        <tr r="AP30" s="338"/>
      </tp>
      <tp t="s">
        <v>#N/A N/A</v>
        <stp/>
        <stp>BDP|2997981958226965204</stp>
        <tr r="AA22" s="2"/>
      </tp>
      <tp t="s">
        <v>#N/A Requesting Data...4164705934</v>
        <stp/>
        <stp>BDP|4587517495856843492</stp>
        <tr r="T16" s="338"/>
        <tr r="T38" s="338"/>
      </tp>
      <tp t="s">
        <v>#N/A N/A</v>
        <stp/>
        <stp>BDP|8471485932241814460</stp>
        <tr r="AB234" s="89"/>
      </tp>
      <tp t="s">
        <v>#N/A N/A</v>
        <stp/>
        <stp>BDP|6834122784097772294</stp>
        <tr r="AG17" s="1"/>
      </tp>
      <tp t="s">
        <v>#N/A Requesting Data...3479434807</v>
        <stp/>
        <stp>BDP|2397499487206466291</stp>
        <tr r="O237" s="89"/>
      </tp>
      <tp t="s">
        <v>#N/A N/A</v>
        <stp/>
        <stp>BDP|8582278211013363216</stp>
        <tr r="AI18" s="1"/>
      </tp>
      <tp t="s">
        <v>#N/A Requesting Data...4167281899</v>
        <stp/>
        <stp>BDP|2830595975422333866</stp>
        <tr r="E235" s="89"/>
      </tp>
      <tp t="s">
        <v>#N/A Requesting Data...3874742698</v>
        <stp/>
        <stp>BDP|9965794027725386324</stp>
        <tr r="AB28" s="1"/>
        <tr r="F26" s="446"/>
      </tp>
      <tp t="s">
        <v>#N/A Requesting Data...1851637049</v>
        <stp/>
        <stp>BDP|1269563299172286598</stp>
        <tr r="V56" s="89"/>
      </tp>
      <tp t="s">
        <v>#N/A N/A</v>
        <stp/>
        <stp>BDP|3885846074322660492</stp>
        <tr r="AG55" s="1"/>
      </tp>
      <tp t="s">
        <v>#N/A Requesting Data...2669256976</v>
        <stp/>
        <stp>BDP|1001769831296786978</stp>
        <tr r="AI45" s="338"/>
        <tr r="AK45" s="338"/>
      </tp>
      <tp t="s">
        <v>#N/A Requesting Data...4166965380</v>
        <stp/>
        <stp>BDP|3546240833528077058</stp>
        <tr r="F16" s="2"/>
      </tp>
      <tp t="s">
        <v>#N/A N/A</v>
        <stp/>
        <stp>BDP|9870022038939123948</stp>
        <tr r="O81" s="89"/>
      </tp>
      <tp t="s">
        <v>#N/A N/A</v>
        <stp/>
        <stp>BDP|3860095588139768892</stp>
        <tr r="AC15" s="1"/>
        <tr r="AC16" s="1"/>
      </tp>
      <tp t="s">
        <v>#N/A Requesting Data...3314436093</v>
        <stp/>
        <stp>BDP|3394479430858909693</stp>
        <tr r="C96" s="89"/>
      </tp>
      <tp t="s">
        <v>#N/A Requesting Data...2685835874</v>
        <stp/>
        <stp>BDP|4524000010539321624</stp>
        <tr r="V129" s="89"/>
      </tp>
      <tp t="s">
        <v>#N/A N/A</v>
        <stp/>
        <stp>BDP|2140911238616808459</stp>
        <tr r="AQ8" s="2"/>
        <tr r="AQ10" s="2"/>
        <tr r="AQ9" s="2"/>
        <tr r="AB170" s="89"/>
        <tr r="AB169" s="89"/>
        <tr r="AB180" s="89"/>
        <tr r="AB171" s="89"/>
        <tr r="AB14" s="89"/>
        <tr r="AB13" s="89"/>
        <tr r="AB233" s="89"/>
        <tr r="AB27" s="89"/>
      </tp>
      <tp t="s">
        <v>#N/A Requesting Data...2527961888</v>
        <stp/>
        <stp>BDP|3332604227028093513</stp>
        <tr r="S13" s="338"/>
      </tp>
      <tp t="s">
        <v>#N/A Requesting Data...3919970183</v>
        <stp/>
        <stp>BDP|7403651280812138158</stp>
        <tr r="L52" s="338"/>
        <tr r="L15" s="338"/>
        <tr r="J15" s="338"/>
        <tr r="L16" s="338"/>
        <tr r="J16" s="338"/>
        <tr r="L17" s="338"/>
        <tr r="J17" s="338"/>
        <tr r="L38" s="338"/>
        <tr r="J38" s="338"/>
        <tr r="L39" s="338"/>
        <tr r="J39" s="338"/>
        <tr r="L44" s="338"/>
        <tr r="J44" s="338"/>
        <tr r="J52" s="338"/>
      </tp>
      <tp t="s">
        <v>#N/A Requesting Data...2279716616</v>
        <stp/>
        <stp>BDP|3948059027399786291</stp>
        <tr r="C102" s="89"/>
      </tp>
      <tp t="s">
        <v>#N/A Real Time</v>
        <stp/>
        <stp>BDP|11422101846013417478|22</stp>
        <stp>SPXW US 12/31/25 C6950 Index</stp>
        <stp>bid</stp>
        <tr r="K160" s="89"/>
      </tp>
      <tp>
        <v>34.83</v>
        <stp/>
        <stp>BDP|12794319931511644694|22</stp>
        <stp>TSM US 06/18/26 C340 Equity</stp>
        <stp>mid</stp>
        <tr r="L24" s="2"/>
      </tp>
      <tp t="s">
        <v>#N/A Requesting Data...3804489738</v>
        <stp/>
        <stp>BDP|8888687617413548780</stp>
        <tr r="L54" s="338"/>
        <tr r="J54" s="338"/>
      </tp>
      <tp t="s">
        <v>#N/A N/A</v>
        <stp/>
        <stp>BDP|8370638112663958713</stp>
        <tr r="C186" s="89"/>
      </tp>
      <tp t="s">
        <v>#N/A Requesting Data...3135542716</v>
        <stp/>
        <stp>BDP|8288396103462027232</stp>
        <tr r="Q8" s="338"/>
      </tp>
      <tp t="s">
        <v>#N/A Requesting Data...3629797403</v>
        <stp/>
        <stp>BDP|2329729297960563787</stp>
        <tr r="U42" s="338"/>
      </tp>
      <tp t="s">
        <v>#N/A Requesting Data...3275128490</v>
        <stp/>
        <stp>BDP|5055978459833341163</stp>
        <tr r="S40" s="338"/>
      </tp>
      <tp t="s">
        <v>#N/A Requesting Data...2555770898</v>
        <stp/>
        <stp>BDP|9916250733583306071</stp>
        <tr r="V95" s="89"/>
      </tp>
      <tp t="s">
        <v>#N/A Requesting Data...3628831635</v>
        <stp/>
        <stp>BDP|4721614875256887832</stp>
        <tr r="AR11" s="2"/>
      </tp>
      <tp t="s">
        <v>#N/A Requesting Data...3590117674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Requesting Data...2604512154</v>
        <stp/>
        <stp>BDP|4926041887351657654</stp>
        <tr r="D137" s="89"/>
      </tp>
      <tp t="s">
        <v>#N/A Requesting Data...1910920274</v>
        <stp/>
        <stp>BDP|4502789287684003446</stp>
        <tr r="AR8" s="2"/>
        <tr r="AR9" s="2"/>
      </tp>
      <tp t="s">
        <v>#N/A N/A</v>
        <stp/>
        <stp>BDP|9866940913692641877</stp>
        <tr r="AF26" s="1"/>
        <tr r="AF27" s="1"/>
      </tp>
      <tp t="s">
        <v>#N/A Requesting Data...4209137340</v>
        <stp/>
        <stp>BDP|8737954890503872047</stp>
        <tr r="D33" s="446"/>
      </tp>
      <tp t="s">
        <v>#N/A Requesting Data...2707686071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Data...2481422022</v>
        <stp/>
        <stp>BDP|7050181385937208200</stp>
        <tr r="Q32" s="338"/>
      </tp>
      <tp t="s">
        <v>#N/A Requesting Data...1759846141</v>
        <stp/>
        <stp>BDP|4440081808298299792</stp>
        <tr r="AK42" s="338"/>
        <tr r="AI42" s="338"/>
      </tp>
      <tp t="s">
        <v>#N/A Requesting Data...2122082065</v>
        <stp/>
        <stp>BDP|9749959446859954620</stp>
        <tr r="V203" s="89"/>
      </tp>
      <tp t="s">
        <v>#N/A Requesting Data...2182841942</v>
        <stp/>
        <stp>BDP|5456703762059282685</stp>
        <tr r="D23" s="2"/>
      </tp>
      <tp t="s">
        <v>#N/A Requesting Data...1931916146</v>
        <stp/>
        <stp>BDP|6735248014207248991</stp>
        <tr r="T49" s="338"/>
      </tp>
      <tp t="s">
        <v>#N/A Requesting Data...3143562614</v>
        <stp/>
        <stp>BDP|2139028585213834226</stp>
        <tr r="Z123" s="89"/>
        <tr r="AA123" s="89"/>
      </tp>
      <tp t="s">
        <v>#N/A Requesting Data...4224199726</v>
        <stp/>
        <stp>BDP|3963367391853480160</stp>
        <tr r="V204" s="89"/>
      </tp>
      <tp t="b">
        <v>0</v>
        <stp/>
        <stp>BDH|4163369691134823127</stp>
        <tr r="AM54" s="338"/>
        <tr r="AM53" s="338"/>
        <tr r="AM52" s="338"/>
      </tp>
      <tp t="s">
        <v>#N/A Requesting Data...4053951667</v>
        <stp/>
        <stp>BDP|8786342763721865752</stp>
        <tr r="P31" s="338"/>
      </tp>
      <tp t="s">
        <v>#N/A Requesting Data...3043259488</v>
        <stp/>
        <stp>BDP|7001248851652159998</stp>
        <tr r="T34" s="338"/>
      </tp>
      <tp t="s">
        <v>#N/A N/A</v>
        <stp/>
        <stp>BDP|1914533822549360466</stp>
        <tr r="K14" s="1"/>
      </tp>
      <tp t="s">
        <v>#N/A Requesting Data...3846761365</v>
        <stp/>
        <stp>BDP|6408176180342608679</stp>
        <tr r="F10" s="2"/>
      </tp>
      <tp t="b">
        <v>0</v>
        <stp/>
        <stp>BDH|3606507480470713537</stp>
        <tr r="AU31" s="338"/>
        <tr r="AU33" s="338"/>
        <tr r="AU51" s="338"/>
        <tr r="AP49" s="338"/>
        <tr r="AU47" s="338"/>
        <tr r="AP46" s="338"/>
        <tr r="AP45" s="338"/>
        <tr r="AU41" s="338"/>
      </tp>
      <tp t="b">
        <v>0</v>
        <stp/>
        <stp>BDH|7675415690680767129</stp>
        <tr r="AS29" s="338"/>
      </tp>
      <tp t="s">
        <v>#N/A Requesting Data...2531242692</v>
        <stp/>
        <stp>BDP|9762687753917905669</stp>
        <tr r="T12" s="338"/>
      </tp>
      <tp t="s">
        <v>#N/A N/A</v>
        <stp/>
        <stp>BDP|2220703499371845606</stp>
        <tr r="R34" s="89"/>
        <tr r="R40" s="89"/>
        <tr r="R39" s="89"/>
        <tr r="R237" s="89"/>
        <tr r="AV6" s="2"/>
        <tr r="R33" s="89"/>
      </tp>
      <tp t="s">
        <v>#N/A Requesting Data...3163727681</v>
        <stp/>
        <stp>BDP|9615961074615640914</stp>
        <tr r="AJ50" s="338"/>
        <tr r="AJ51" s="338"/>
        <tr r="AK34" s="338"/>
        <tr r="AK35" s="338"/>
        <tr r="AK36" s="338"/>
        <tr r="AK37" s="338"/>
      </tp>
      <tp t="b">
        <v>0</v>
        <stp/>
        <stp>BDH|3035454925808423678</stp>
        <tr r="AN54" s="338"/>
        <tr r="AN52" s="338"/>
        <tr r="AN53" s="338"/>
      </tp>
      <tp t="s">
        <v>#N/A Requesting Data...4203254878</v>
        <stp/>
        <stp>BDP|6241611932378988086</stp>
        <tr r="G42" s="446"/>
      </tp>
      <tp t="s">
        <v>#N/A Requesting Data...4075275713</v>
        <stp/>
        <stp>BDP|6296263756973290900</stp>
        <tr r="F19" s="2"/>
      </tp>
      <tp t="s">
        <v>#N/A Requesting Data...3290669441</v>
        <stp/>
        <stp>BDP|7985659615982817917</stp>
        <tr r="V36" s="338"/>
      </tp>
      <tp t="s">
        <v>#N/A Requesting Data...2267307364</v>
        <stp/>
        <stp>BDP|3686904656286506250</stp>
        <tr r="O69" s="89"/>
      </tp>
      <tp t="s">
        <v>#N/A Requesting Data...1836346758</v>
        <stp/>
        <stp>BDP|2754061954929434510</stp>
        <tr r="D62" s="89"/>
      </tp>
      <tp t="s">
        <v>#N/A Requesting Data...2577775371</v>
        <stp/>
        <stp>BDP|8637443246353684034</stp>
        <tr r="T51" s="338"/>
      </tp>
      <tp t="s">
        <v>#N/A Requesting Data...2890428597</v>
        <stp/>
        <stp>BDP|7254106586446704322</stp>
        <tr r="Z55" s="89"/>
        <tr r="AA55" s="89"/>
      </tp>
      <tp t="s">
        <v>#N/A N/A</v>
        <stp/>
        <stp>BDP|8959047049495095258</stp>
        <tr r="R203" s="89"/>
        <tr r="R204" s="89"/>
        <tr r="R205" s="89"/>
        <tr r="R211" s="89"/>
        <tr r="R212" s="89"/>
        <tr r="R235" s="89"/>
        <tr r="R213" s="89"/>
      </tp>
      <tp t="b">
        <v>0</v>
        <stp/>
        <stp>BDH|6520275165860606903</stp>
        <tr r="AN12" s="338"/>
      </tp>
      <tp t="s">
        <v>#N/A Requesting Data...3660007045</v>
        <stp/>
        <stp>BDP|5187006175490775958</stp>
        <tr r="N7" s="252"/>
        <tr r="N7" s="252"/>
      </tp>
      <tp t="s">
        <v>#N/A Requesting Data...3361151133</v>
        <stp/>
        <stp>BDP|2612160096671704068</stp>
        <tr r="D31" s="446"/>
      </tp>
      <tp t="s">
        <v>#N/A N/A</v>
        <stp/>
        <stp>BDP|7517755008088933364</stp>
        <tr r="AG19" s="1"/>
        <tr r="AG20" s="1"/>
      </tp>
      <tp t="s">
        <v>#N/A Requesting Data...3417139017</v>
        <stp/>
        <stp>BDP|4718173344583097938</stp>
        <tr r="F16" s="252"/>
      </tp>
      <tp t="s">
        <v>#N/A Requesting Data...2469838755</v>
        <stp/>
        <stp>BDP|2268545091931148418</stp>
        <tr r="T19" s="2"/>
        <tr r="O195" s="89"/>
      </tp>
      <tp t="s">
        <v>#N/A Requesting Data...1771936711</v>
        <stp/>
        <stp>BDP|5500303490523234738</stp>
        <tr r="Q16" s="338"/>
        <tr r="Q38" s="338"/>
      </tp>
      <tp t="s">
        <v>#N/A Requesting Data...2357029176</v>
        <stp/>
        <stp>BDP|9318183699928316256</stp>
        <tr r="D43" s="446"/>
      </tp>
      <tp t="s">
        <v>#N/A Requesting Data...2655236183</v>
        <stp/>
        <stp>BDP|2397389796744963701</stp>
        <tr r="AK42" s="338"/>
      </tp>
      <tp t="s">
        <v>#N/A Requesting Data...3166715744</v>
        <stp/>
        <stp>BDP|2130704157473529871</stp>
        <tr r="C14" s="2"/>
      </tp>
      <tp t="s">
        <v>#N/A Requesting Data...3600633553</v>
        <stp/>
        <stp>BDP|9352295318971282043</stp>
        <tr r="T102" s="89"/>
      </tp>
      <tp t="s">
        <v>#N/A Requesting Data...2812261444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Data...1841524044</v>
        <stp/>
        <stp>BDP|4946496227111068830</stp>
        <tr r="T101" s="89"/>
      </tp>
      <tp t="s">
        <v>#N/A Requesting Data...3841796816</v>
        <stp/>
        <stp>BDP|4411149358442996952</stp>
        <tr r="O11" s="252"/>
      </tp>
      <tp t="s">
        <v>#N/A Requesting Data...4072050941</v>
        <stp/>
        <stp>BDP|8633363721614159645</stp>
        <tr r="G8" s="446"/>
      </tp>
      <tp t="b">
        <v>0</v>
        <stp/>
        <stp>BDH|6924484619171500991</stp>
        <tr r="AN32" s="338"/>
        <tr r="AN31" s="338"/>
      </tp>
      <tp>
        <v>24.2</v>
        <stp/>
        <stp>BDP|16895049281307982456|22</stp>
        <stp>AVGO US 06/18/26 P300 Equity</stp>
        <stp>ask</stp>
        <tr r="L224" s="89"/>
      </tp>
      <tp>
        <v>83.9</v>
        <stp/>
        <stp>BDP|18281957532617946909|22</stp>
        <stp>META US 07/17/26 C680 Equity</stp>
        <stp>ask</stp>
        <tr r="L233" s="89"/>
      </tp>
      <tp>
        <v>78.66</v>
        <stp/>
        <stp>BDP|2279876738225149449|22</stp>
        <stp>MRVL US Equity</stp>
        <stp>LAST_PRICE</stp>
        <tr r="Z11" s="2"/>
        <tr r="Z13" s="2"/>
        <tr r="Z14" s="2"/>
        <tr r="S62" s="89"/>
        <tr r="S63" s="89"/>
        <tr r="Z12" s="2"/>
      </tp>
      <tp>
        <v>-0.48029163479804993</v>
        <stp/>
        <stp>BDP|1393123865485650562|22</stp>
        <stp>MRVL US 03/20/26 P80 Equity</stp>
        <stp>DELTA_MID_RT</stp>
        <tr r="AF13" s="2"/>
        <tr r="W62" s="89"/>
      </tp>
      <tp t="s">
        <v>USD</v>
        <stp/>
        <stp>BDP|12022496232123920905|22</stp>
        <stp>AAPL US 04/17/26 C280 Equity</stp>
        <stp>QUOTED_CURRENCY_REALTIME</stp>
        <tr r="G16" s="2"/>
        <tr r="F8" s="89"/>
      </tp>
      <tp t="s">
        <v>#N/A N/A</v>
        <stp/>
        <stp>BDP|9669031297401111598</stp>
        <tr r="AG38" s="1"/>
        <tr r="AG39" s="1"/>
      </tp>
      <tp t="s">
        <v>#N/A Requesting Data...4173825036</v>
        <stp/>
        <stp>BDP|6456595137834456041</stp>
        <tr r="E10" s="2"/>
      </tp>
      <tp t="s">
        <v>#N/A Requesting Data...4028092558</v>
        <stp/>
        <stp>BDP|1610762335826780784</stp>
        <tr r="Q55" s="338"/>
      </tp>
      <tp t="s">
        <v>#N/A Requesting Data...3655098801</v>
        <stp/>
        <stp>BDP|2219203778125839692</stp>
        <tr r="Q45" s="338"/>
      </tp>
      <tp t="s">
        <v>#N/A N/A</v>
        <stp/>
        <stp>BDP|4449199824360687344</stp>
        <tr r="AC23" s="2"/>
        <tr r="AC22" s="2"/>
      </tp>
      <tp t="s">
        <v>#N/A N/A</v>
        <stp/>
        <stp>BDP|4283940605309327082</stp>
        <tr r="AV4" s="2"/>
      </tp>
      <tp t="s">
        <v>#N/A Requesting Data...2843223263</v>
        <stp/>
        <stp>BDP|3240578071962479788</stp>
        <tr r="Q13" s="338"/>
      </tp>
      <tp t="s">
        <v>#N/A Requesting Data...3962124020</v>
        <stp/>
        <stp>BDP|7846163779046776380</stp>
        <tr r="V8" s="338"/>
      </tp>
      <tp t="s">
        <v>#N/A Requesting Data...2936724326</v>
        <stp/>
        <stp>BDP|3958804124584137945</stp>
        <tr r="T20" s="2"/>
        <tr r="O196" s="89"/>
      </tp>
      <tp t="s">
        <v>#N/A Requesting Data...3310906415</v>
        <stp/>
        <stp>BDP|7798787343353582310</stp>
        <tr r="O233" s="89"/>
      </tp>
      <tp t="s">
        <v>#N/A Requesting Data...3985125952</v>
        <stp/>
        <stp>BDP|1272798819383873033</stp>
        <tr r="D7" s="2"/>
      </tp>
      <tp t="s">
        <v>#N/A Requesting Data...2317613758</v>
        <stp/>
        <stp>BDP|4966659791349467604</stp>
        <tr r="AG45" s="338"/>
      </tp>
      <tp t="s">
        <v>#N/A Requesting Data...1814825693</v>
        <stp/>
        <stp>BDP|2906346500884364176</stp>
        <tr r="AJ31" s="338"/>
        <tr r="AJ32" s="338"/>
      </tp>
      <tp t="s">
        <v>#N/A Requesting Data...4103764059</v>
        <stp/>
        <stp>BDP|3419727698730200952</stp>
        <tr r="AR4" s="2"/>
      </tp>
      <tp t="s">
        <v>#N/A Requesting Data...4293906073</v>
        <stp/>
        <stp>BDP|6472525957406128491</stp>
        <tr r="AA63" s="89"/>
        <tr r="Z63" s="89"/>
      </tp>
      <tp t="s">
        <v>#N/A N/A</v>
        <stp/>
        <stp>BDP|1105691956700330633</stp>
        <tr r="AG46" s="1"/>
        <tr r="AG47" s="1"/>
      </tp>
      <tp t="s">
        <v>#N/A Requesting Data...3591071624</v>
        <stp/>
        <stp>BDP|7494523709231730773</stp>
        <tr r="F31" s="446"/>
      </tp>
      <tp t="s">
        <v>#N/A N/A</v>
        <stp/>
        <stp>BDP|2743037479982482367</stp>
        <tr r="AF53" s="1"/>
      </tp>
      <tp t="s">
        <v>#N/A N/A</v>
        <stp/>
        <stp>BDP|3382445822571949000</stp>
        <tr r="AA82" s="89"/>
        <tr r="Z82" s="89"/>
      </tp>
      <tp t="s">
        <v>#N/A N/A</v>
        <stp/>
        <stp>BDP|6693094342647469159</stp>
        <tr r="AD22" s="2"/>
      </tp>
      <tp t="b">
        <v>0</v>
        <stp/>
        <stp>BDH|2913315205555979083</stp>
        <tr r="AP31" s="338"/>
        <tr r="AP32" s="338"/>
      </tp>
      <tp t="s">
        <v>#N/A N/A</v>
        <stp/>
        <stp>BDP|5592689375484219475</stp>
        <tr r="T186" s="89"/>
      </tp>
      <tp t="s">
        <v>#N/A Requesting Data...2300527561</v>
        <stp/>
        <stp>BDP|8549451961438864644</stp>
        <tr r="AK14" s="338"/>
        <tr r="AJ55" s="338"/>
        <tr r="AK55" s="338"/>
      </tp>
      <tp t="s">
        <v>#N/A Requesting Data...3811792256</v>
        <stp/>
        <stp>BDP|9945382899790540700</stp>
        <tr r="Z138" s="89"/>
        <tr r="AA138" s="89"/>
      </tp>
      <tp t="s">
        <v>#N/A Requesting Data...2567255864</v>
        <stp/>
        <stp>BDP|1051127841111916176</stp>
        <tr r="P16" s="252"/>
      </tp>
      <tp t="s">
        <v>#N/A Requesting Data...2101268041</v>
        <stp/>
        <stp>BDP|2199559048282875569</stp>
        <tr r="AI18" s="338"/>
      </tp>
      <tp t="s">
        <v>#N/A Requesting Data...3299098640</v>
        <stp/>
        <stp>BDP|4374742715501301730</stp>
        <tr r="N16" s="252"/>
        <tr r="N16" s="252"/>
      </tp>
      <tp t="s">
        <v>#N/A N/A</v>
        <stp/>
        <stp>BDP|8108642701269026361</stp>
        <tr r="E17" s="2"/>
      </tp>
      <tp t="s">
        <v>#N/A Requesting Data...3752253949</v>
        <stp/>
        <stp>BDP|9063402768959888626</stp>
        <tr r="AA20" s="2"/>
        <tr r="T196" s="89"/>
      </tp>
      <tp t="s">
        <v>#N/A Requesting Data...3445319513</v>
        <stp/>
        <stp>BDP|3004206956470481008</stp>
        <tr r="AA20" s="89"/>
        <tr r="Z20" s="89"/>
      </tp>
      <tp t="s">
        <v>#N/A Requesting Data...3937120983</v>
        <stp/>
        <stp>BDP|8764335623844685936</stp>
        <tr r="T225" s="89"/>
      </tp>
      <tp t="s">
        <v>#N/A Requesting Data...3395069018</v>
        <stp/>
        <stp>BDP|1615244074723761330</stp>
        <tr r="T36" s="338"/>
      </tp>
      <tp t="b">
        <v>0</v>
        <stp/>
        <stp>BDH|5299975832842657932</stp>
        <tr r="AS18" s="338"/>
      </tp>
      <tp t="s">
        <v>#N/A N/A</v>
        <stp/>
        <stp>BDP|2553472415851111257</stp>
        <tr r="F17" s="2"/>
      </tp>
      <tp t="s">
        <v>#N/A Requesting Data...3143191091</v>
        <stp/>
        <stp>BDP|3018137626915335152</stp>
        <tr r="O50" s="89"/>
      </tp>
      <tp t="s">
        <v>#N/A Requesting Data...3903395979</v>
        <stp/>
        <stp>BDP|8326860540126523632</stp>
        <tr r="E129" s="89"/>
      </tp>
      <tp t="s">
        <v>#N/A Requesting Data...4138403031</v>
        <stp/>
        <stp>BDP|5790626169004593599</stp>
        <tr r="F40" s="446"/>
      </tp>
      <tp t="s">
        <v>#N/A Requesting Data...2040203078</v>
        <stp/>
        <stp>BDP|9726257024364768910</stp>
        <tr r="O19" s="252"/>
      </tp>
      <tp t="s">
        <v>#N/A Requesting Data...4246178055</v>
        <stp/>
        <stp>BDP|3121965407037939996</stp>
        <tr r="T10" s="338"/>
      </tp>
      <tp t="s">
        <v>#N/A N/A</v>
        <stp/>
        <stp>BDP|7599424229276827376</stp>
        <tr r="AF21" s="1"/>
        <tr r="AF22" s="1"/>
      </tp>
      <tp t="s">
        <v>#N/A N/A</v>
        <stp/>
        <stp>BDP|6940186872470420463</stp>
        <tr r="AI50" s="1"/>
      </tp>
      <tp t="s">
        <v>#N/A Requesting Data...3446066429</v>
        <stp/>
        <stp>BDP|2781273192095754848</stp>
        <tr r="P37" s="338"/>
      </tp>
      <tp t="b">
        <v>0</v>
        <stp/>
        <stp>BDH|6130423994557221847</stp>
        <tr r="AP13" s="338"/>
        <tr r="AP34" s="338"/>
      </tp>
      <tp t="b">
        <v>0</v>
        <stp/>
        <stp>BDH|6334756547378524953</stp>
        <tr r="AS10" s="338"/>
        <tr r="AN47" s="338"/>
        <tr r="AN48" s="338"/>
        <tr r="AN44" s="338"/>
        <tr r="AS53" s="338"/>
      </tp>
      <tp t="s">
        <v>#N/A Requesting Data...2539463798</v>
        <stp/>
        <stp>BDP|5028796441871860363</stp>
        <tr r="D5" s="2"/>
        <tr r="C223" s="89"/>
      </tp>
      <tp t="s">
        <v>#N/A Requesting Data...3568067684</v>
        <stp/>
        <stp>BDP|5440482774885960773</stp>
        <tr r="AH36" s="338"/>
      </tp>
      <tp t="s">
        <v>#N/A Requesting Data...3210144779</v>
        <stp/>
        <stp>BDP|8903483087139985997</stp>
        <tr r="S8" s="252"/>
      </tp>
      <tp t="s">
        <v>#N/A Requesting Data...2961311363</v>
        <stp/>
        <stp>BDP|1490932935796586918</stp>
        <tr r="T19" s="89"/>
      </tp>
      <tp t="s">
        <v>#N/A Requesting Data...3000023576</v>
        <stp/>
        <stp>BDP|2357040805921494704</stp>
        <tr r="AJ10" s="338"/>
        <tr r="AJ11" s="338"/>
        <tr r="AJ33" s="338"/>
      </tp>
      <tp t="s">
        <v>#N/A Requesting Data...3838675808</v>
        <stp/>
        <stp>BDP|6846041857277848049</stp>
        <tr r="T236" s="89"/>
      </tp>
      <tp t="s">
        <v>#N/A Requesting Data...2831569928</v>
        <stp/>
        <stp>BDP|7276433225395264017</stp>
        <tr r="C49" s="89"/>
      </tp>
      <tp t="s">
        <v>#N/A Requesting Data...1833610604</v>
        <stp/>
        <stp>BDP|1913639431982971268</stp>
        <tr r="V122" s="89"/>
      </tp>
      <tp t="s">
        <v>#N/A Requesting Data...2352571446</v>
        <stp/>
        <stp>BDP|8103428543709687520</stp>
        <tr r="G5" s="446"/>
        <tr r="G6" s="446"/>
      </tp>
      <tp t="s">
        <v>#N/A Requesting Data...2845366929</v>
        <stp/>
        <stp>BDP|5430094244624859152</stp>
        <tr r="D34" s="446"/>
      </tp>
      <tp t="s">
        <v>#N/A Requesting Data...3875134466</v>
        <stp/>
        <stp>BDP|5284294530751812164</stp>
        <tr r="AI12" s="338"/>
      </tp>
      <tp t="s">
        <v>#N/A Requesting Data...2353003676</v>
        <stp/>
        <stp>BDP|7007213395359878194</stp>
        <tr r="C8" s="2"/>
        <tr r="C9" s="2"/>
      </tp>
      <tp t="s">
        <v>#N/A Requesting Data...1861514051</v>
        <stp/>
        <stp>BDP|2593154816901666757</stp>
        <tr r="N13" s="252"/>
        <tr r="N13" s="252"/>
      </tp>
      <tp t="s">
        <v>#N/A Requesting Data...4054206765</v>
        <stp/>
        <stp>BDP|9638513960499697749</stp>
        <tr r="T46" s="338"/>
      </tp>
      <tp>
        <v>70.599999999999994</v>
        <stp/>
        <stp>BDP|16085343363608571045|22</stp>
        <stp>LITE US 03/20/26 C420 Equity</stp>
        <stp>ask</stp>
        <tr r="Q7" s="2"/>
      </tp>
      <tp>
        <v>7.35</v>
        <stp/>
        <stp>BDP|10736428624520496613|22</stp>
        <stp>MSFT US 02/20/26 P420 Equity</stp>
        <stp>bid</stp>
        <tr r="K212" s="89"/>
      </tp>
      <tp>
        <v>706.41</v>
        <stp/>
        <stp>BDP|3807768373389777345|22</stp>
        <stp>META Equity</stp>
        <stp>LAST_PRICE</stp>
        <tr r="I28" s="1"/>
      </tp>
      <tp>
        <v>96.63</v>
        <stp/>
        <stp>BDP|7985005465703992696|22</stp>
        <stp>AKAM Equity</stp>
        <stp>LAST_PRICE</stp>
        <tr r="I42" s="1"/>
        <tr r="I43" s="1"/>
      </tp>
      <tp>
        <v>94.19</v>
        <stp/>
        <stp>BDP|11512636158714040679|22</stp>
        <stp>GDX EQUITY</stp>
        <stp>LAST_PRICE</stp>
        <tr r="I10" s="1"/>
      </tp>
      <tp t="s">
        <v>USD</v>
        <stp/>
        <stp>BDP|15724339035979194733|22</stp>
        <stp>META US 02/27/26 C660 Equity</stp>
        <stp>QUOTED_CURRENCY_REALTIME</stp>
        <tr r="F180" s="89"/>
      </tp>
      <tp t="s">
        <v>#N/A Requesting Data...3928152994</v>
        <stp/>
        <stp>BDP|9005897765572380053</stp>
        <tr r="E14" s="2"/>
      </tp>
      <tp t="s">
        <v>#N/A N/A</v>
        <stp/>
        <stp>BDP|1163242074811817033</stp>
        <tr r="R234" s="89"/>
      </tp>
      <tp t="s">
        <v>#N/A N/A</v>
        <stp/>
        <stp>BDP|2935461966306109320</stp>
        <tr r="AC33" s="1"/>
      </tp>
      <tp t="s">
        <v>#N/A Requesting Data...3673485019</v>
        <stp/>
        <stp>BDP|2926137671092226333</stp>
        <tr r="P14" s="252"/>
      </tp>
      <tp t="b">
        <v>0</v>
        <stp/>
        <stp>BDH|4195582186794146841</stp>
        <tr r="AS12" s="338"/>
      </tp>
      <tp t="s">
        <v>#N/A Requesting Data...3452397792</v>
        <stp/>
        <stp>BDP|4780459414043985746</stp>
        <tr r="S33" s="338"/>
      </tp>
      <tp t="s">
        <v>#N/A Requesting Data...4260710219</v>
        <stp/>
        <stp>BDP|3715220583989463590</stp>
        <tr r="AB29" s="1"/>
        <tr r="F30" s="446"/>
      </tp>
      <tp t="b">
        <v>0</v>
        <stp/>
        <stp>BDH|7576778144128860957</stp>
        <tr r="AS30" s="338"/>
      </tp>
      <tp t="s">
        <v>#N/A Requesting Data...2758261865</v>
        <stp/>
        <stp>BDP|3983744460122577503</stp>
        <tr r="AF46" s="1"/>
        <tr r="AF47" s="1"/>
        <tr r="AF36" s="338"/>
      </tp>
      <tp t="s">
        <v>#N/A Requesting Data...3461312956</v>
        <stp/>
        <stp>BDP|5308081551174601141</stp>
        <tr r="U11" s="338"/>
      </tp>
      <tp t="s">
        <v>#N/A N/A</v>
        <stp/>
        <stp>BDP|3051431949301095732</stp>
        <tr r="AB53" s="1"/>
      </tp>
      <tp t="s">
        <v>#N/A Requesting Data...3344767664</v>
        <stp/>
        <stp>BDP|9260849128942358439</stp>
        <tr r="AD8" s="2"/>
        <tr r="AD9" s="2"/>
        <tr r="V13" s="89"/>
      </tp>
      <tp t="s">
        <v>#N/A N/A</v>
        <stp/>
        <stp>BDP|1071396022310529501</stp>
        <tr r="AF34" s="1"/>
        <tr r="AF35" s="1"/>
      </tp>
      <tp t="s">
        <v>#N/A Requesting Data...3015402548</v>
        <stp/>
        <stp>BDP|2636595951407112010</stp>
        <tr r="D41" s="446"/>
      </tp>
      <tp t="b">
        <v>0</v>
        <stp/>
        <stp>BDH|7779618312036278380</stp>
        <tr r="J19" s="252"/>
      </tp>
      <tp t="s">
        <v>#N/A N/A</v>
        <stp/>
        <stp>BDP|4549966399968232972</stp>
        <tr r="AA18" s="2"/>
        <tr r="T76" s="89"/>
      </tp>
      <tp t="s">
        <v>#N/A Requesting Data...2809142193</v>
        <stp/>
        <stp>BDP|6525006869707181227</stp>
        <tr r="AF50" s="338"/>
        <tr r="AF51" s="338"/>
        <tr r="AG34" s="338"/>
        <tr r="AG35" s="338"/>
        <tr r="AG36" s="338"/>
        <tr r="AG37" s="338"/>
      </tp>
      <tp t="s">
        <v>#N/A Requesting Data...4238791356</v>
        <stp/>
        <stp>BDP|2530200609104129121</stp>
        <tr r="AH44" s="338"/>
        <tr r="AH47" s="338"/>
        <tr r="AH48" s="338"/>
        <tr r="AI10" s="338"/>
        <tr r="AI53" s="338"/>
      </tp>
      <tp t="s">
        <v>#N/A Requesting Data...2210647711</v>
        <stp/>
        <stp>BDP|2062875789930127739</stp>
        <tr r="AA203" s="89"/>
        <tr r="Z203" s="89"/>
      </tp>
      <tp t="s">
        <v>#N/A Requesting Data...3845586292</v>
        <stp/>
        <stp>BDP|8626964800726479283</stp>
        <tr r="T17" s="338"/>
      </tp>
      <tp t="s">
        <v>#N/A Requesting Data...2369190583</v>
        <stp/>
        <stp>BDP|8161895482119328448</stp>
        <tr r="D19" s="2"/>
        <tr r="C195" s="89"/>
      </tp>
      <tp t="s">
        <v>#N/A Requesting Data...2596262567</v>
        <stp/>
        <stp>BDP|6453493511390892665</stp>
        <tr r="T31" s="338"/>
      </tp>
      <tp t="s">
        <v>#N/A Requesting Data...2542407446</v>
        <stp/>
        <stp>BDP|1933423945534840047</stp>
        <tr r="AK9" s="338"/>
      </tp>
      <tp t="s">
        <v>#N/A Requesting Data...3807842515</v>
        <stp/>
        <stp>BDP|4087771710803757431</stp>
        <tr r="X54" s="338"/>
      </tp>
      <tp t="s">
        <v>#N/A Requesting Data...2912259073</v>
        <stp/>
        <stp>BDP|7419327903193598239</stp>
        <tr r="AJ15" s="338"/>
        <tr r="AJ39" s="338"/>
        <tr r="AK40" s="338"/>
      </tp>
      <tp t="s">
        <v>#N/A Requesting Data...4234273881</v>
        <stp/>
        <stp>BDP|5133852355808281539</stp>
        <tr r="AD14" s="2"/>
        <tr r="V63" s="89"/>
      </tp>
      <tp t="s">
        <v>#N/A N/A</v>
        <stp/>
        <stp>BDP|9525835047501594141</stp>
        <tr r="AG23" s="1"/>
      </tp>
      <tp t="s">
        <v>#N/A N/A</v>
        <stp/>
        <stp>BDP|9212642566604321834</stp>
        <tr r="R89" s="89"/>
        <tr r="R90" s="89"/>
      </tp>
      <tp t="s">
        <v>#N/A N/A</v>
        <stp/>
        <stp>BDP|7337309723996972590</stp>
        <tr r="K56" s="1"/>
      </tp>
      <tp t="s">
        <v>#N/A Requesting Data...3552028071</v>
        <stp/>
        <stp>BDP|1252039566197775513</stp>
        <tr r="AK54" s="338"/>
      </tp>
      <tp t="s">
        <v>#N/A N/A</v>
        <stp/>
        <stp>BDP|6695752411146080338</stp>
        <tr r="AG36" s="1"/>
        <tr r="AG37" s="1"/>
      </tp>
      <tp t="s">
        <v>#N/A Requesting Data...2522467109</v>
        <stp/>
        <stp>BDP|1795592229337573435</stp>
        <tr r="C212" s="89"/>
      </tp>
      <tp t="s">
        <v>#N/A Requesting Data...2111260387</v>
        <stp/>
        <stp>BDP|1340430251865159018</stp>
        <tr r="C122" s="89"/>
      </tp>
      <tp t="s">
        <v>#N/A N/A</v>
        <stp/>
        <stp>BDP|4316184976870928759</stp>
        <tr r="AF42" s="1"/>
        <tr r="AF43" s="1"/>
      </tp>
      <tp t="b">
        <v>0</v>
        <stp/>
        <stp>BDH|9331554385803669247</stp>
        <tr r="AU18" s="338"/>
      </tp>
      <tp t="s">
        <v>#N/A Requesting Data...3132176599</v>
        <stp/>
        <stp>BDP|3777685039867817484</stp>
        <tr r="E20" s="89"/>
      </tp>
      <tp t="s">
        <v>#N/A N/A</v>
        <stp/>
        <stp>BDP|4147460135970660630</stp>
        <tr r="O187" s="89"/>
      </tp>
      <tp t="s">
        <v>#N/A Requesting Data...1920833349</v>
        <stp/>
        <stp>BDP|6124212647123164610</stp>
        <tr r="Z109" s="89"/>
        <tr r="AA109" s="89"/>
      </tp>
      <tp t="s">
        <v>#N/A Requesting Data...3808221180</v>
        <stp/>
        <stp>BDP|2987580469143878743</stp>
        <tr r="Z115" s="89"/>
        <tr r="AA115" s="89"/>
      </tp>
      <tp t="s">
        <v>#N/A Requesting Data...2586247936</v>
        <stp/>
        <stp>BDP|7460910680203620073</stp>
        <tr r="E24" s="2"/>
      </tp>
      <tp t="s">
        <v>#N/A N/A</v>
        <stp/>
        <stp>BDP|2426662074501571768</stp>
        <tr r="AI42" s="1"/>
        <tr r="AI43" s="1"/>
      </tp>
      <tp t="s">
        <v>#N/A Requesting Data...3548534293</v>
        <stp/>
        <stp>BDP|1785534484179509007</stp>
        <tr r="U37" s="338"/>
      </tp>
      <tp>
        <v>82.05</v>
        <stp/>
        <stp>BDP|14201652617253647190|22</stp>
        <stp>META US 07/17/26 C680 Equity</stp>
        <stp>bid</stp>
        <tr r="K233" s="89"/>
      </tp>
      <tp>
        <v>88</v>
        <stp/>
        <stp>BDP|10509480426370688750|22</stp>
        <stp>META US 07/17/26 C670 Equity</stp>
        <stp>bid</stp>
        <tr r="K170" s="89"/>
      </tp>
      <tp>
        <v>17.45</v>
        <stp/>
        <stp>BDP|11530430480112839969|22</stp>
        <stp>AAPL US 04/17/26 C260 Equity</stp>
        <stp>bid</stp>
        <tr r="K7" s="89"/>
        <tr r="P15" s="2"/>
      </tp>
      <tp t="s">
        <v>USD</v>
        <stp/>
        <stp>BDP|397487976034915571|22</stp>
        <stp>TSM US 06/18/26 C380 Equity</stp>
        <stp>QUOTED_CURRENCY_REALTIME</stp>
        <tr r="G25" s="2"/>
      </tp>
      <tp>
        <v>7.75</v>
        <stp/>
        <stp>BDP|17651095983942963831|22</stp>
        <stp>AAPL US 04/17/26 C280 Equity</stp>
        <stp>ask</stp>
        <tr r="L8" s="89"/>
        <tr r="Q16" s="2"/>
      </tp>
      <tp>
        <v>270.01</v>
        <stp/>
        <stp>BDP|4350104393385922955|22</stp>
        <stp>AAPL Equity</stp>
        <stp>LAST PRICE</stp>
        <tr r="I11" s="338"/>
      </tp>
      <tp t="s">
        <v>#N/A Requesting Data...3235933396</v>
        <stp/>
        <stp>BDP|9823698439132005823</stp>
        <tr r="M12" s="252"/>
      </tp>
      <tp t="s">
        <v>#N/A Requesting Data...3477931575</v>
        <stp/>
        <stp>BDP|3019690065241065465</stp>
        <tr r="AI48" s="338"/>
        <tr r="AI49" s="338"/>
      </tp>
      <tp t="s">
        <v>#N/A Requesting Data...2537683406</v>
        <stp/>
        <stp>BDP|7188757863485888551</stp>
        <tr r="G39" s="446"/>
      </tp>
      <tp t="s">
        <v>#N/A N/A</v>
        <stp/>
        <stp>BDP|7422247533576110683</stp>
        <tr r="AI55" s="1"/>
      </tp>
      <tp t="s">
        <v>#N/A Requesting Data...1942293267</v>
        <stp/>
        <stp>BDP|5816436142581157225</stp>
        <tr r="T49" s="89"/>
      </tp>
      <tp t="s">
        <v>#N/A Requesting Data...2786743364</v>
        <stp/>
        <stp>BDP|6357706968437215632</stp>
        <tr r="S51" s="338"/>
      </tp>
      <tp t="s">
        <v>#N/A Requesting Data...2169887921</v>
        <stp/>
        <stp>BDP|7978267068122812754</stp>
        <tr r="C6" s="2"/>
      </tp>
      <tp t="s">
        <v>#N/A N/A</v>
        <stp/>
        <stp>BDP|1481294716502130617</stp>
        <tr r="AB42" s="1"/>
        <tr r="AB43" s="1"/>
      </tp>
      <tp t="s">
        <v>#N/A Requesting Data...3046705847</v>
        <stp/>
        <stp>BDP|1443585917713323038</stp>
        <tr r="L30" s="338"/>
        <tr r="J30" s="338"/>
      </tp>
      <tp t="s">
        <v>#N/A Requesting Data...4190765945</v>
        <stp/>
        <stp>BDP|4646626558147768607</stp>
        <tr r="T144" s="89"/>
      </tp>
      <tp t="s">
        <v>#N/A Requesting Data...2310575374</v>
        <stp/>
        <stp>BDP|6070972681744870550</stp>
        <tr r="Q33" s="338"/>
      </tp>
      <tp t="s">
        <v>#N/A Requesting Data...2933665371</v>
        <stp/>
        <stp>BDP|9958243614845156906</stp>
        <tr r="AK30" s="338"/>
        <tr r="AI30" s="338"/>
      </tp>
      <tp t="s">
        <v>#N/A Requesting Data...2077997699</v>
        <stp/>
        <stp>BDP|1754575979255457051</stp>
        <tr r="G14" s="446"/>
      </tp>
      <tp t="s">
        <v>#N/A N/A</v>
        <stp/>
        <stp>BDP|5130174576111125487</stp>
        <tr r="K52" s="1"/>
      </tp>
      <tp t="s">
        <v>#N/A Requesting Data...3399047911</v>
        <stp/>
        <stp>BDP|9212972615641945606</stp>
        <tr r="AH52" s="338"/>
        <tr r="AH53" s="338"/>
        <tr r="AH54" s="338"/>
        <tr r="AJ52" s="338"/>
        <tr r="AJ53" s="338"/>
        <tr r="AJ54" s="338"/>
      </tp>
      <tp t="s">
        <v>#N/A Requesting Data...2968768306</v>
        <stp/>
        <stp>BDP|6095484704072209604</stp>
        <tr r="AJ13" s="338"/>
        <tr r="AJ34" s="338"/>
      </tp>
      <tp t="s">
        <v>#N/A Requesting Data...2100854864</v>
        <stp/>
        <stp>BDP|6921540255739678909</stp>
        <tr r="AK32" s="338"/>
        <tr r="AK46" s="338"/>
        <tr r="AK50" s="338"/>
        <tr r="AK8" s="338"/>
      </tp>
      <tp t="s">
        <v>#N/A N/A</v>
        <stp/>
        <stp>BDP|6927167186841731801</stp>
        <tr r="AG44" s="1"/>
        <tr r="AG45" s="1"/>
      </tp>
      <tp t="s">
        <v>#N/A Requesting Data...4245432154</v>
        <stp/>
        <stp>BDP|5836174453674625345</stp>
        <tr r="V34" s="338"/>
      </tp>
      <tp t="s">
        <v>#N/A Requesting Data...3335425713</v>
        <stp/>
        <stp>BDP|6914181187250139988</stp>
        <tr r="AA5" s="2"/>
        <tr r="T223" s="89"/>
      </tp>
      <tp t="s">
        <v>#N/A Requesting Data...3927228840</v>
        <stp/>
        <stp>BDP|3930578222146831483</stp>
        <tr r="G43" s="446"/>
      </tp>
      <tp t="s">
        <v>#N/A N/A</v>
        <stp/>
        <stp>BDP|8403728728339567278</stp>
        <tr r="AC56" s="1"/>
      </tp>
      <tp t="s">
        <v>#N/A Requesting Data...2361779936</v>
        <stp/>
        <stp>BDP|3166087990788095446</stp>
        <tr r="G21" s="446"/>
      </tp>
      <tp t="s">
        <v>#N/A Requesting Data...3483749093</v>
        <stp/>
        <stp>BDP|4996607430791175657</stp>
        <tr r="T122" s="89"/>
      </tp>
      <tp t="s">
        <v>#N/A N/A</v>
        <stp/>
        <stp>BDP|1015729758995040076</stp>
        <tr r="E82" s="89"/>
      </tp>
      <tp t="s">
        <v>#N/A Requesting Data...2331911465</v>
        <stp/>
        <stp>BDP|3807948298497989200</stp>
        <tr r="P45" s="338"/>
      </tp>
      <tp t="s">
        <v>#N/A N/A</v>
        <stp/>
        <stp>BDP|4148348666006447154</stp>
        <tr r="AF23" s="1"/>
      </tp>
      <tp t="s">
        <v>#N/A N/A</v>
        <stp/>
        <stp>BDP|9242806905375372266</stp>
        <tr r="R122" s="89"/>
        <tr r="R123" s="89"/>
      </tp>
      <tp t="s">
        <v>#N/A Requesting Data...3973927499</v>
        <stp/>
        <stp>BDP|3531676896459233342</stp>
        <tr r="G35" s="446"/>
      </tp>
      <tp t="s">
        <v>#N/A Requesting Data...3158041796</v>
        <stp/>
        <stp>BDP|9850960325197941300</stp>
        <tr r="AF16" s="338"/>
        <tr r="AF38" s="338"/>
        <tr r="AF40" s="338"/>
      </tp>
      <tp t="s">
        <v>#N/A Requesting Data...2159248832</v>
        <stp/>
        <stp>BDP|2192763400756291577</stp>
        <tr r="C204" s="89"/>
      </tp>
      <tp t="s">
        <v>#N/A Requesting Data...3735223521</v>
        <stp/>
        <stp>BDP|1831578601782415092</stp>
        <tr r="V18" s="338"/>
      </tp>
      <tp t="s">
        <v>#N/A Requesting Data...2129706679</v>
        <stp/>
        <stp>BDP|5023379335197141408</stp>
        <tr r="T21" s="2"/>
        <tr r="O197" s="89"/>
      </tp>
      <tp t="s">
        <v>#N/A N/A</v>
        <stp/>
        <stp>BDP|5681827533229472132</stp>
        <tr r="AB33" s="1"/>
      </tp>
      <tp t="s">
        <v>#N/A Requesting Data...3845979993</v>
        <stp/>
        <stp>BDP|5205861990736541413</stp>
        <tr r="E15" s="2"/>
      </tp>
      <tp t="s">
        <v>#N/A Requesting Data...3153429741</v>
        <stp/>
        <stp>BDP|5315552559291956278</stp>
        <tr r="T56" s="89"/>
      </tp>
      <tp t="s">
        <v>#N/A Requesting Data...2814772496</v>
        <stp/>
        <stp>BDP|9650470625011320866</stp>
        <tr r="AA225" s="89"/>
        <tr r="Z225" s="89"/>
      </tp>
      <tp t="s">
        <v>#N/A Requesting Data...3194487643</v>
        <stp/>
        <stp>BDP|9271742846914689876</stp>
        <tr r="S15" s="338"/>
        <tr r="S39" s="338"/>
      </tp>
      <tp t="s">
        <v>#N/A Requesting Data...3803909962</v>
        <stp/>
        <stp>BDP|1183356610207551274</stp>
        <tr r="T25" s="2"/>
      </tp>
      <tp t="s">
        <v>#N/A Requesting Data...2328965776</v>
        <stp/>
        <stp>BDP|5329914741678686636</stp>
        <tr r="Q18" s="338"/>
      </tp>
      <tp t="s">
        <v>#N/A Requesting Data...2508672105</v>
        <stp/>
        <stp>BDP|3672362430114067167</stp>
        <tr r="T14" s="338"/>
      </tp>
      <tp t="s">
        <v>#N/A Requesting Data...3713861228</v>
        <stp/>
        <stp>BDP|7024465816144052067</stp>
        <tr r="D15" s="2"/>
        <tr r="C7" s="89"/>
      </tp>
      <tp t="s">
        <v>#N/A Requesting Data...2805007670</v>
        <stp/>
        <stp>BDP|3597495719060392002</stp>
        <tr r="C237" s="89"/>
      </tp>
      <tp t="s">
        <v>#N/A Requesting Data...2468079452</v>
        <stp/>
        <stp>BDP|2714917007269668409</stp>
        <tr r="M8" s="252"/>
      </tp>
      <tp t="s">
        <v>#N/A Requesting Data...1994429896</v>
        <stp/>
        <stp>BDP|7823950808111144939</stp>
        <tr r="AJ44" s="338"/>
        <tr r="AJ47" s="338"/>
        <tr r="AJ48" s="338"/>
        <tr r="AK10" s="338"/>
        <tr r="AK53" s="338"/>
      </tp>
      <tp t="s">
        <v>#N/A Requesting Data...2492092794</v>
        <stp/>
        <stp>BDP|5039887386546055596</stp>
        <tr r="AA15" s="2"/>
        <tr r="T7" s="89"/>
      </tp>
      <tp t="s">
        <v>#N/A Requesting Data...4030421396</v>
        <stp/>
        <stp>BDP|8408000722589740564</stp>
        <tr r="T68" s="89"/>
      </tp>
      <tp t="s">
        <v>#N/A Requesting Data...4249985564</v>
        <stp/>
        <stp>BDP|8885961869603230210</stp>
        <tr r="AK32" s="338"/>
        <tr r="AK46" s="338"/>
        <tr r="AK50" s="338"/>
        <tr r="AK8" s="338"/>
      </tp>
      <tp t="s">
        <v>#N/A Requesting Data...2609901705</v>
        <stp/>
        <stp>BDP|5018086030232967252</stp>
        <tr r="AA6" s="2"/>
      </tp>
      <tp t="s">
        <v>#N/A Requesting Data...3816511435</v>
        <stp/>
        <stp>BDP|5769981822101030995</stp>
        <tr r="T96" s="89"/>
      </tp>
      <tp t="s">
        <v>#N/A Requesting Data...3646907094</v>
        <stp/>
        <stp>BDP|8318036623599634512</stp>
        <tr r="D225" s="89"/>
      </tp>
      <tp t="s">
        <v>#N/A N/A</v>
        <stp/>
        <stp>BDP|1772751390731486839</stp>
        <tr r="AI40" s="1"/>
        <tr r="AI41" s="1"/>
      </tp>
      <tp t="s">
        <v>#N/A Requesting Data...2520437145</v>
        <stp/>
        <stp>BDP|7214956164048318650</stp>
        <tr r="U34" s="338"/>
      </tp>
      <tp>
        <v>706.41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>
        <v>-0.14291803538799286</v>
        <stp/>
        <stp>BDP|8795046347241444117|22</stp>
        <stp>AVGO US 06/18/26 C350 Equity</stp>
        <stp>theta_mid_rt</stp>
        <tr r="AN5" s="2"/>
      </tp>
      <tp t="s">
        <v>#N/A Requesting Data...3383871959</v>
        <stp/>
        <stp>BDP|1017464849172281472</stp>
        <tr r="E49" s="89"/>
      </tp>
      <tp t="s">
        <v>#N/A Requesting Data...3175777559</v>
        <stp/>
        <stp>BDP|4283425441594897730</stp>
        <tr r="AA169" s="89"/>
        <tr r="Z169" s="89"/>
      </tp>
      <tp t="s">
        <v>#N/A Requesting Data...3133510635</v>
        <stp/>
        <stp>BDP|4245799967772009077</stp>
        <tr r="D37" s="446"/>
      </tp>
      <tp t="s">
        <v>#N/A Requesting Data...3783355909</v>
        <stp/>
        <stp>BDP|4758516714777806016</stp>
        <tr r="AR14" s="2"/>
      </tp>
      <tp t="s">
        <v>#N/A Requesting Data...2317821060</v>
        <stp/>
        <stp>BDP|2863781781368349292</stp>
        <tr r="AJ16" s="338"/>
        <tr r="AJ38" s="338"/>
        <tr r="AJ40" s="338"/>
      </tp>
      <tp t="b">
        <v>0</v>
        <stp/>
        <stp>BDH|9807166374359668173</stp>
        <tr r="AS13" s="338"/>
      </tp>
      <tp t="s">
        <v>#N/A Requesting Data...2699899630</v>
        <stp/>
        <stp>BDP|8120208431448184693</stp>
        <tr r="S46" s="338"/>
      </tp>
      <tp t="s">
        <v>#N/A N/A</v>
        <stp/>
        <stp>BDP|7156185906827354649</stp>
        <tr r="AI13" s="1"/>
      </tp>
      <tp t="s">
        <v>#N/A Requesting Data...2163837817</v>
        <stp/>
        <stp>BDP|4897361001360642018</stp>
        <tr r="T48" s="338"/>
      </tp>
      <tp t="s">
        <v>#N/A N/A</v>
        <stp/>
        <stp>BDP|6577894425722203925</stp>
        <tr r="AI52" s="1"/>
      </tp>
      <tp t="s">
        <v>#N/A Requesting Data...4205127385</v>
        <stp/>
        <stp>BDP|5289094940154690244</stp>
        <tr r="S14" s="338"/>
      </tp>
      <tp t="s">
        <v>#N/A Requesting Data...3407988589</v>
        <stp/>
        <stp>BDP|1707015801081904771</stp>
        <tr r="S11" s="338"/>
      </tp>
      <tp t="s">
        <v>#N/A N/A</v>
        <stp/>
        <stp>BDP|5947737455944304421</stp>
        <tr r="AB52" s="1"/>
      </tp>
      <tp t="s">
        <v>#N/A Requesting Data...3188208628</v>
        <stp/>
        <stp>BDP|1510584037002581204</stp>
        <tr r="T115" s="89"/>
      </tp>
      <tp t="s">
        <v>#N/A Requesting Data...2651648599</v>
        <stp/>
        <stp>BDP|6917157052941035414</stp>
        <tr r="AK54" s="338"/>
      </tp>
      <tp t="s">
        <v>#N/A Requesting Data...2604154069</v>
        <stp/>
        <stp>BDP|1092378379464484650</stp>
        <tr r="G9" s="446"/>
      </tp>
      <tp t="s">
        <v>#N/A Requesting Data...2387884069</v>
        <stp/>
        <stp>BDP|5346594685016575959</stp>
        <tr r="AI18" s="338"/>
        <tr r="AK18" s="338"/>
      </tp>
      <tp t="s">
        <v>#N/A Requesting Data...2849610323</v>
        <stp/>
        <stp>BDP|7887913715769781147</stp>
        <tr r="Q30" s="338"/>
      </tp>
      <tp t="s">
        <v>#N/A Requesting Data...3845844049</v>
        <stp/>
        <stp>BDP|5675170649634239369</stp>
        <tr r="E109" s="89"/>
      </tp>
      <tp t="s">
        <v>#N/A Requesting Data...2611401400</v>
        <stp/>
        <stp>BDP|7675645627431897518</stp>
        <tr r="C24" s="2"/>
      </tp>
      <tp t="s">
        <v>#N/A Requesting Data...2883017100</v>
        <stp/>
        <stp>BDP|3706549500372914371</stp>
        <tr r="E136" s="89"/>
      </tp>
      <tp t="s">
        <v>#N/A N/A</v>
        <stp/>
        <stp>BDP|5312075309057886586</stp>
        <tr r="AI54" s="1"/>
      </tp>
      <tp t="s">
        <v>#N/A Requesting Data...3047394642</v>
        <stp/>
        <stp>BDP|7107626834487292286</stp>
        <tr r="L11" s="252"/>
        <tr r="L11" s="252"/>
      </tp>
      <tp t="s">
        <v>#N/A Requesting Data...2931263886</v>
        <stp/>
        <stp>BDP|8336092558638833275</stp>
        <tr r="M18" s="252"/>
      </tp>
      <tp t="s">
        <v>#N/A Requesting Data...3708852402</v>
        <stp/>
        <stp>BDP|2787535871500884705</stp>
        <tr r="S35" s="338"/>
      </tp>
      <tp t="s">
        <v>#N/A N/A</v>
        <stp/>
        <stp>BDP|7341491708322758684</stp>
        <tr r="AB144" s="89"/>
        <tr r="AB145" s="89"/>
      </tp>
      <tp t="b">
        <v>0</v>
        <stp/>
        <stp>BDH|9328232496610805538</stp>
        <tr r="AM34" s="338"/>
        <tr r="AM13" s="338"/>
      </tp>
      <tp t="s">
        <v>#N/A Requesting Data...2408229657</v>
        <stp/>
        <stp>BDP|1288906989993060491</stp>
        <tr r="X49" s="338"/>
      </tp>
      <tp t="s">
        <v>#N/A N/A</v>
        <stp/>
        <stp>BDP|4381938020330693849</stp>
        <tr r="AC44" s="1"/>
        <tr r="AC45" s="1"/>
      </tp>
      <tp t="b">
        <v>0</v>
        <stp/>
        <stp>BDH|6163336770604014103</stp>
        <tr r="AU11" s="338"/>
      </tp>
      <tp t="b">
        <v>0</v>
        <stp/>
        <stp>BDH|4588063031053060301</stp>
        <tr r="AP18" s="338"/>
        <tr r="AP17" s="338"/>
      </tp>
      <tp t="s">
        <v>#N/A Requesting Data...2937544643</v>
        <stp/>
        <stp>BDP|5938177747656903132</stp>
        <tr r="S55" s="338"/>
      </tp>
      <tp t="s">
        <v>#N/A Requesting Data...2651850189</v>
        <stp/>
        <stp>BDP|1855721819082945297</stp>
        <tr r="P52" s="338"/>
      </tp>
      <tp t="s">
        <v>#N/A N/A</v>
        <stp/>
        <stp>BDP|9340297150798850129</stp>
        <tr r="E186" s="89"/>
      </tp>
      <tp t="s">
        <v>#N/A Requesting Data...2222704469</v>
        <stp/>
        <stp>BDP|7226011316269547804</stp>
        <tr r="AA101" s="89"/>
        <tr r="Z101" s="89"/>
      </tp>
      <tp t="s">
        <v>#N/A Requesting Data...3261492542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Requesting Data...2616945541</v>
        <stp/>
        <stp>BDP|9683098287681113793</stp>
        <tr r="D10" s="2"/>
        <tr r="C171" s="89"/>
        <tr r="C14" s="89"/>
        <tr r="C27" s="89"/>
      </tp>
      <tp t="s">
        <v>#N/A Requesting Data...2081206529</v>
        <stp/>
        <stp>BDP|6362624963838148922</stp>
        <tr r="AF29" s="1"/>
        <tr r="AF8" s="338"/>
        <tr r="AF9" s="338"/>
      </tp>
      <tp t="s">
        <v>#N/A Requesting Data...3636640023</v>
        <stp/>
        <stp>BDP|2907663611126652497</stp>
        <tr r="D136" s="89"/>
      </tp>
      <tp t="s">
        <v>#N/A Requesting Data...2981192337</v>
        <stp/>
        <stp>BDP|5447413907492272417</stp>
        <tr r="AG48" s="338"/>
        <tr r="AG49" s="338"/>
      </tp>
      <tp t="s">
        <v>#N/A Requesting Data...2388654084</v>
        <stp/>
        <stp>BDP|4445164765726738268</stp>
        <tr r="AA170" s="89"/>
        <tr r="Z170" s="89"/>
      </tp>
      <tp t="s">
        <v>#N/A Requesting Data...2576676283</v>
        <stp/>
        <stp>BDP|2614909402095251903</stp>
        <tr r="L12" s="252"/>
        <tr r="L12" s="252"/>
      </tp>
      <tp t="s">
        <v>#N/A Requesting Data...2872071490</v>
        <stp/>
        <stp>BDP|1776687918603536244</stp>
        <tr r="AD20" s="2"/>
        <tr r="V196" s="89"/>
      </tp>
      <tp t="s">
        <v>#N/A Requesting Data...2660460143</v>
        <stp/>
        <stp>BDP|1763661788150711882</stp>
        <tr r="E233" s="89"/>
      </tp>
      <tp t="s">
        <v>#N/A Requesting Data...4016521533</v>
        <stp/>
        <stp>BDP|5476793879341768354</stp>
        <tr r="AK30" s="338"/>
      </tp>
      <tp t="s">
        <v>#N/A Requesting Data...3920489890</v>
        <stp/>
        <stp>BDP|5145531487678652752</stp>
        <tr r="AI15" s="338"/>
        <tr r="AI16" s="338"/>
        <tr r="AI17" s="338"/>
        <tr r="AI38" s="338"/>
        <tr r="AI39" s="338"/>
        <tr r="AI44" s="338"/>
        <tr r="AI52" s="338"/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Data...2947694732</v>
        <stp/>
        <stp>BDP|9356568301399407276</stp>
        <tr r="L29" s="338"/>
        <tr r="J29" s="338"/>
      </tp>
      <tp t="s">
        <v>#N/A Requesting Data...2073741751</v>
        <stp/>
        <stp>BDP|7057279456164256342</stp>
        <tr r="S32" s="338"/>
      </tp>
      <tp t="s">
        <v>#N/A Requesting Data...2085891975</v>
        <stp/>
        <stp>BDP|8901954355874847764</stp>
        <tr r="O205" s="89"/>
        <tr r="O213" s="89"/>
      </tp>
      <tp t="s">
        <v>#N/A Requesting Data...2475899946</v>
        <stp/>
        <stp>BDP|7250845338122873916</stp>
        <tr r="D12" s="2"/>
      </tp>
      <tp t="s">
        <v>#N/A Requesting Data...3057177910</v>
        <stp/>
        <stp>BDP|5679496740627876502</stp>
        <tr r="N20" s="252"/>
        <tr r="N20" s="252"/>
      </tp>
      <tp t="s">
        <v>#N/A Requesting Data...3646221498</v>
        <stp/>
        <stp>BDP|7775425857631476016</stp>
        <tr r="X53" s="338"/>
      </tp>
      <tp t="s">
        <v>#N/A Requesting Data...3472899754</v>
        <stp/>
        <stp>BDP|6730519311327945299</stp>
        <tr r="AK11" s="338"/>
      </tp>
      <tp t="s">
        <v>#N/A Requesting Data...2719942313</v>
        <stp/>
        <stp>BDP|7034052966182144450</stp>
        <tr r="G7" s="446"/>
      </tp>
      <tp t="s">
        <v>#N/A Requesting Data...2765623408</v>
        <stp/>
        <stp>BDP|5264049846531072744</stp>
        <tr r="AA95" s="89"/>
        <tr r="Z95" s="89"/>
      </tp>
      <tp t="s">
        <v>#N/A N/A</v>
        <stp/>
        <stp>BDP|2027401203994540526</stp>
        <tr r="AA188" s="89"/>
        <tr r="Z188" s="89"/>
      </tp>
      <tp t="s">
        <v>#N/A Requesting Data...3441509374</v>
        <stp/>
        <stp>BDP|4375402103807111045</stp>
        <tr r="AR19" s="2"/>
      </tp>
      <tp t="s">
        <v>#N/A Requesting Data...3068703855</v>
        <stp/>
        <stp>BDP|7817792651205133748</stp>
        <tr r="U30" s="338"/>
      </tp>
      <tp t="s">
        <v>#N/A Requesting Data...2083609001</v>
        <stp/>
        <stp>BDP|1636158366620394139</stp>
        <tr r="V160" s="89"/>
      </tp>
      <tp t="s">
        <v>#N/A Requesting Data...4002914032</v>
        <stp/>
        <stp>BDP|7130911573469165773</stp>
        <tr r="AD5" s="2"/>
        <tr r="V223" s="89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242.96</v>
        <stp/>
        <stp>BDP|4344863504285541564|22</stp>
        <stp>AMZN Equity</stp>
        <stp>LAST_PRICE</stp>
        <tr r="I26" s="1"/>
        <tr r="I27" s="1"/>
      </tp>
      <tp t="s">
        <v>USD</v>
        <stp/>
        <stp>BDP|14759626085233375357|22</stp>
        <stp>META US 07/17/26 C680 Equity</stp>
        <stp>QUOTED_CURRENCY_REALTIME</stp>
        <tr r="F233" s="89"/>
      </tp>
      <tp t="s">
        <v>#N/A Requesting Data...4224943115</v>
        <stp/>
        <stp>BDP|2869545110083680500</stp>
        <tr r="Q51" s="338"/>
      </tp>
      <tp t="s">
        <v>#N/A Requesting Data...2253830045</v>
        <stp/>
        <stp>BDP|9478381283761550308</stp>
        <tr r="AD24" s="2"/>
      </tp>
      <tp t="s">
        <v>#N/A Requesting Data...3853547052</v>
        <stp/>
        <stp>BDP|3454753217493992655</stp>
        <tr r="AB51" s="1"/>
        <tr r="F36" s="446"/>
      </tp>
      <tp t="s">
        <v>#N/A N/A</v>
        <stp/>
        <stp>BDP|8148908707662517398</stp>
        <tr r="AG28" s="1"/>
      </tp>
      <tp t="s">
        <v>#N/A Requesting Data...2223511776</v>
        <stp/>
        <stp>BDP|1189172247476298290</stp>
        <tr r="O7" s="252"/>
      </tp>
      <tp t="s">
        <v>#N/A Requesting Data...2388302361</v>
        <stp/>
        <stp>BDP|6955622269271151797</stp>
        <tr r="T4" s="2"/>
      </tp>
      <tp t="b">
        <v>0</v>
        <stp/>
        <stp>BDH|6300508665442857747</stp>
        <tr r="J20" s="252"/>
      </tp>
      <tp t="s">
        <v>#N/A Requesting Data...2621351993</v>
        <stp/>
        <stp>BDP|2073373381748750195</stp>
        <tr r="F25" s="446"/>
      </tp>
      <tp t="s">
        <v>#N/A N/A</v>
        <stp/>
        <stp>BDP|5508729427063936303</stp>
        <tr r="AB50" s="1"/>
      </tp>
      <tp t="s">
        <v>#N/A Requesting Data...3546737226</v>
        <stp/>
        <stp>BDP|1626262929107928698</stp>
        <tr r="O224" s="89"/>
      </tp>
      <tp t="s">
        <v>#N/A N/A</v>
        <stp/>
        <stp>BDP|7426051978057192711</stp>
        <tr r="K12" s="1"/>
      </tp>
      <tp t="s">
        <v>#N/A Requesting Data...3232564987</v>
        <stp/>
        <stp>BDP|5045073666933003089</stp>
        <tr r="V9" s="338"/>
      </tp>
      <tp t="b">
        <v>0</v>
        <stp/>
        <stp>BDH|1930228946302709534</stp>
        <tr r="AM31" s="338"/>
        <tr r="AM32" s="338"/>
      </tp>
      <tp t="s">
        <v>#N/A Requesting Data...3382435583</v>
        <stp/>
        <stp>BDP|7131418634293998332</stp>
        <tr r="T12" s="2"/>
      </tp>
      <tp t="s">
        <v>#N/A Requesting Data...2135109775</v>
        <stp/>
        <stp>BDP|5247577618786009732</stp>
        <tr r="D197" s="89"/>
      </tp>
      <tp t="s">
        <v>#N/A N/A</v>
        <stp/>
        <stp>BDP|3833608477975887782</stp>
        <tr r="AC7" s="2"/>
      </tp>
      <tp t="s">
        <v>#N/A Requesting Data...2594269631</v>
        <stp/>
        <stp>BDP|5526635939431875188</stp>
        <tr r="AI29" s="338"/>
      </tp>
      <tp t="s">
        <v>#N/A Requesting Data...2875822143</v>
        <stp/>
        <stp>BDP|5959149956824211564</stp>
        <tr r="G38" s="446"/>
      </tp>
      <tp t="s">
        <v>#N/A Requesting Data...3547024005</v>
        <stp/>
        <stp>BDP|5381969730908949709</stp>
        <tr r="AD4" s="2"/>
      </tp>
      <tp t="s">
        <v>#N/A Requesting Data...3891642138</v>
        <stp/>
        <stp>BDP|9733097685151622010</stp>
        <tr r="T15" s="2"/>
        <tr r="O7" s="89"/>
      </tp>
      <tp t="s">
        <v>#N/A Requesting Data...3505201584</v>
        <stp/>
        <stp>BDP|3523553942820884279</stp>
        <tr r="Q11" s="338"/>
      </tp>
      <tp t="s">
        <v>#N/A Requesting Data...3356337992</v>
        <stp/>
        <stp>BDP|8739029094357904654</stp>
        <tr r="O20" s="89"/>
      </tp>
      <tp t="s">
        <v>#N/A Requesting Data...3399521947</v>
        <stp/>
        <stp>BDP|5376386408366731097</stp>
        <tr r="AA50" s="89"/>
        <tr r="Z50" s="89"/>
      </tp>
      <tp t="s">
        <v>#N/A Requesting Data...4061762590</v>
        <stp/>
        <stp>BDP|3572723856414756549</stp>
        <tr r="C222" s="89"/>
      </tp>
      <tp t="s">
        <v>#N/A N/A</v>
        <stp/>
        <stp>BDP|6809118251995947735</stp>
        <tr r="AG15" s="1"/>
        <tr r="AG16" s="1"/>
      </tp>
      <tp t="s">
        <v>#N/A Requesting Data...3625687010</v>
        <stp/>
        <stp>BDP|8781859390611325836</stp>
        <tr r="X12" s="338"/>
      </tp>
      <tp t="s">
        <v>#N/A Requesting Data...2782888489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Q5" s="2"/>
        <tr r="AB222" s="89"/>
        <tr r="AB223" s="89"/>
        <tr r="AB224" s="89"/>
        <tr r="AB225" s="89"/>
      </tp>
      <tp t="s">
        <v>#N/A Requesting Data...2382483782</v>
        <stp/>
        <stp>BDP|1324694372333290388</stp>
        <tr r="T212" s="89"/>
      </tp>
      <tp t="s">
        <v>#N/A N/A</v>
        <stp/>
        <stp>BDP|2925650370332906175</stp>
        <tr r="AI38" s="1"/>
        <tr r="AI39" s="1"/>
      </tp>
      <tp t="s">
        <v>#N/A Requesting Data...3757719979</v>
        <stp/>
        <stp>BDP|3960122539301296028</stp>
        <tr r="O170" s="89"/>
      </tp>
      <tp t="s">
        <v>#N/A Requesting Data...3864655982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Data...3055623118</v>
        <stp/>
        <stp>BDP|2469275853951470473</stp>
        <tr r="F20" s="2"/>
      </tp>
      <tp t="s">
        <v>#N/A Requesting Data...3888782026</v>
        <stp/>
        <stp>BDP|8026979944376338335</stp>
        <tr r="E203" s="89"/>
      </tp>
      <tp t="s">
        <v>#N/A Requesting Data...2261528621</v>
        <stp/>
        <stp>BDP|4552037620785435316</stp>
        <tr r="P33" s="338"/>
      </tp>
      <tp t="s">
        <v>#N/A Requesting Data...2948673162</v>
        <stp/>
        <stp>BDP|4649895345359151185</stp>
        <tr r="C39" s="89"/>
      </tp>
      <tp t="s">
        <v>#N/A N/A</v>
        <stp/>
        <stp>BDP|2953503061930930113</stp>
        <tr r="AB17" s="1"/>
      </tp>
      <tp t="s">
        <v>#N/A Requesting Data...2742511382</v>
        <stp/>
        <stp>BDP|1912350260220949454</stp>
        <tr r="AJ29" s="338"/>
        <tr r="AJ30" s="338"/>
      </tp>
      <tp t="s">
        <v>#N/A Requesting Data...4209020047</v>
        <stp/>
        <stp>BDP|5137251643354744701</stp>
        <tr r="L36" s="338"/>
        <tr r="H36" s="338"/>
      </tp>
      <tp t="s">
        <v>#N/A Requesting Data...3836372952</v>
        <stp/>
        <stp>BDP|6283111272633911397</stp>
        <tr r="AJ14" s="338"/>
        <tr r="AJ35" s="338"/>
      </tp>
      <tp t="s">
        <v>#N/A Requesting Data...4083353902</v>
        <stp/>
        <stp>BDP|5379468089518845151</stp>
        <tr r="Q53" s="338"/>
      </tp>
      <tp t="b">
        <v>0</v>
        <stp/>
        <stp>BDH|8194295537410698982</stp>
        <tr r="AU54" s="338"/>
      </tp>
      <tp t="s">
        <v>#N/A Requesting Data...2533536030</v>
        <stp/>
        <stp>BDP|7112967104169217777</stp>
        <tr r="P30" s="338"/>
      </tp>
      <tp t="s">
        <v>#N/A Requesting Data...2703433276</v>
        <stp/>
        <stp>BDP|7207851431765010907</stp>
        <tr r="C235" s="89"/>
      </tp>
      <tp t="s">
        <v>#N/A Requesting Data...2325552092</v>
        <stp/>
        <stp>BDP|5682063267492381124</stp>
        <tr r="S12" s="338"/>
      </tp>
      <tp t="s">
        <v>#N/A Requesting Data...4262129880</v>
        <stp/>
        <stp>BDP|1018734111515407205</stp>
        <tr r="F18" s="252"/>
      </tp>
      <tp t="s">
        <v>#N/A Requesting Data...3905298138</v>
        <stp/>
        <stp>BDP|3612021710706006421</stp>
        <tr r="AD23" s="2"/>
      </tp>
      <tp t="b">
        <v>0</v>
        <stp/>
        <stp>BDH|3325615796494117831</stp>
        <tr r="AM30" s="338"/>
        <tr r="AM29" s="338"/>
      </tp>
      <tp t="s">
        <v>#N/A Requesting Data...2518329291</v>
        <stp/>
        <stp>BDP|4028930726656593970</stp>
        <tr r="AJ16" s="338"/>
        <tr r="AJ38" s="338"/>
        <tr r="AJ40" s="338"/>
      </tp>
      <tp t="s">
        <v>#N/A N/A</v>
        <stp/>
        <stp>BDP|1006835115128630075</stp>
        <tr r="AQ23" s="2"/>
        <tr r="AQ22" s="2"/>
      </tp>
      <tp t="s">
        <v>#N/A N/A</v>
        <stp/>
        <stp>BDP|7529226150318302830</stp>
        <tr r="O186" s="89"/>
      </tp>
      <tp t="s">
        <v>#N/A Requesting Data...3911245428</v>
        <stp/>
        <stp>BDP|1494500509740882420</stp>
        <tr r="D96" s="89"/>
      </tp>
      <tp t="s">
        <v>#N/A Requesting Data...2544426708</v>
        <stp/>
        <stp>BDP|3485044105441809296</stp>
        <tr r="L12" s="338"/>
        <tr r="J12" s="338"/>
      </tp>
      <tp t="s">
        <v>#N/A Requesting Data...2490785144</v>
        <stp/>
        <stp>BDP|6637641837380428351</stp>
        <tr r="D89" s="89"/>
      </tp>
      <tp t="s">
        <v>#N/A Requesting Data...2146274928</v>
        <stp/>
        <stp>BDP|2723076874625349028</stp>
        <tr r="M7" s="252"/>
      </tp>
      <tp t="s">
        <v>#N/A Requesting Data...3668231497</v>
        <stp/>
        <stp>BDP|4386065153847319607</stp>
        <tr r="C7" s="2"/>
      </tp>
      <tp t="s">
        <v>#N/A Requesting Data...4040541641</v>
        <stp/>
        <stp>BDP|1377734860226121644</stp>
        <tr r="C234" s="89"/>
      </tp>
      <tp>
        <v>21.65</v>
        <stp/>
        <stp>BDP|18330625039410541292|22</stp>
        <stp>AMZN US 07/17/26 C250 Equity</stp>
        <stp>ask</stp>
        <tr r="L234" s="89"/>
      </tp>
      <tp>
        <v>39.5</v>
        <stp/>
        <stp>BDP|14709653448625040347|22</stp>
        <stp>TSM US 07/17/26 C340 Equity</stp>
        <stp>ask</stp>
        <tr r="L19" s="89"/>
      </tp>
      <tp>
        <v>19.63</v>
        <stp/>
        <stp>BDP|13708122924811862625|22</stp>
        <stp>TSM US 06/18/26 C380 Equity</stp>
        <stp>mid</stp>
        <tr r="L25" s="2"/>
      </tp>
      <tp>
        <v>199.1</v>
        <stp/>
        <stp>BDP|17027429052585223577|22</stp>
        <stp>RSP EQUITY</stp>
        <stp>LAST_PRICE</stp>
        <tr r="I5" s="1"/>
      </tp>
      <tp t="s">
        <v>#N/A Requesting Data...2215936139</v>
        <stp/>
        <stp>BDP|5033376349836196559</stp>
        <tr r="X29" s="338"/>
      </tp>
      <tp t="s">
        <v>#N/A Requesting Data...4003879350</v>
        <stp/>
        <stp>BDP|3552512649496298558</stp>
        <tr r="M14" s="252"/>
      </tp>
      <tp t="s">
        <v>#N/A Requesting Data...3368497064</v>
        <stp/>
        <stp>BDP|6512582705651116331</stp>
        <tr r="D13" s="2"/>
        <tr r="C62" s="89"/>
      </tp>
      <tp t="s">
        <v>#N/A Requesting Data...2170915255</v>
        <stp/>
        <stp>BDP|8548403483194970146</stp>
        <tr r="V55" s="89"/>
      </tp>
      <tp t="b">
        <v>0</v>
        <stp/>
        <stp>BDH|5355977959010126878</stp>
        <tr r="AU30" s="338"/>
      </tp>
      <tp t="s">
        <v>#N/A N/A</v>
        <stp/>
        <stp>BDP|5889104764011396273</stp>
        <tr r="AI48" s="1"/>
        <tr r="AI49" s="1"/>
      </tp>
      <tp t="s">
        <v>#N/A Requesting Data...2346964530</v>
        <stp/>
        <stp>BDP|1936373704580597368</stp>
        <tr r="Q54" s="338"/>
      </tp>
      <tp t="s">
        <v>#N/A Requesting Data...3182140592</v>
        <stp/>
        <stp>BDP|5256432133392845134</stp>
        <tr r="C101" s="89"/>
      </tp>
      <tp t="s">
        <v>#N/A Requesting Data...2741305201</v>
        <stp/>
        <stp>BDP|7551465529835272566</stp>
        <tr r="N9" s="252"/>
        <tr r="N9" s="252"/>
      </tp>
      <tp t="s">
        <v>#N/A Requesting Data...3517070068</v>
        <stp/>
        <stp>BDP|1897815793981176051</stp>
        <tr r="AR12" s="2"/>
      </tp>
      <tp t="s">
        <v>#N/A N/A</v>
        <stp/>
        <stp>BDP|2606386682968637055</stp>
        <tr r="D22" s="2"/>
      </tp>
      <tp t="s">
        <v>#N/A Requesting Data...2263743742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Data...3807655498</v>
        <stp/>
        <stp>BDP|7601159166158268985</stp>
        <tr r="S16" s="252"/>
      </tp>
      <tp t="s">
        <v>#N/A Requesting Data...2928566452</v>
        <stp/>
        <stp>BDP|3235511292777879969</stp>
        <tr r="X11" s="338"/>
      </tp>
      <tp t="s">
        <v>#N/A Requesting Data...3728635079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Data...3671430695</v>
        <stp/>
        <stp>BDP|1748256233439783899</stp>
        <tr r="T15" s="338"/>
        <tr r="T39" s="338"/>
      </tp>
      <tp t="s">
        <v>#N/A Requesting Data...3009814281</v>
        <stp/>
        <stp>BDP|7660636101386198693</stp>
        <tr r="P15" s="338"/>
        <tr r="P39" s="338"/>
      </tp>
      <tp t="s">
        <v>#N/A Requesting Data...4192371041</v>
        <stp/>
        <stp>BDP|8463094131499939398</stp>
        <tr r="X18" s="338"/>
      </tp>
      <tp t="s">
        <v>#N/A Requesting Data...3059938645</v>
        <stp/>
        <stp>BDP|7404929821424807933</stp>
        <tr r="L16" s="338"/>
        <tr r="H16" s="338"/>
        <tr r="L38" s="338"/>
        <tr r="H38" s="338"/>
        <tr r="L40" s="338"/>
        <tr r="H40" s="338"/>
      </tp>
      <tp t="s">
        <v>#N/A Requesting Data...2487536874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Data...2270948118</v>
        <stp/>
        <stp>BDP|6241899226908646569</stp>
        <tr r="D42" s="446"/>
      </tp>
      <tp t="s">
        <v>#N/A Requesting Data...2380458543</v>
        <stp/>
        <stp>BDP|9471140668958223775</stp>
        <tr r="V40" s="89"/>
      </tp>
      <tp t="s">
        <v>#N/A N/A</v>
        <stp/>
        <stp>BDP|6270526114126903508</stp>
        <tr r="AQ16" s="2"/>
        <tr r="AQ15" s="2"/>
        <tr r="AB7" s="89"/>
        <tr r="AB8" s="89"/>
      </tp>
      <tp t="s">
        <v>#N/A Requesting Data...2516838910</v>
        <stp/>
        <stp>BDP|2974198673022627786</stp>
        <tr r="AK48" s="338"/>
        <tr r="AK49" s="338"/>
      </tp>
      <tp t="s">
        <v>#N/A Requesting Data...2274748179</v>
        <stp/>
        <stp>BDP|5183368778820171035</stp>
        <tr r="F45" s="446"/>
      </tp>
      <tp t="s">
        <v>#N/A Requesting Data...3090951533</v>
        <stp/>
        <stp>BDP|6484730828131244307</stp>
        <tr r="V26" s="89"/>
      </tp>
      <tp t="s">
        <v>#N/A Requesting Data...2405983812</v>
        <stp/>
        <stp>BDP|5678783394829319341</stp>
        <tr r="F25" s="2"/>
      </tp>
      <tp t="s">
        <v>#N/A N/A</v>
        <stp/>
        <stp>BDP|7731723300049141892</stp>
        <tr r="T187" s="89"/>
      </tp>
      <tp t="s">
        <v>#N/A N/A</v>
        <stp/>
        <stp>BDP|5223714776062803600</stp>
        <tr r="AC13" s="1"/>
      </tp>
      <tp t="s">
        <v>#N/A Requesting Data...3062256589</v>
        <stp/>
        <stp>BDP|3142121838040986004</stp>
        <tr r="T40" s="89"/>
      </tp>
      <tp t="s">
        <v>#N/A Requesting Data...3472301711</v>
        <stp/>
        <stp>BDP|3632340523775049631</stp>
        <tr r="D39" s="89"/>
      </tp>
      <tp t="s">
        <v>#N/A Requesting Data...3885522290</v>
        <stp/>
        <stp>BDP|7603021556517835487</stp>
        <tr r="AH52" s="338"/>
        <tr r="AH53" s="338"/>
        <tr r="AH54" s="338"/>
      </tp>
      <tp t="s">
        <v>#N/A Requesting Data...3781589925</v>
        <stp/>
        <stp>BDP|4388333855843269056</stp>
        <tr r="P10" s="252"/>
      </tp>
      <tp t="s">
        <v>#N/A N/A</v>
        <stp/>
        <stp>BDP|1839887775176402936</stp>
        <tr r="T17" s="2"/>
        <tr r="O75" s="89"/>
      </tp>
      <tp t="s">
        <v>#N/A Requesting Data...3546212630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Data...2308058376</v>
        <stp/>
        <stp>BDP|2790133807587110508</stp>
        <tr r="O10" s="252"/>
      </tp>
      <tp t="s">
        <v>#N/A Requesting Data...2572957403</v>
        <stp/>
        <stp>BDP|7513670475916134150</stp>
        <tr r="AG18" s="338"/>
      </tp>
      <tp t="s">
        <v>#N/A N/A</v>
        <stp/>
        <stp>BDP|9633924773914414208</stp>
        <tr r="AC4" s="2"/>
      </tp>
      <tp t="s">
        <v>#N/A Requesting Data...2452471578</v>
        <stp/>
        <stp>BDP|9843491038236897916</stp>
        <tr r="C20" s="89"/>
      </tp>
      <tp t="s">
        <v>#N/A N/A</v>
        <stp/>
        <stp>BDP|9739406253298596110</stp>
        <tr r="AI23" s="1"/>
      </tp>
      <tp t="s">
        <v>#N/A N/A</v>
        <stp/>
        <stp>BDP|1821230040030393694</stp>
        <tr r="AQ13" s="2"/>
        <tr r="AQ14" s="2"/>
        <tr r="AQ12" s="2"/>
        <tr r="AQ11" s="2"/>
        <tr r="AB62" s="89"/>
        <tr r="AB63" s="89"/>
      </tp>
      <tp t="s">
        <v>#N/A Requesting Data...2956046426</v>
        <stp/>
        <stp>BDP|6324014549174281781</stp>
        <tr r="L31" s="338"/>
        <tr r="H31" s="338"/>
        <tr r="L32" s="338"/>
        <tr r="H32" s="338"/>
      </tp>
      <tp t="s">
        <v>#N/A N/A</v>
        <stp/>
        <stp>BDP|8968284987484412739</stp>
        <tr r="AQ24" s="2"/>
        <tr r="AQ25" s="2"/>
        <tr r="AB19" s="89"/>
        <tr r="AB20" s="89"/>
      </tp>
      <tp t="s">
        <v>#N/A Requesting Data...2343248897</v>
        <stp/>
        <stp>BDP|8707806237397902583</stp>
        <tr r="S11" s="252"/>
      </tp>
      <tp t="s">
        <v>#N/A Requesting Data...3472555435</v>
        <stp/>
        <stp>BDP|2620741033323734402</stp>
        <tr r="T203" s="89"/>
      </tp>
      <tp t="s">
        <v>#N/A Requesting Data...2839103321</v>
        <stp/>
        <stp>BDP|9939228331380883944</stp>
        <tr r="G11" s="446"/>
      </tp>
      <tp t="s">
        <v>#N/A Requesting Data...2868132563</v>
        <stp/>
        <stp>BDP|2267087599569280367</stp>
        <tr r="P34" s="338"/>
      </tp>
      <tp t="s">
        <v>#N/A Requesting Data...3715107552</v>
        <stp/>
        <stp>BDP|2620429521461757456</stp>
        <tr r="AK42" s="338"/>
      </tp>
      <tp t="s">
        <v>#N/A Requesting Data...3782035296</v>
        <stp/>
        <stp>BDP|7066346967523510010</stp>
        <tr r="U9" s="338"/>
      </tp>
      <tp t="s">
        <v>#N/A N/A</v>
        <stp/>
        <stp>BDP|6497440232258298876</stp>
        <tr r="AF13" s="1"/>
      </tp>
      <tp t="s">
        <v>#N/A Requesting Data...3230908807</v>
        <stp/>
        <stp>BDP|4309165367065469727</stp>
        <tr r="E21" s="2"/>
      </tp>
      <tp t="s">
        <v>#N/A Requesting Data...3994304931</v>
        <stp/>
        <stp>BDP|7361061810540035705</stp>
        <tr r="AA16" s="2"/>
        <tr r="T8" s="89"/>
      </tp>
      <tp t="b">
        <v>0</v>
        <stp/>
        <stp>BDH|5861182373806540437</stp>
        <tr r="AP39" s="338"/>
        <tr r="AU40" s="338"/>
        <tr r="AP15" s="338"/>
      </tp>
      <tp>
        <v>4.8499999999999996</v>
        <stp/>
        <stp>BDP|118569511771704697|22</stp>
        <stp>INTC US 07/17/26 C60 Equity</stp>
        <stp>ask</stp>
        <tr r="Q19" s="2"/>
        <tr r="L195" s="89"/>
      </tp>
      <tp>
        <v>-34.53021240234375</v>
        <stp/>
        <stp>BDP|10116339062259330210|22</stp>
        <stp>1OG6P 25750 INDEX</stp>
        <stp>theta_mid_rt</stp>
        <tr r="AN22" s="2"/>
      </tp>
      <tp t="s">
        <v>#N/A Requesting Data...4268602345</v>
        <stp/>
        <stp>BDP|6219652639352291374</stp>
        <tr r="D55" s="89"/>
      </tp>
      <tp t="s">
        <v>#N/A Requesting Data...3656111847</v>
        <stp/>
        <stp>BDP|7964758820092579227</stp>
        <tr r="AJ52" s="338"/>
        <tr r="AJ53" s="338"/>
        <tr r="AJ54" s="338"/>
      </tp>
      <tp t="s">
        <v>#N/A Requesting Data...2472266834</v>
        <stp/>
        <stp>BDP|7860310106547363177</stp>
        <tr r="AA180" s="89"/>
        <tr r="Z180" s="89"/>
      </tp>
      <tp t="s">
        <v>#N/A N/A</v>
        <stp/>
        <stp>BDP|6976223375119574839</stp>
        <tr r="K53" s="1"/>
      </tp>
      <tp t="s">
        <v>#N/A Requesting Data...3262917215</v>
        <stp/>
        <stp>BDP|9060205111721083990</stp>
        <tr r="AI48" s="338"/>
        <tr r="AI49" s="338"/>
        <tr r="AK48" s="338"/>
        <tr r="AK49" s="338"/>
      </tp>
      <tp t="s">
        <v>#N/A Requesting Data...3905459586</v>
        <stp/>
        <stp>BDP|8644058243408809607</stp>
        <tr r="V49" s="338"/>
      </tp>
      <tp t="s">
        <v>#N/A Requesting Data...3436123211</v>
        <stp/>
        <stp>BDP|2721287269476965276</stp>
        <tr r="V35" s="338"/>
      </tp>
      <tp t="s">
        <v>#N/A Requesting Data...2800980549</v>
        <stp/>
        <stp>BDP|1927755561564288678</stp>
        <tr r="G45" s="446"/>
      </tp>
      <tp t="s">
        <v>#N/A Requesting Data...3399854561</v>
        <stp/>
        <stp>BDP|3284843281913962260</stp>
        <tr r="C5" s="2"/>
      </tp>
      <tp t="s">
        <v>#N/A Requesting Data...2306073656</v>
        <stp/>
        <stp>BDP|5871188314703840456</stp>
        <tr r="L11" s="338"/>
        <tr r="J11" s="338"/>
      </tp>
      <tp t="s">
        <v>#N/A Requesting Data...2643137609</v>
        <stp/>
        <stp>BDP|5728718823292467081</stp>
        <tr r="L12" s="1"/>
        <tr r="L13" s="1"/>
        <tr r="L14" s="1"/>
        <tr r="L15" s="1"/>
        <tr r="L16" s="1"/>
        <tr r="L17" s="1"/>
        <tr r="L19" s="1"/>
        <tr r="L20" s="1"/>
        <tr r="L21" s="1"/>
        <tr r="L22" s="1"/>
        <tr r="L23" s="1"/>
        <tr r="L24" s="1"/>
        <tr r="L26" s="1"/>
        <tr r="L28" s="1"/>
        <tr r="L29" s="1"/>
        <tr r="L30" s="1"/>
        <tr r="L31" s="1"/>
        <tr r="L36" s="1"/>
        <tr r="L37" s="1"/>
        <tr r="L38" s="1"/>
        <tr r="L41" s="1"/>
        <tr r="L42" s="1"/>
        <tr r="L46" s="1"/>
        <tr r="L48" s="1"/>
        <tr r="L50" s="1"/>
        <tr r="L51" s="1"/>
        <tr r="L52" s="1"/>
        <tr r="L53" s="1"/>
        <tr r="L54" s="1"/>
        <tr r="L55" s="1"/>
        <tr r="L56" s="1"/>
        <tr r="L25" s="1"/>
        <tr r="L39" s="1"/>
        <tr r="L27" s="1"/>
        <tr r="L40" s="1"/>
        <tr r="L43" s="1"/>
        <tr r="L49" s="1"/>
        <tr r="L47" s="1"/>
        <tr r="L18" s="1"/>
        <tr r="N75" s="89"/>
        <tr r="S17" s="2"/>
        <tr r="S18" s="2"/>
        <tr r="S4" s="2"/>
        <tr r="S5" s="2"/>
        <tr r="S7" s="2"/>
        <tr r="S11" s="2"/>
        <tr r="S12" s="2"/>
        <tr r="S13" s="2"/>
        <tr r="S14" s="2"/>
        <tr r="S19" s="2"/>
        <tr r="S20" s="2"/>
        <tr r="S21" s="2"/>
        <tr r="S24" s="2"/>
        <tr r="S25" s="2"/>
        <tr r="S6" s="2"/>
        <tr r="S10" s="2"/>
        <tr r="S8" s="2"/>
        <tr r="S15" s="2"/>
        <tr r="S16" s="2"/>
        <tr r="S23" s="2"/>
        <tr r="S9" s="2"/>
        <tr r="S22" s="2"/>
        <tr r="N81" s="89"/>
        <tr r="N153" s="89"/>
        <tr r="N14" s="89"/>
        <tr r="N27" s="89"/>
        <tr r="N171" s="89"/>
        <tr r="N186" s="89"/>
        <tr r="N169" s="89"/>
        <tr r="N170" s="89"/>
        <tr r="N180" s="89"/>
        <tr r="N160" s="89"/>
        <tr r="N188" s="89"/>
        <tr r="N187" s="89"/>
        <tr r="N13" s="89"/>
        <tr r="N7" s="89"/>
        <tr r="N8" s="89"/>
        <tr r="N19" s="89"/>
        <tr r="N20" s="89"/>
        <tr r="N33" s="89"/>
        <tr r="N34" s="89"/>
        <tr r="N39" s="89"/>
        <tr r="N40" s="89"/>
        <tr r="N49" s="89"/>
        <tr r="N50" s="89"/>
        <tr r="N55" s="89"/>
        <tr r="N56" s="89"/>
        <tr r="N62" s="89"/>
        <tr r="N63" s="89"/>
        <tr r="N195" s="89"/>
        <tr r="N196" s="89"/>
        <tr r="N197" s="89"/>
        <tr r="N203" s="89"/>
        <tr r="N204" s="89"/>
        <tr r="N205" s="89"/>
        <tr r="N211" s="89"/>
        <tr r="N212" s="89"/>
        <tr r="N213" s="89"/>
        <tr r="N222" s="89"/>
        <tr r="N223" s="89"/>
        <tr r="N224" s="89"/>
        <tr r="N225" s="89"/>
        <tr r="N233" s="89"/>
        <tr r="N234" s="89"/>
        <tr r="N235" s="89"/>
        <tr r="N236" s="89"/>
        <tr r="N237" s="89"/>
        <tr r="N101" s="89"/>
        <tr r="N102" s="89"/>
        <tr r="N76" s="89"/>
        <tr r="N82" s="89"/>
        <tr r="N95" s="89"/>
      </tp>
      <tp t="s">
        <v>#N/A Requesting Data...2575153500</v>
        <stp/>
        <stp>BDP|5145625159843494775</stp>
        <tr r="P10" s="338"/>
      </tp>
      <tp t="b">
        <v>0</v>
        <stp/>
        <stp>BDH|8686966309990793375</stp>
        <tr r="AP42" s="338"/>
        <tr r="AP41" s="338"/>
      </tp>
      <tp t="b">
        <v>0</v>
        <stp/>
        <stp>BDH|3675719165174216492</stp>
        <tr r="AP12" s="338"/>
      </tp>
      <tp t="s">
        <v>#N/A Requesting Data...3797975883</v>
        <stp/>
        <stp>BDP|5676239072204174683</stp>
        <tr r="AA233" s="89"/>
        <tr r="Z233" s="89"/>
      </tp>
      <tp t="s">
        <v>#N/A Requesting Data...4021257134</v>
        <stp/>
        <stp>BDP|4413248519100279551</stp>
        <tr r="AD6" s="2"/>
      </tp>
      <tp t="s">
        <v>#N/A Requesting Data...3574338713</v>
        <stp/>
        <stp>BDP|9919677548080032985</stp>
        <tr r="G44" s="446"/>
      </tp>
      <tp t="s">
        <v>#N/A Requesting Data...2694531265</v>
        <stp/>
        <stp>BDP|4467660168477272163</stp>
        <tr r="Q10" s="338"/>
      </tp>
      <tp t="s">
        <v>#N/A Requesting Data...2451137467</v>
        <stp/>
        <stp>BDP|3371693940045698635</stp>
        <tr r="V123" s="89"/>
      </tp>
      <tp t="s">
        <v>#N/A Requesting Data...2999333213</v>
        <stp/>
        <stp>BDP|8428913731466273690</stp>
        <tr r="L8" s="252"/>
        <tr r="L8" s="252"/>
      </tp>
      <tp t="s">
        <v>#N/A Requesting Data...2420528196</v>
        <stp/>
        <stp>BDP|6223131064210098392</stp>
        <tr r="V14" s="338"/>
      </tp>
      <tp t="s">
        <v>#N/A N/A</v>
        <stp/>
        <stp>BDP|3289149679383755445</stp>
        <tr r="AC40" s="1"/>
        <tr r="AC41" s="1"/>
      </tp>
      <tp t="s">
        <v>#N/A Requesting Data...4106521312</v>
        <stp/>
        <stp>BDP|5711442923249525894</stp>
        <tr r="C50" s="89"/>
      </tp>
      <tp t="s">
        <v>#N/A Requesting Data...2427142136</v>
        <stp/>
        <stp>BDP|3910223521378009966</stp>
        <tr r="N11" s="252"/>
        <tr r="N11" s="252"/>
      </tp>
      <tp t="s">
        <v>#N/A Requesting Data...4038092287</v>
        <stp/>
        <stp>BDP|5024341343609931931</stp>
        <tr r="AJ41" s="338"/>
        <tr r="AJ42" s="338"/>
      </tp>
      <tp t="s">
        <v>#N/A Requesting Data...3440619186</v>
        <stp/>
        <stp>BDP|2109542547769740886</stp>
        <tr r="AI29" s="338"/>
        <tr r="AK29" s="338"/>
      </tp>
      <tp t="s">
        <v>#N/A Requesting Data...3605626685</v>
        <stp/>
        <stp>BDP|3213171497998766175</stp>
        <tr r="E69" s="89"/>
      </tp>
      <tp t="s">
        <v>#N/A N/A</v>
        <stp/>
        <stp>BDP|6172070853435387447</stp>
        <tr r="AB46" s="1"/>
        <tr r="AB47" s="1"/>
      </tp>
      <tp t="s">
        <v>#N/A Requesting Data...3117187855</v>
        <stp/>
        <stp>BDP|4636653477250550732</stp>
        <tr r="G31" s="446"/>
      </tp>
      <tp t="s">
        <v>#N/A N/A</v>
        <stp/>
        <stp>BDP|5714451203842663158</stp>
        <tr r="K8" s="1"/>
      </tp>
      <tp t="s">
        <v>#N/A Requesting Data...2991151114</v>
        <stp/>
        <stp>BDP|4880433377190901556</stp>
        <tr r="E115" s="89"/>
      </tp>
      <tp t="s">
        <v>#N/A N/A</v>
        <stp/>
        <stp>BDP|2461221557186208139</stp>
        <tr r="C187" s="89"/>
      </tp>
      <tp t="s">
        <v>#N/A Requesting Data...2327228306</v>
        <stp/>
        <stp>BDP|4772481059877400045</stp>
        <tr r="C33" s="89"/>
      </tp>
      <tp t="s">
        <v>#N/A Requesting Data...4235828187</v>
        <stp/>
        <stp>BDP|3519061147724655148</stp>
        <tr r="AJ31" s="338"/>
        <tr r="AJ32" s="338"/>
      </tp>
      <tp t="s">
        <v>#N/A Requesting Data...3439948293</v>
        <stp/>
        <stp>BDP|5004075054785617732</stp>
        <tr r="Q52" s="338"/>
      </tp>
      <tp t="s">
        <v>#N/A Requesting Data...4165756764</v>
        <stp/>
        <stp>BDP|1861574508736334034</stp>
        <tr r="AA204" s="89"/>
        <tr r="Z204" s="89"/>
      </tp>
      <tp t="s">
        <v>#N/A Requesting Data...2951964409</v>
        <stp/>
        <stp>BDP|9125333988758543887</stp>
        <tr r="AJ17" s="338"/>
        <tr r="AJ18" s="338"/>
      </tp>
      <tp t="s">
        <v>#N/A Requesting Data...2996414970</v>
        <stp/>
        <stp>BDP|7289119458332502394</stp>
        <tr r="O26" s="89"/>
      </tp>
      <tp t="b">
        <v>0</v>
        <stp/>
        <stp>BDH|2049817696900557153</stp>
        <tr r="AR44" s="338"/>
        <tr r="AR38" s="338"/>
        <tr r="AR52" s="338"/>
        <tr r="AR17" s="338"/>
        <tr r="AR16" s="338"/>
        <tr r="AR15" s="338"/>
        <tr r="AR39" s="338"/>
      </tp>
      <tp t="s">
        <v>#N/A Requesting Data...2963478504</v>
        <stp/>
        <stp>BDP|3704402235085322359</stp>
        <tr r="AA8" s="89"/>
        <tr r="Z8" s="89"/>
      </tp>
      <tp t="s">
        <v>#N/A Requesting Data...2380234839</v>
        <stp/>
        <stp>BDP|7134890756011396990</stp>
        <tr r="L45" s="338"/>
        <tr r="J45" s="338"/>
      </tp>
      <tp t="s">
        <v>#N/A N/A</v>
        <stp/>
        <stp>BDP|7828293524842926786</stp>
        <tr r="AI44" s="1"/>
        <tr r="AI45" s="1"/>
      </tp>
      <tp t="s">
        <v>#N/A Requesting Data...3854934681</v>
        <stp/>
        <stp>BDP|2307633905712170406</stp>
        <tr r="P46" s="338"/>
      </tp>
      <tp t="b">
        <v>0</v>
        <stp/>
        <stp>BDH|5104128872084737522</stp>
        <tr r="AS9" s="338"/>
      </tp>
      <tp t="s">
        <v>#N/A Requesting Data...2594246694</v>
        <stp/>
        <stp>BDP|1745105964653097761</stp>
        <tr r="E26" s="89"/>
      </tp>
      <tp t="s">
        <v>#N/A Requesting Data...2583387738</v>
        <stp/>
        <stp>BDP|3773131274556681138</stp>
        <tr r="E205" s="89"/>
        <tr r="E213" s="89"/>
      </tp>
      <tp>
        <v>4.0999999999999996</v>
        <stp/>
        <stp>BDP|16278285412802013296|22</stp>
        <stp>MSFT US 02/20/26 P410 Equity</stp>
        <stp>ask</stp>
        <tr r="L205" s="89"/>
        <tr r="L213" s="89"/>
      </tp>
      <tp t="s">
        <v>#N/A Real Time</v>
        <stp/>
        <stp>BDP|7002617886444187304|22</stp>
        <stp>RUWZ5 Index</stp>
        <stp>LAST_PRICE</stp>
        <tr r="S144" s="89"/>
        <tr r="S145" s="89"/>
      </tp>
      <tp>
        <v>25874.25</v>
        <stp/>
        <stp>BDP|14594273167499033517|22</stp>
        <stp>1OH6 INDEX</stp>
        <stp>LAST_PRICE</stp>
        <tr r="Z23" s="2"/>
        <tr r="Z22" s="2"/>
      </tp>
      <tp>
        <v>160</v>
        <stp/>
        <stp>BDP|3522296436653876589|22</stp>
        <stp>1OG6P 25750 INDEX</stp>
        <stp>mid</stp>
        <tr r="L22" s="2"/>
      </tp>
      <tp t="s">
        <v>#N/A N/A</v>
        <stp/>
        <stp>BDP|4669365388388290407</stp>
        <tr r="K19" s="1"/>
        <tr r="K5" s="1"/>
      </tp>
      <tp t="s">
        <v>#N/A Requesting Data...3523369419</v>
        <stp/>
        <stp>BDP|1294995983457020437</stp>
        <tr r="E222" s="89"/>
      </tp>
      <tp t="s">
        <v>#N/A Requesting Data...3494617696</v>
        <stp/>
        <stp>BDP|2591422732557732191</stp>
        <tr r="L13" s="338"/>
        <tr r="L34" s="338"/>
        <tr r="H13" s="338"/>
        <tr r="H34" s="338"/>
      </tp>
      <tp t="s">
        <v>#N/A N/A</v>
        <stp/>
        <stp>BDP|3208325823773954213</stp>
        <tr r="K13" s="1"/>
      </tp>
      <tp t="b">
        <v>0</v>
        <stp/>
        <stp>BDH|1645364258676295224</stp>
        <tr r="AU9" s="338"/>
      </tp>
      <tp t="s">
        <v>#N/A Requesting Data...2935952525</v>
        <stp/>
        <stp>BDP|7919916036548158668</stp>
        <tr r="AI9" s="338"/>
        <tr r="AK9" s="338"/>
      </tp>
      <tp t="s">
        <v>#N/A Requesting Data...3032656292</v>
        <stp/>
        <stp>BDP|6641086402735089052</stp>
        <tr r="Q34" s="338"/>
      </tp>
      <tp t="s">
        <v>#N/A Requesting Data...2275219606</v>
        <stp/>
        <stp>BDP|5970596063913968630</stp>
        <tr r="AG30" s="338"/>
      </tp>
      <tp t="s">
        <v>#N/A Requesting Data...4115338151</v>
        <stp/>
        <stp>BDP|7170630364126625297</stp>
        <tr r="S52" s="338"/>
      </tp>
      <tp t="s">
        <v>#N/A N/A</v>
        <stp/>
        <stp>BDP|7115677759757668004</stp>
        <tr r="AC52" s="1"/>
      </tp>
      <tp t="s">
        <v>#N/A Requesting Data...2725796435</v>
        <stp/>
        <stp>BDP|3754293213215371607</stp>
        <tr r="AB21" s="1"/>
        <tr r="AB22" s="1"/>
        <tr r="F5" s="446"/>
        <tr r="F6" s="446"/>
      </tp>
      <tp t="s">
        <v>#N/A Requesting Data...4268976253</v>
        <stp/>
        <stp>BDP|2213180314153111209</stp>
        <tr r="AF19" s="1"/>
        <tr r="AF20" s="1"/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Data...2500532061</v>
        <stp/>
        <stp>BDP|6716369783157547983</stp>
        <tr r="V234" s="89"/>
      </tp>
      <tp t="s">
        <v>#N/A N/A</v>
        <stp/>
        <stp>BDP|9588206623063881918</stp>
        <tr r="AF50" s="1"/>
      </tp>
      <tp t="s">
        <v>#N/A Requesting Data...2714916317</v>
        <stp/>
        <stp>BDP|7360582975363056511</stp>
        <tr r="AA211" s="89"/>
        <tr r="Z211" s="89"/>
      </tp>
      <tp t="s">
        <v>#N/A Requesting Data...2965967840</v>
        <stp/>
        <stp>BDP|9390709548618762108</stp>
        <tr r="N6" s="252"/>
        <tr r="N6" s="252"/>
      </tp>
      <tp t="s">
        <v>#N/A Requesting Data...3095989456</v>
        <stp/>
        <stp>BDP|7796453577674837314</stp>
        <tr r="U44" s="338"/>
      </tp>
      <tp t="s">
        <v>#N/A Requesting Data...4001122485</v>
        <stp/>
        <stp>BDP|7961266924697349349</stp>
        <tr r="X36" s="338"/>
      </tp>
      <tp t="s">
        <v>#N/A Requesting Data...3098883330</v>
        <stp/>
        <stp>BDP|7659781264157478228</stp>
        <tr r="D95" s="89"/>
      </tp>
      <tp t="s">
        <v>#N/A Requesting Data...2756504307</v>
        <stp/>
        <stp>BDP|7777047645317887721</stp>
        <tr r="V145" s="89"/>
      </tp>
      <tp t="s">
        <v>#N/A Requesting Data...3559283871</v>
        <stp/>
        <stp>BDP|2793585885519216544</stp>
        <tr r="L19" s="252"/>
        <tr r="L19" s="252"/>
      </tp>
      <tp t="s">
        <v>#N/A N/A</v>
        <stp/>
        <stp>BDP|6656321318004406344</stp>
        <tr r="AA76" s="89"/>
        <tr r="Z76" s="89"/>
      </tp>
      <tp t="s">
        <v>#N/A Requesting Data...2913273198</v>
        <stp/>
        <stp>BDP|8230930209200509213</stp>
        <tr r="X30" s="338"/>
      </tp>
      <tp t="s">
        <v>#N/A Requesting Data...3619382635</v>
        <stp/>
        <stp>BDP|4504254438877448117</stp>
        <tr r="D203" s="89"/>
      </tp>
      <tp t="s">
        <v>#N/A Requesting Data...2966570611</v>
        <stp/>
        <stp>BDP|2987243114927275566</stp>
        <tr r="E63" s="89"/>
      </tp>
      <tp t="s">
        <v>#N/A Requesting Data...3905274578</v>
        <stp/>
        <stp>BDP|9739316558495716945</stp>
        <tr r="T7" s="2"/>
      </tp>
      <tp t="s">
        <v>#N/A Requesting Data...3877185815</v>
        <stp/>
        <stp>BDP|6169555274102368514</stp>
        <tr r="S10" s="338"/>
      </tp>
      <tp t="s">
        <v>#N/A Requesting Data...2946956594</v>
        <stp/>
        <stp>BDP|2465258476870377467</stp>
        <tr r="Z122" s="89"/>
        <tr r="AA122" s="89"/>
      </tp>
      <tp t="b">
        <v>0</v>
        <stp/>
        <stp>BDH|2271613782657307805</stp>
        <tr r="AN18" s="338"/>
        <tr r="AN17" s="338"/>
      </tp>
      <tp t="s">
        <v>#N/A Requesting Data...2585011168</v>
        <stp/>
        <stp>BDP|8020332285295353568</stp>
        <tr r="P32" s="338"/>
      </tp>
      <tp t="s">
        <v>#N/A N/A</v>
        <stp/>
        <stp>BDP|6376778446973934587</stp>
        <tr r="V186" s="89"/>
      </tp>
      <tp t="s">
        <v>#N/A Requesting Data...3903692650</v>
        <stp/>
        <stp>BDP|1891482215573037468</stp>
        <tr r="T204" s="89"/>
      </tp>
      <tp t="s">
        <v>#N/A Requesting Data...2478628471</v>
        <stp/>
        <stp>BDP|2434188206592879222</stp>
        <tr r="F8" s="2"/>
        <tr r="F9" s="2"/>
      </tp>
      <tp t="s">
        <v>#N/A N/A</v>
        <stp/>
        <stp>BDP|3712593953265415595</stp>
        <tr r="K23" s="1"/>
      </tp>
      <tp t="b">
        <v>0</v>
        <stp/>
        <stp>BDH|9734332309070989940</stp>
        <tr r="AR13" s="338"/>
      </tp>
      <tp t="s">
        <v>#N/A Requesting Data...3592920978</v>
        <stp/>
        <stp>BDP|1486674387064710827</stp>
        <tr r="AK14" s="338"/>
        <tr r="AI55" s="338"/>
        <tr r="AI14" s="338"/>
        <tr r="AH55" s="338"/>
        <tr r="AJ55" s="338"/>
        <tr r="AK55" s="338"/>
      </tp>
      <tp t="s">
        <v>#N/A Requesting Data...2401407271</v>
        <stp/>
        <stp>BDP|5888175656914033689</stp>
        <tr r="AA24" s="2"/>
      </tp>
      <tp t="s">
        <v>#N/A Requesting Data...2640522103</v>
        <stp/>
        <stp>BDP|1111234221652305017</stp>
        <tr r="AD7" s="2"/>
      </tp>
      <tp t="s">
        <v>#N/A Requesting Data...4005828965</v>
        <stp/>
        <stp>BDP|6109913190467097261</stp>
        <tr r="AF30" s="1"/>
        <tr r="AF31" s="1"/>
        <tr r="AG32" s="338"/>
        <tr r="AG46" s="338"/>
        <tr r="AG50" s="338"/>
        <tr r="AG8" s="338"/>
      </tp>
      <tp t="s">
        <v>#N/A Requesting Data...2345431781</v>
        <stp/>
        <stp>BDP|5764387578793708167</stp>
        <tr r="M20" s="252"/>
      </tp>
      <tp t="s">
        <v>#N/A N/A</v>
        <stp/>
        <stp>BDP|6515604110606525460</stp>
        <tr r="AC55" s="1"/>
      </tp>
      <tp t="s">
        <v>#N/A Requesting Data...3108404220</v>
        <stp/>
        <stp>BDP|6555173421444373279</stp>
        <tr r="AI13" s="338"/>
      </tp>
      <tp t="s">
        <v>#N/A N/A</v>
        <stp/>
        <stp>BDP|7972065628667005104</stp>
        <tr r="C188" s="89"/>
      </tp>
      <tp t="s">
        <v>#N/A Requesting Data...2989278989</v>
        <stp/>
        <stp>BDP|9226344490726854691</stp>
        <tr r="E101" s="89"/>
      </tp>
      <tp t="s">
        <v>#N/A N/A</v>
        <stp/>
        <stp>BDP|6281575064076017068</stp>
        <tr r="AC14" s="1"/>
      </tp>
      <tp t="s">
        <v>#N/A Requesting Data...3050597544</v>
        <stp/>
        <stp>BDP|6247087616267870331</stp>
        <tr r="AH29" s="338"/>
        <tr r="AH30" s="338"/>
      </tp>
      <tp t="s">
        <v>#N/A Requesting Data...2928242589</v>
        <stp/>
        <stp>BDP|4307029492407618910</stp>
        <tr r="AK45" s="338"/>
      </tp>
      <tp t="s">
        <v>#N/A Requesting Data...2612907158</v>
        <stp/>
        <stp>BDP|8245865345547421013</stp>
        <tr r="AC29" s="1"/>
        <tr r="D30" s="446"/>
      </tp>
      <tp>
        <v>75.73</v>
        <stp/>
        <stp>BDP|8491242153513196784|22</stp>
        <stp>SHEL Equity</stp>
        <stp>LAST PRICE</stp>
        <tr r="I30" s="338"/>
      </tp>
      <tp>
        <v>89.25</v>
        <stp/>
        <stp>BDP|18176311034118889492|22</stp>
        <stp>META US 07/17/26 C670 Equity</stp>
        <stp>ask</stp>
        <tr r="L170" s="89"/>
      </tp>
      <tp t="s">
        <v>#N/A Real Time</v>
        <stp/>
        <stp>BDP|176778424576207183|22</stp>
        <stp>4OK5C 21650 Index</stp>
        <stp>QUOTED_CURRENCY_REALTIME</stp>
        <tr r="F116" s="89"/>
      </tp>
      <tp>
        <v>423.37</v>
        <stp/>
        <stp>BDP|9988051122657863096|22</stp>
        <stp>MSFT US Equity</stp>
        <stp>LAST_PRICE</stp>
        <tr r="S203" s="89"/>
        <tr r="S204" s="89"/>
        <tr r="S205" s="89"/>
        <tr r="S211" s="89"/>
        <tr r="S212" s="89"/>
        <tr r="S235" s="89"/>
        <tr r="S213" s="89"/>
      </tp>
      <tp>
        <v>19.600000000000001</v>
        <stp/>
        <stp>BDP|13077608409888620624|22</stp>
        <stp>NVDA US 07/17/26 C195 Equity</stp>
        <stp>bid</stp>
        <tr r="K237" s="89"/>
      </tp>
      <tp>
        <v>-0.1118551641702652</v>
        <stp/>
        <stp>BDP|12098786877158670568|22</stp>
        <stp>TSM US 06/18/26 C340 Equity</stp>
        <stp>theta_mid_rt</stp>
        <tr r="AN24" s="2"/>
      </tp>
      <tp>
        <v>-0.40436765551567078</v>
        <stp/>
        <stp>BDP|9827771439321694053|22</stp>
        <stp>1OG6P 25750 INDEX</stp>
        <stp>DELTA_MID_RT</stp>
        <tr r="AF22" s="2"/>
      </tp>
      <tp t="s">
        <v>USD</v>
        <stp/>
        <stp>BDP|15742101950255539597|22</stp>
        <stp>MSFT US 02/20/26 P410 Equity</stp>
        <stp>QUOTED_CURRENCY_REALTIME</stp>
        <tr r="F205" s="89"/>
        <tr r="F213" s="89"/>
      </tp>
      <tp>
        <v>8.0500000000000007</v>
        <stp/>
        <stp>BDP|15563065055018194263|22</stp>
        <stp>INTC US 07/17/26 C50 Equity</stp>
        <stp>ask</stp>
        <tr r="Q20" s="2"/>
        <tr r="L196" s="89"/>
      </tp>
      <tp>
        <v>423.37</v>
        <stp/>
        <stp>BDP|1720488993946020104|22</stp>
        <stp>MSFT Equity</stp>
        <stp>LAST PRICE</stp>
        <tr r="G8" s="338"/>
        <tr r="G9" s="338"/>
      </tp>
      <tp t="s">
        <v>#N/A Real Time</v>
        <stp/>
        <stp>BDP|11962745817142531480|22</stp>
        <stp>SCH5C   6250 Index</stp>
        <stp>QUOTED_CURRENCY_REALTIME</stp>
        <tr r="F96" s="89"/>
      </tp>
      <tp t="s">
        <v>USD</v>
        <stp/>
        <stp>BDP|15807974610555755775|22</stp>
        <stp>MRVL US 03/20/26 P85 Equity</stp>
        <stp>QUOTED_CURRENCY_REALTIME</stp>
        <tr r="G11" s="2"/>
      </tp>
      <tp>
        <v>9080.19</v>
        <stp/>
        <stp>BDP|8345363860153837789|22</stp>
        <stp>HSCEI Index</stp>
        <stp>LAST_PRICE</stp>
        <tr r="H19" s="252"/>
        <tr r="H19" s="252"/>
      </tp>
      <tp>
        <v>3.06</v>
        <stp/>
        <stp>BDP|16635244585526588457|22</stp>
        <stp>MRVL US 03/20/26 P70 Equity</stp>
        <stp>mid</stp>
        <tr r="L14" s="2"/>
      </tp>
      <tp>
        <v>16.2</v>
        <stp/>
        <stp>BDP|11549499930516457816|22</stp>
        <stp>AVGO US 06/18/26 C410 Equity</stp>
        <stp>bid</stp>
        <tr r="K222" s="89"/>
      </tp>
      <tp>
        <v>10.6</v>
        <stp/>
        <stp>BDP|16199323523634865039|22</stp>
        <stp>MRVL US 03/20/26 P85 Equity</stp>
        <stp>mid</stp>
        <tr r="L11" s="2"/>
      </tp>
      <tp>
        <v>33.799999999999997</v>
        <stp/>
        <stp>BDP|17652529992752880187|22</stp>
        <stp>AVGO US 06/18/26 C350 Equity</stp>
        <stp>bid</stp>
        <tr r="P5" s="2"/>
        <tr r="K223" s="89"/>
      </tp>
      <tp t="s">
        <v>USD</v>
        <stp/>
        <stp>BDP|15044284398524356946|22</stp>
        <stp>GOOG US 07/17/26 C350 Equity</stp>
        <stp>QUOTED_CURRENCY_REALTIME</stp>
        <tr r="F236" s="89"/>
      </tp>
      <tp>
        <v>0.11</v>
        <stp/>
        <stp>BDP|15901604230708554053|22</stp>
        <stp>ASHR US 02/20/26 C35 Equity</stp>
        <stp>mid</stp>
        <tr r="L4" s="2"/>
      </tp>
      <tp>
        <v>119.16</v>
        <stp/>
        <stp>BDP|9714868770676517625|22</stp>
        <stp>DELL US Equity</stp>
        <stp>LAST_PRICE</stp>
        <tr r="S50" s="89"/>
        <tr r="S49" s="89"/>
      </tp>
      <tp>
        <v>1.8</v>
        <stp/>
        <stp>BDP|16792203569454591866|22</stp>
        <stp>QQQ US 02/06/26 P615 Equity</stp>
        <stp>ask</stp>
        <tr r="L76" s="89"/>
        <tr r="Q18" s="2"/>
      </tp>
      <tp>
        <v>-0.18607763946056366</v>
        <stp/>
        <stp>BDP|7815535696147585871|22</stp>
        <stp>META US 07/17/26 C750 Equity</stp>
        <stp>theta_mid_rt</stp>
        <tr r="AN8" s="2"/>
        <tr r="AN9" s="2"/>
      </tp>
      <tp t="s">
        <v>USD</v>
        <stp/>
        <stp>BDP|14649358559893085324|22</stp>
        <stp>AVGO US 06/18/26 C350 Equity</stp>
        <stp>QUOTED_CURRENCY_REALTIME</stp>
        <tr r="G5" s="2"/>
        <tr r="F223" s="89"/>
      </tp>
      <tp>
        <v>3.15</v>
        <stp/>
        <stp>BDP|15925931344332195569|22</stp>
        <stp>MRVL US 03/20/26 P70 Equity</stp>
        <stp>ask</stp>
        <tr r="Q14" s="2"/>
        <tr r="L63" s="89"/>
      </tp>
      <tp>
        <v>10.45</v>
        <stp/>
        <stp>BDP|10246542437065037496|22</stp>
        <stp>MRVL US 03/20/26 P85 Equity</stp>
        <stp>bid</stp>
        <tr r="P11" s="2"/>
      </tp>
      <tp t="s">
        <v>#N/A Real Time</v>
        <stp/>
        <stp>BDP|10445519633806217931|22</stp>
        <stp>QQQ US 01/15/26 P623 Equity</stp>
        <stp>bid</stp>
        <tr r="K68" s="89"/>
      </tp>
      <tp t="s">
        <v>USD</v>
        <stp/>
        <stp>BDP|15517053885309908143|22</stp>
        <stp>NVDA US 07/17/26 C195 Equity</stp>
        <stp>QUOTED_CURRENCY_REALTIME</stp>
        <tr r="F237" s="89"/>
      </tp>
      <tp t="s">
        <v>USD</v>
        <stp/>
        <stp>BDP|16138004719282524725|22</stp>
        <stp>MSFT US 02/20/26 C450 Equity</stp>
        <stp>QUOTED_CURRENCY_REALTIME</stp>
        <tr r="F203" s="89"/>
      </tp>
      <tp>
        <v>2.16</v>
        <stp/>
        <stp>BDP|10691487052039370592|22</stp>
        <stp>MSFT US 02/20/26 C445 Equity</stp>
        <stp>ask</stp>
        <tr r="L211" s="89"/>
      </tp>
      <tp>
        <v>19.350000000000001</v>
        <stp/>
        <stp>BDP|982929759879592273|22</stp>
        <stp>TSM US 06/18/26 C380 Equity</stp>
        <stp>bid</stp>
        <tr r="P25" s="2"/>
      </tp>
      <tp>
        <v>7.35</v>
        <stp/>
        <stp>BDP|12289700020985263311|22</stp>
        <stp>MRVL US 03/20/26 P80 Equity</stp>
        <stp>bid</stp>
        <tr r="P13" s="2"/>
        <tr r="K62" s="89"/>
      </tp>
      <tp>
        <v>3.85</v>
        <stp/>
        <stp>BDP|11917333202169015547|22</stp>
        <stp>QQQ US 02/06/26 P624 Equity</stp>
        <stp>bid</stp>
        <tr r="K188" s="89"/>
      </tp>
      <tp>
        <v>696.9008</v>
        <stp/>
        <stp>BDP|12318182968788510555|22</stp>
        <stp>NDEUCHF Index</stp>
        <stp>LAST_PRICE</stp>
        <tr r="H16" s="252"/>
        <tr r="H16" s="252"/>
      </tp>
      <tp>
        <v>344.9</v>
        <stp/>
        <stp>BDP|2010687940946133293|22</stp>
        <stp>GOOG US Equity</stp>
        <stp>LAST_PRICE</stp>
        <tr r="S236" s="89"/>
      </tp>
      <tp>
        <v>0.23</v>
        <stp/>
        <stp>BDP|11111265580234639760|22</stp>
        <stp>DELL US 02/06/26 P110 Equity</stp>
        <stp>bid</stp>
        <tr r="K50" s="89"/>
      </tp>
      <tp>
        <v>423.37</v>
        <stp/>
        <stp>BDP|1912830234697829517|22</stp>
        <stp>MSFT Equity</stp>
        <stp>LAST_PRICE</stp>
        <tr r="I29" s="1"/>
      </tp>
      <tp>
        <v>104.54</v>
        <stp/>
        <stp>BDP|11511261369815685982|22</stp>
        <stp>QQQE EQUITY</stp>
        <stp>LAST_PRICE</stp>
        <tr r="I7" s="1"/>
      </tp>
      <tp t="s">
        <v>USD</v>
        <stp/>
        <stp>BDP|13882225679450827566|22</stp>
        <stp>MSFT US 02/20/26 C435 Equity</stp>
        <stp>QUOTED_CURRENCY_REALTIME</stp>
        <tr r="F204" s="89"/>
      </tp>
      <tp>
        <v>2.78</v>
        <stp/>
        <stp>BDP|18327239748666501329|22</stp>
        <stp>QQQ US 02/06/26 P620 Equity</stp>
        <stp>ask</stp>
        <tr r="L75" s="89"/>
        <tr r="Q17" s="2"/>
      </tp>
      <tp t="s">
        <v>#N/A N/A</v>
        <stp/>
        <stp>BDP|16590675390541093976|22</stp>
        <stp>QQQ US 02/02/26 P624 Equity</stp>
        <stp>bid</stp>
        <tr r="K82" s="89"/>
      </tp>
      <tp t="s">
        <v>#N/A Requesting Data...2893485000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>
        <v>4.97</v>
        <stp/>
        <stp>BDP|14841963169371507253|22</stp>
        <stp>MRVL US 03/20/26 P75 Equity</stp>
        <stp>mid</stp>
        <tr r="L12" s="2"/>
      </tp>
      <tp>
        <v>270.01</v>
        <stp/>
        <stp>BDP|13852632459561529635|22</stp>
        <stp>AAPL EQUITY</stp>
        <stp>LAST_PRICE</stp>
        <tr r="C6" s="1"/>
      </tp>
      <tp>
        <v>36658.57</v>
        <stp/>
        <stp>BDP|4029547894834693880|22</stp>
        <stp>TXIN0UNU Index</stp>
        <stp>LAST_PRICE</stp>
        <tr r="H10" s="252"/>
        <tr r="H10" s="252"/>
      </tp>
      <tp t="s">
        <v>USD</v>
        <stp/>
        <stp>BDP|3263925161699445113|22</stp>
        <stp>NVDA US 02/06/26 C197.5 Equity</stp>
        <stp>QUOTED_CURRENCY_REALTIME</stp>
        <tr r="F33" s="89"/>
      </tp>
      <tp>
        <v>1</v>
        <stp/>
        <stp>BDP|15215339532765560763|22</stp>
        <stp>DELL US 02/06/26 P115 Equity</stp>
        <stp>bid</stp>
        <tr r="K49" s="89"/>
      </tp>
      <tp>
        <v>555.37</v>
        <stp/>
        <stp>BDP|9828940858298145952|22</stp>
        <stp>MA Equity</stp>
        <stp>LAST PRICE</stp>
        <tr r="G16" s="338"/>
        <tr r="G38" s="338"/>
        <tr r="G40" s="338"/>
      </tp>
      <tp>
        <v>148.57</v>
        <stp/>
        <stp>BDP|7581686725725045071|22</stp>
        <stp>BIDU Equity</stp>
        <stp>LAST_PRICE</stp>
        <tr r="I13" s="1"/>
      </tp>
      <tp>
        <v>-0.18644461035728455</v>
        <stp/>
        <stp>BDP|3838306440182995341|22</stp>
        <stp>META US 07/17/26 C700 Equity</stp>
        <stp>theta_mid_rt</stp>
        <tr r="AN10" s="2"/>
      </tp>
      <tp t="s">
        <v>#N/A Real Time</v>
        <stp/>
        <stp>BDP|790178945972254236|22</stp>
        <stp>IMBWK5C4 5840 Index</stp>
        <stp>QUOTED_CURRENCY_REALTIME</stp>
        <tr r="F89" s="89"/>
      </tp>
      <tp t="s">
        <v>USD</v>
        <stp/>
        <stp>BDP|12492213811966261198|22</stp>
        <stp>DELL US 02/06/26 P110 Equity</stp>
        <stp>QUOTED_CURRENCY_REALTIME</stp>
        <tr r="F50" s="89"/>
      </tp>
      <tp t="s">
        <v>USD</v>
        <stp/>
        <stp>BDP|13270901624241508025|22</stp>
        <stp>AMAT US 01/23/26 P280 Equity</stp>
        <stp>QUOTED_CURRENCY_REALTIME</stp>
        <tr r="F56" s="89"/>
      </tp>
      <tp>
        <v>5.0999999999999996</v>
        <stp/>
        <stp>BDP|17311283871303777118|22</stp>
        <stp>MRVL US 03/20/26 P75 Equity</stp>
        <stp>ask</stp>
        <tr r="Q12" s="2"/>
      </tp>
      <tp>
        <v>0.03</v>
        <stp/>
        <stp>BDP|11546932509834899026|22</stp>
        <stp>AMAT US 01/23/26 P290 Equity</stp>
        <stp>ask</stp>
        <tr r="L55" s="89"/>
      </tp>
      <tp>
        <v>16.649999999999999</v>
        <stp/>
        <stp>BDP|13407383351402000483|22</stp>
        <stp>AVGO US 06/18/26 C410 Equity</stp>
        <stp>ask</stp>
        <tr r="L222" s="89"/>
      </tp>
      <tp>
        <v>185.61</v>
        <stp/>
        <stp>BDP|2630581548609766860|22</stp>
        <stp>NVDA US Equity</stp>
        <stp>LAST_PRICE</stp>
        <tr r="S34" s="89"/>
        <tr r="S40" s="89"/>
        <tr r="Z6" s="2"/>
        <tr r="S237" s="89"/>
        <tr r="S39" s="89"/>
        <tr r="S33" s="89"/>
      </tp>
      <tp t="s">
        <v>USD</v>
        <stp/>
        <stp>BDP|16004856901519448852|22</stp>
        <stp>INTC US 07/17/26 C60 Equity</stp>
        <stp>QUOTED_CURRENCY_REALTIME</stp>
        <tr r="G19" s="2"/>
        <tr r="F195" s="89"/>
      </tp>
      <tp>
        <v>343.69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F222" s="89"/>
      </tp>
      <tp>
        <v>487.29</v>
        <stp/>
        <stp>BDP|16804995271076659285|22</stp>
        <stp>BRK/B Equity</stp>
        <stp>LAST PRICE</stp>
        <tr r="I18" s="338"/>
      </tp>
      <tp>
        <v>10.75</v>
        <stp/>
        <stp>BDP|13966874951199659074|22</stp>
        <stp>MRVL US 03/20/26 P85 Equity</stp>
        <stp>ask</stp>
        <tr r="Q11" s="2"/>
      </tp>
      <tp>
        <v>34.35</v>
        <stp/>
        <stp>BDP|16021407028720881249|22</stp>
        <stp>AVGO US 06/18/26 C350 Equity</stp>
        <stp>ask</stp>
        <tr r="Q5" s="2"/>
        <tr r="L223" s="89"/>
      </tp>
      <tp>
        <v>173.38</v>
        <stp/>
        <stp>BDP|6290765801174780597|22</stp>
        <stp>WDAY Equity</stp>
        <stp>LAST PRICE</stp>
        <tr r="L10" s="446"/>
      </tp>
      <tp>
        <v>0.19</v>
        <stp/>
        <stp>BDP|12042499060543611620|22</stp>
        <stp>NVDA US 02/13/26 C210 Equity</stp>
        <stp>bid</stp>
        <tr r="K40" s="89"/>
      </tp>
      <tp>
        <v>0.64</v>
        <stp/>
        <stp>BDP|15563000227893054160|22</stp>
        <stp>NVDA US 02/06/26 C195 Equity</stp>
        <stp>bid</stp>
        <tr r="K39" s="89"/>
      </tp>
      <tp>
        <v>6976.44</v>
        <stp/>
        <stp>BDP|2596990609892593565|22</stp>
        <stp>SPX Index</stp>
        <stp>LAST_PRICE</stp>
        <tr r="S160" s="89"/>
      </tp>
      <tp t="s">
        <v>#N/A Real Time</v>
        <stp/>
        <stp>BDP|17731858862065377261|22</stp>
        <stp>QQQ US 01/15/26 P623 Equity</stp>
        <stp>ask</stp>
        <tr r="L68" s="89"/>
      </tp>
      <tp>
        <v>2.76</v>
        <stp/>
        <stp>BDP|17894242265750114617|22</stp>
        <stp>QQQ US 02/06/26 P620 Equity</stp>
        <stp>mid</stp>
        <tr r="L17" s="2"/>
      </tp>
      <tp>
        <v>7802.25</v>
        <stp/>
        <stp>BDP|17372378885504057467|22</stp>
        <stp>CSIN0301 Index</stp>
        <stp>LAST_PRICE</stp>
        <tr r="H7" s="252"/>
        <tr r="H7" s="252"/>
      </tp>
      <tp>
        <v>0.44</v>
        <stp/>
        <stp>BDP|731019825521593680|22</stp>
        <stp>QQQ US 02/06/26 C640 Equity</stp>
        <stp>bid</stp>
        <tr r="K186" s="89"/>
      </tp>
      <tp>
        <v>7.78</v>
        <stp/>
        <stp>BDP|13492411471909401383|22</stp>
        <stp>INTC US 07/17/26 C50 Equity</stp>
        <stp>mid</stp>
        <tr r="L20" s="2"/>
      </tp>
      <tp>
        <v>19.7</v>
        <stp/>
        <stp>BDP|11464015968203804117|22</stp>
        <stp>NVDA US 07/17/26 C195 Equity</stp>
        <stp>ask</stp>
        <tr r="L237" s="89"/>
      </tp>
      <tp>
        <v>12</v>
        <stp/>
        <stp>BDP|10572433094613538553|22</stp>
        <stp>NVDA US 05/15/26 C200 Equity</stp>
        <stp>mid</stp>
        <tr r="L6" s="2"/>
      </tp>
      <tp>
        <v>242.96</v>
        <stp/>
        <stp>BDP|12911088506019095722|22</stp>
        <stp>AMZN EQUITY</stp>
        <stp>LAST_PRICE</stp>
        <tr r="C5" s="1"/>
      </tp>
      <tp t="s">
        <v>USD</v>
        <stp/>
        <stp>BDP|11036012457682524302|22</stp>
        <stp>NVDA US 02/06/26 C195 Equity</stp>
        <stp>QUOTED_CURRENCY_REALTIME</stp>
        <tr r="F39" s="89"/>
      </tp>
      <tp t="s">
        <v>USD</v>
        <stp/>
        <stp>BDP|11114719998807946412|22</stp>
        <stp>NVDA US 02/13/26 C210 Equity</stp>
        <stp>QUOTED_CURRENCY_REALTIME</stp>
        <tr r="F40" s="89"/>
      </tp>
      <tp t="s">
        <v>USD</v>
        <stp/>
        <stp>BDP|9340133311689882262|22</stp>
        <stp>NVDA US 02/13/26 C202.5 Equity</stp>
        <stp>QUOTED_CURRENCY_REALTIME</stp>
        <tr r="F34" s="89"/>
      </tp>
      <tp t="s">
        <v>#N/A Invalid Security</v>
        <stp/>
        <stp>BDP|11421682839134388301|22</stp>
        <stp>CSCO US 07/17/26 C670 Equity</stp>
        <stp>ask</stp>
        <tr r="L26" s="89"/>
      </tp>
      <tp>
        <v>12.05</v>
        <stp/>
        <stp>BDP|15097796525407453303|22</stp>
        <stp>NVDA US 05/15/26 C200 Equity</stp>
        <stp>ask</stp>
        <tr r="Q6" s="2"/>
      </tp>
      <tp>
        <v>3.91</v>
        <stp/>
        <stp>BDP|12582220470592471290|22</stp>
        <stp>QQQ US 02/06/26 P624 Equity</stp>
        <stp>ask</stp>
        <tr r="L188" s="89"/>
      </tp>
      <tp>
        <v>5.2567000000000004</v>
        <stp/>
        <stp>BDP|10515480241315630363|22</stp>
        <stp>brl Curncy</stp>
        <stp>LAST_PRICE</stp>
        <tr r="AC3" s="1"/>
      </tp>
      <tp t="s">
        <v>#N/A N/A</v>
        <stp/>
        <stp>BDP|18218594188966232521|22</stp>
        <stp>QQQ US 02/02/26 P625 Equity</stp>
        <stp>bid</stp>
        <tr r="K81" s="89"/>
      </tp>
      <tp>
        <v>-0.42797023057937622</v>
        <stp/>
        <stp>BDP|14210584337440379483|22</stp>
        <stp>QQQ US 02/06/26 P620 Equity</stp>
        <stp>theta_mid_rt</stp>
        <tr r="AN17" s="2"/>
      </tp>
      <tp>
        <v>2.11</v>
        <stp/>
        <stp>BDP|17796047069567767238|22</stp>
        <stp>MSFT US 02/20/26 C445 Equity</stp>
        <stp>bid</stp>
        <tr r="K211" s="89"/>
      </tp>
      <tp>
        <v>185.61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 t="s">
        <v>#N/A Real Time</v>
        <stp/>
        <stp>BDP|17873404787619933773|22</stp>
        <stp>IMBWK5C4 5840 Index</stp>
        <stp>DELTA_MID_RT</stp>
        <tr r="W89" s="89"/>
      </tp>
      <tp>
        <v>38.450000000000003</v>
        <stp/>
        <stp>BDP|9580638355348883370|22</stp>
        <stp>TSM US 07/17/26 C340 Equity</stp>
        <stp>bid</stp>
        <tr r="K1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Data...3863221818</v>
        <stp/>
        <stp>BDP|751520279507684047</stp>
        <tr r="X40" s="338"/>
      </tp>
      <tp t="s">
        <v>#N/A Requesting Data...3659224362</v>
        <stp/>
        <stp>BDP|196285167087372652</stp>
        <tr r="O19" s="89"/>
      </tp>
      <tp t="s">
        <v>#N/A Requesting Data...2933544787</v>
        <stp/>
        <stp>BDP|711948671629350257</stp>
        <tr r="E19" s="89"/>
      </tp>
      <tp t="s">
        <v>#N/A Requesting Data...3938537595</v>
        <stp/>
        <stp>BDP|520527012585306457</stp>
        <tr r="G18" s="446"/>
      </tp>
      <tp t="s">
        <v>#N/A Real Time</v>
        <stp/>
        <stp>BDP|5677808555437609123|22</stp>
        <stp>4OK5C 21650 Index</stp>
        <stp>bid</stp>
        <tr r="K116" s="89"/>
      </tp>
      <tp>
        <v>0.51670289039611816</v>
        <stp/>
        <stp>BDP|1582912119927825825|22</stp>
        <stp>NVDA US 07/17/26 C195 Equity</stp>
        <stp>DELTA_MID_RT</stp>
        <tr r="W237" s="89"/>
      </tp>
      <tp>
        <v>1.79</v>
        <stp/>
        <stp>BDP|2672814698828873688|22</stp>
        <stp>QQQ US 02/06/26 C634 Equity</stp>
        <stp>bid</stp>
        <tr r="K187" s="89"/>
      </tp>
      <tp>
        <v>177.15</v>
        <stp/>
        <stp>BDP|15031025441735979532|22</stp>
        <stp>RDDT Equity</stp>
        <stp>LAST PRICE</stp>
        <tr r="L11" s="446"/>
      </tp>
      <tp>
        <v>22.95</v>
        <stp/>
        <stp>BDP|2492093532570295717|22</stp>
        <stp>TSM US 07/17/26 C380 Equity</stp>
        <stp>bid</stp>
        <tr r="K20" s="89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Data...2961801387</v>
        <stp/>
        <stp>BDP|608595985359488024</stp>
        <tr r="AH13" s="338"/>
        <tr r="AH34" s="338"/>
        <tr r="AJ13" s="338"/>
        <tr r="AJ34" s="338"/>
      </tp>
      <tp t="s">
        <v>#N/A Requesting Data...3958693521</v>
        <stp/>
        <stp>BDP|707708639631714132</stp>
        <tr r="E234" s="89"/>
      </tp>
      <tp t="s">
        <v>#N/A Real Time</v>
        <stp/>
        <stp>BDP|6895042931085999518|22</stp>
        <stp>4EM5C    6300 Index</stp>
        <stp>QUOTED_CURRENCY_REALTIME</stp>
        <tr r="F136" s="89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s">
        <v>#N/A Requesting Data...4173269374</v>
        <stp/>
        <stp>BDP|686234847331911027</stp>
        <tr r="G17" s="446"/>
      </tp>
      <tp t="s">
        <v>#N/A Requesting Data...4034734571</v>
        <stp/>
        <stp>BDP|845945561529258153</stp>
        <tr r="X37" s="338"/>
      </tp>
      <tp t="b">
        <v>0</v>
        <stp/>
        <stp>BDH|226704176284580379</stp>
        <tr r="AN34" s="338"/>
        <tr r="AN13" s="338"/>
      </tp>
      <tp t="s">
        <v>#N/A Requesting Data...3850551181</v>
        <stp/>
        <stp>BDP|408762416568436914</stp>
        <tr r="T116" s="89"/>
      </tp>
      <tp t="s">
        <v>#N/A Requesting Data...2619764213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5526.31</v>
        <stp/>
        <stp>BDP|7715274099356745424|22</stp>
        <stp>HSTECH Index</stp>
        <stp>LAST_PRICE</stp>
        <tr r="H14" s="252"/>
        <tr r="H14" s="252"/>
      </tp>
      <tp t="s">
        <v>USD</v>
        <stp/>
        <stp>BDP|6516273857541230826|22</stp>
        <stp>QQQ US 02/06/26 P615 Equity</stp>
        <stp>QUOTED_CURRENCY_REALTIME</stp>
        <tr r="G18" s="2"/>
      </tp>
      <tp>
        <v>-9.6808083355426788E-2</v>
        <stp/>
        <stp>BDP|17709467901214297265|22</stp>
        <stp>1OG6P 25000 INDEX</stp>
        <stp>DELTA_MID_RT</stp>
        <tr r="AF23" s="2"/>
      </tp>
      <tp>
        <v>695.41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Data...2523483196</v>
        <stp/>
        <stp>BDP|780556548910196765</stp>
        <tr r="L52" s="338"/>
        <tr r="H52" s="338"/>
        <tr r="L53" s="338"/>
        <tr r="H53" s="338"/>
        <tr r="L54" s="338"/>
        <tr r="H54" s="338"/>
      </tp>
      <tp t="s">
        <v>#N/A Requesting Data...3142841203</v>
        <stp/>
        <stp>BDP|729521579226123201</stp>
        <tr r="C236" s="89"/>
      </tp>
      <tp t="s">
        <v>#N/A N/A</v>
        <stp/>
        <stp>BDP|703780504329627859</stp>
        <tr r="AI28" s="1"/>
      </tp>
      <tp t="s">
        <v>#N/A Requesting Data...3022590406</v>
        <stp/>
        <stp>BDP|107389883329186412</stp>
        <tr r="L15" s="338"/>
        <tr r="H15" s="338"/>
        <tr r="L39" s="338"/>
        <tr r="H39" s="338"/>
        <tr r="L40" s="338"/>
        <tr r="J40" s="338"/>
      </tp>
      <tp t="s">
        <v>#N/A Real Time</v>
        <stp/>
        <stp>BDP|7287440995933707632|22</stp>
        <stp>4OK5C 21650 Index</stp>
        <stp>ask</stp>
        <tr r="L116" s="89"/>
      </tp>
      <tp t="s">
        <v>#N/A N/A</v>
        <stp/>
        <stp>BDP|244371941608499964</stp>
        <tr r="AD17" s="2"/>
        <tr r="V75" s="89"/>
      </tp>
      <tp>
        <v>160.06</v>
        <stp/>
        <stp>BDP|7132801475716187902|22</stp>
        <stp>ORCL EQUITY</stp>
        <stp>LAST_PRICE</stp>
        <tr r="C10" s="1"/>
      </tp>
      <tp>
        <v>0.18177884817123413</v>
        <stp/>
        <stp>BDP|3921340733218828052|22</stp>
        <stp>MSFT US 02/20/26 C445 Equity</stp>
        <stp>DELTA_MID_RT</stp>
        <tr r="W211" s="89"/>
      </tp>
      <tp>
        <v>0.46</v>
        <stp/>
        <stp>BDP|8181328517322165599|22</stp>
        <stp>QQQ US 02/06/26 C640 Equity</stp>
        <stp>ask</stp>
        <tr r="L186" s="89"/>
      </tp>
      <tp t="s">
        <v>#N/A Requesting Data...2965802467</v>
        <stp/>
        <stp>BDP|930699410161740793</stp>
        <tr r="D24" s="2"/>
      </tp>
      <tp t="s">
        <v>#N/A Requesting Data...3300606275</v>
        <stp/>
        <stp>BDP|517543108217561323</stp>
        <tr r="P53" s="338"/>
      </tp>
      <tp t="s">
        <v>#N/A Requesting Data...3055825041</v>
        <stp/>
        <stp>BDP|244764414260319781</stp>
        <tr r="O18" s="252"/>
      </tp>
      <tp t="s">
        <v>#N/A N/A</v>
        <stp/>
        <stp>BDP|523029731582612052</stp>
        <tr r="AC17" s="1"/>
      </tp>
      <tp t="s">
        <v>#N/A Requesting Data...2662299478</v>
        <stp/>
        <stp>BDP|896518566545118787</stp>
        <tr r="AA102" s="89"/>
        <tr r="Z102" s="89"/>
      </tp>
      <tp t="b">
        <v>0</v>
        <stp/>
        <stp>BDH|138571620202465439</stp>
        <tr r="AN37" s="338"/>
      </tp>
      <tp t="s">
        <v>USD</v>
        <stp/>
        <stp>BDP|2761866802597687479|22</stp>
        <stp>TSM US 07/17/26 C340 Equity</stp>
        <stp>QUOTED_CURRENCY_REALTIME</stp>
        <tr r="F19" s="89"/>
      </tp>
      <tp t="s">
        <v>#N/A Real Time</v>
        <stp/>
        <stp>BDP|17952725581329286127|22</stp>
        <stp>SCH5C   6150 Index</stp>
        <stp>bid</stp>
        <tr r="K95" s="89"/>
      </tp>
      <tp t="s">
        <v>#N/A N/A</v>
        <stp/>
        <stp>BDP|739245098392147969</stp>
        <tr r="AG18" s="1"/>
      </tp>
      <tp t="s">
        <v>#N/A Requesting Data...4173354084</v>
        <stp/>
        <stp>BDP|999131207671054040</stp>
        <tr r="P55" s="338"/>
      </tp>
      <tp t="s">
        <v>#N/A N/A</v>
        <stp/>
        <stp>BDP|798980087638306908</stp>
        <tr r="K4" s="1"/>
      </tp>
      <tp t="s">
        <v>#N/A Requesting Data...3059401337</v>
        <stp/>
        <stp>BDP|454052187798556035</stp>
        <tr r="D122" s="89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>
        <v>3.9222903549671173E-2</v>
        <stp/>
        <stp>BDP|3119816362787157926|22</stp>
        <stp>NVDA US 02/13/26 C210 Equity</stp>
        <stp>DELTA_MID_RT</stp>
        <tr r="W40" s="89"/>
      </tp>
      <tp>
        <v>199.1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Requesting Data...3499356868</v>
        <stp/>
        <stp>BDP|661100657203862412</stp>
        <tr r="C40" s="89"/>
      </tp>
      <tp t="s">
        <v>#N/A N/A</v>
        <stp/>
        <stp>BDP|400489739133855744</stp>
        <tr r="AF32" s="1"/>
      </tp>
      <tp t="s">
        <v>#N/A Requesting Data...3156494083</v>
        <stp/>
        <stp>BDP|103387833183780070</stp>
        <tr r="Z108" s="89"/>
        <tr r="AA108" s="89"/>
      </tp>
      <tp>
        <v>87.64</v>
        <stp/>
        <stp>BDP|6244681688337820540|22</stp>
        <stp>KBWB EQUITY</stp>
        <stp>LAST_PRICE</stp>
        <tr r="I1" s="1"/>
      </tp>
      <tp t="s">
        <v>#N/A Invalid Security</v>
        <stp/>
        <stp>BDP|9940116949939226228|22</stp>
        <stp>CSCO US 07/17/26 C670 Equity</stp>
        <stp>DELTA_MID_RT</stp>
        <tr r="W26" s="89"/>
      </tp>
      <tp>
        <v>-8.1247076392173767E-2</v>
        <stp/>
        <stp>BDP|6165044578768178450|22</stp>
        <stp>DELL US 02/06/26 P110 Equity</stp>
        <stp>DELTA_MID_RT</stp>
        <tr r="W50" s="89"/>
      </tp>
      <tp>
        <v>15.32</v>
        <stp/>
        <stp>BDP|11593899381746563402|22</stp>
        <stp>RIOT Equity</stp>
        <stp>LAST_PRICE</stp>
        <tr r="I53" s="1"/>
      </tp>
      <tp>
        <v>19.899999999999999</v>
        <stp/>
        <stp>BDP|7303697284640564666|22</stp>
        <stp>TSM US 06/18/26 C380 Equity</stp>
        <stp>ask</stp>
        <tr r="Q25" s="2"/>
      </tp>
      <tp>
        <v>24.15</v>
        <stp/>
        <stp>BDP|3151677417243031834|22</stp>
        <stp>TSM US 07/17/26 C380 Equity</stp>
        <stp>ask</stp>
        <tr r="L20" s="89"/>
      </tp>
      <tp t="s">
        <v>#N/A N/A</v>
        <stp/>
        <stp>BDP|450712038053400567</stp>
        <tr r="AG12" s="1"/>
      </tp>
      <tp>
        <v>626.14</v>
        <stp/>
        <stp>BDP|13846945124532688911|22</stp>
        <stp>QQQ Equity</stp>
        <stp>LAST_PRICE</stp>
        <tr r="I18" s="1"/>
      </tp>
      <tp t="s">
        <v>#N/A Requesting Data...3628396303</v>
        <stp/>
        <stp>BDP|908193390539320353</stp>
        <tr r="AA62" s="89"/>
        <tr r="Z62" s="89"/>
      </tp>
      <tp t="s">
        <v>#N/A Requesting Data...3431428195</v>
        <stp/>
        <stp>BDP|990393331705558743</stp>
        <tr r="O34" s="89"/>
      </tp>
      <tp t="s">
        <v>#N/A N/A</v>
        <stp/>
        <stp>BDP|423754148482050380</stp>
        <tr r="D75" s="89"/>
      </tp>
      <tp t="s">
        <v>#N/A Requesting Data...2660061083</v>
        <stp/>
        <stp>BDP|310378113498032857</stp>
        <tr r="AB30" s="1"/>
        <tr r="AB31" s="1"/>
        <tr r="F9" s="446"/>
      </tp>
      <tp>
        <v>0.14903002977371216</v>
        <stp/>
        <stp>BDP|2773479736639591037|22</stp>
        <stp>NVDA US 02/06/26 C195 Equity</stp>
        <stp>DELTA_MID_RT</stp>
        <tr r="W39" s="89"/>
      </tp>
      <tp>
        <v>-0.20345477759838104</v>
        <stp/>
        <stp>BDP|5551973401497312809|22</stp>
        <stp>AVGO US 06/18/26 P270 Equity</stp>
        <stp>DELTA_MID_RT</stp>
        <tr r="W225" s="89"/>
      </tp>
      <tp>
        <v>6.9452999999999996</v>
        <stp/>
        <stp>BDP|294453488151020053|22</stp>
        <stp>cny Curncy</stp>
        <stp>LAST_PRICE</stp>
        <tr r="I50" s="54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Data...2599893185</v>
        <stp/>
        <stp>BDP|630836919334916088</stp>
        <tr r="X10" s="338"/>
      </tp>
      <tp t="s">
        <v>#N/A N/A</v>
        <stp/>
        <stp>BDP|894652130481491978</stp>
        <tr r="AC8" s="2"/>
        <tr r="AC10" s="2"/>
        <tr r="AC9" s="2"/>
      </tp>
      <tp t="s">
        <v>#N/A Requesting Data...4077061172</v>
        <stp/>
        <stp>BDP|270487313100359854</stp>
        <tr r="V17" s="338"/>
      </tp>
      <tp>
        <v>695.41</v>
        <stp/>
        <stp>BDP|13189918054944550299|22</stp>
        <stp>SPY Equity</stp>
        <stp>LAST_PRICE</stp>
        <tr r="X3" s="1"/>
      </tp>
      <tp>
        <v>-0.42845037579536438</v>
        <stp/>
        <stp>BDP|6782369029995673063|22</stp>
        <stp>MSFT US 02/20/26 P420 Equity</stp>
        <stp>DELTA_MID_RT</stp>
        <tr r="W212" s="89"/>
      </tp>
      <tp>
        <v>-7.2978585958480835E-2</v>
        <stp/>
        <stp>BDP|3178362372691625299|22</stp>
        <stp>MRVL US 03/20/26 P80 Equity</stp>
        <stp>theta_mid_rt</stp>
        <tr r="AN13" s="2"/>
      </tp>
      <tp t="s">
        <v>#N/A Real Time</v>
        <stp/>
        <stp>BDP|5899528920965095514|22</stp>
        <stp>QQQ US 01/15/26 P622 Equity</stp>
        <stp>QUOTED_CURRENCY_REALTIME</stp>
        <tr r="F69" s="89"/>
      </tp>
      <tp>
        <v>352.69</v>
        <stp/>
        <stp>BDP|14332915070053504036|22</stp>
        <stp>SOXX Equity</stp>
        <stp>LAST PRICE</stp>
        <tr r="I13" s="338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N/A</v>
        <stp/>
        <stp>BDP|719089596741783407</stp>
        <tr r="R50" s="89"/>
        <tr r="R49" s="89"/>
      </tp>
      <tp t="s">
        <v>#N/A Requesting Data...4133070790</v>
        <stp/>
        <stp>BDP|127253274771311898</stp>
        <tr r="AF24" s="1"/>
        <tr r="AF25" s="1"/>
        <tr r="AG11" s="338"/>
      </tp>
      <tp t="s">
        <v>#N/A Requesting Data...4277023949</v>
        <stp/>
        <stp>BDP|824832122673497597</stp>
        <tr r="E40" s="89"/>
      </tp>
      <tp t="s">
        <v>#N/A Requesting Data...3039861960</v>
        <stp/>
        <stp>BDP|827675090525898604</stp>
        <tr r="AF41" s="338"/>
        <tr r="AF42" s="338"/>
      </tp>
      <tp t="s">
        <v>#N/A Requesting Data...3823307331</v>
        <stp/>
        <stp>BDP|782705090920373269</stp>
        <tr r="D129" s="89"/>
      </tp>
      <tp t="s">
        <v>#N/A Requesting Data...3562789677</v>
        <stp/>
        <stp>BDP|404252579678701218</stp>
        <tr r="T11" s="2"/>
      </tp>
      <tp t="s">
        <v>#N/A Requesting Data...4077905064</v>
        <stp/>
        <stp>BDP|747191926384069867</stp>
        <tr r="L15" s="252"/>
        <tr r="L15" s="252"/>
      </tp>
      <tp t="s">
        <v>#N/A Requesting Data...3586930080</v>
        <stp/>
        <stp>BDP|176347289857022339</stp>
        <tr r="S17" s="252"/>
      </tp>
      <tp t="s">
        <v>#N/A Requesting Data...3813918881</v>
        <stp/>
        <stp>BDP|176462091734903668</stp>
        <tr r="O204" s="89"/>
      </tp>
      <tp t="s">
        <v>#N/A Requesting Data...3771717828</v>
        <stp/>
        <stp>BDP|278537766618564487</stp>
        <tr r="U17" s="338"/>
      </tp>
      <tp t="s">
        <v>#N/A N/A</v>
        <stp/>
        <stp>BDP|987924063845804559</stp>
        <tr r="E4" s="1"/>
      </tp>
      <tp t="s">
        <v>#N/A Requesting Data...3560650548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USD</v>
        <stp/>
        <stp>BDP|9573894750857985492|22</stp>
        <stp>TSM US 07/17/26 C380 Equity</stp>
        <stp>QUOTED_CURRENCY_REALTIME</stp>
        <tr r="F20" s="89"/>
      </tp>
      <tp>
        <v>706.41</v>
        <stp/>
        <stp>BDP|3305523752982270676|22</stp>
        <stp>META EQUITY</stp>
        <stp>LAST_PRICE</stp>
        <tr r="C9" s="1"/>
      </tp>
      <tp t="s">
        <v>#N/A N/A</v>
        <stp/>
        <stp>BDP|4448489992068111945|22</stp>
        <stp>AMAT US 01/23/26 P290 Equity</stp>
        <stp>DELTA_MID_RT</stp>
        <tr r="W55" s="89"/>
      </tp>
      <tp t="s">
        <v>USD</v>
        <stp/>
        <stp>BDP|7410468017423328155|22</stp>
        <stp>QQQ US 02/06/26 P624 Equity</stp>
        <stp>QUOTED_CURRENCY_REALTIME</stp>
        <tr r="F188" s="89"/>
      </tp>
      <tp t="s">
        <v>USD</v>
        <stp/>
        <stp>BDP|8198216585701360319|22</stp>
        <stp>QQQ US 02/06/26 P620 Equity</stp>
        <stp>QUOTED_CURRENCY_REALTIME</stp>
        <tr r="F75" s="89"/>
        <tr r="G17" s="2"/>
      </tp>
      <tp>
        <v>199.1</v>
        <stp/>
        <stp>BDP|10381440186149181728|22</stp>
        <stp>RSP Equity</stp>
        <stp>LAST_PRICE</stp>
        <tr r="I19" s="1"/>
        <tr r="I20" s="1"/>
      </tp>
      <tp t="s">
        <v>#N/A N/A</v>
        <stp/>
        <stp>BDP|887987616640012698</stp>
        <tr r="AB12" s="1"/>
      </tp>
      <tp t="b">
        <v>0</v>
        <stp/>
        <stp>BDH|384140560579956052</stp>
        <tr r="AU42" s="338"/>
      </tp>
      <tp t="s">
        <v>#N/A N/A</v>
        <stp/>
        <stp>BDP|711348189694351124</stp>
        <tr r="V81" s="89"/>
      </tp>
      <tp t="s">
        <v>#N/A Requesting Data...3394580473</v>
        <stp/>
        <stp>BDP|364330932177526925</stp>
        <tr r="S37" s="338"/>
      </tp>
      <tp t="s">
        <v>#N/A N/A</v>
        <stp/>
        <stp>BDP|308105164449948089</stp>
        <tr r="K36" s="1"/>
      </tp>
      <tp>
        <v>33.08</v>
        <stp/>
        <stp>BDP|18329643987132492211|22</stp>
        <stp>ASHR Equity</stp>
        <stp>LAST_PRICE</stp>
        <tr r="H6" s="252"/>
        <tr r="H6" s="252"/>
        <tr r="I14" s="1"/>
      </tp>
      <tp t="s">
        <v>USD</v>
        <stp/>
        <stp>BDP|1189129698290039819|22</stp>
        <stp>QQQ US 02/02/26 P625 Equity</stp>
        <stp>QUOTED_CURRENCY_REALTIME</stp>
        <tr r="F81" s="89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Data...3917438547</v>
        <stp/>
        <stp>BDP|865618064141370815</stp>
        <tr r="N12" s="252"/>
        <tr r="N12" s="252"/>
      </tp>
      <tp t="s">
        <v>#N/A Requesting Data...3493053566</v>
        <stp/>
        <stp>BDP|309053334273321996</stp>
        <tr r="Q29" s="338"/>
      </tp>
      <tp t="s">
        <v>#N/A N/A</v>
        <stp/>
        <stp>BDP|732161299032579384</stp>
        <tr r="AR17" s="2"/>
      </tp>
      <tp t="s">
        <v>#N/A N/A</v>
        <stp/>
        <stp>BDP|757266498405781787</stp>
        <tr r="X3" s="1"/>
      </tp>
      <tp t="s">
        <v>#N/A Requesting Data...4072175750</v>
        <stp/>
        <stp>BDP|321567796020124549</stp>
        <tr r="F43" s="446"/>
      </tp>
      <tp t="s">
        <v>#N/A Requesting Data...4131227070</v>
        <stp/>
        <stp>BDP|748281786590893378</stp>
        <tr r="AA160" s="89"/>
        <tr r="Z160" s="89"/>
      </tp>
      <tp t="s">
        <v>#N/A N/A</v>
        <stp/>
        <stp>BDP|673973412587873689</stp>
        <tr r="AA17" s="2"/>
        <tr r="T75" s="89"/>
      </tp>
      <tp>
        <v>0.31655752658843994</v>
        <stp/>
        <stp>BDP|3069894195613271321|22</stp>
        <stp>MSFT US 02/20/26 C435 Equity</stp>
        <stp>DELTA_MID_RT</stp>
        <tr r="W204" s="89"/>
      </tp>
      <tp t="s">
        <v>#N/A Real Time</v>
        <stp/>
        <stp>BDP|1731871426539960425|22</stp>
        <stp>QQQ US 01/15/26 P623 Equity</stp>
        <stp>QUOTED_CURRENCY_REALTIME</stp>
        <tr r="F68" s="89"/>
      </tp>
      <tp>
        <v>42.62</v>
        <stp/>
        <stp>BDP|16955313478604069014|22</stp>
        <stp>XLU Equity</stp>
        <stp>LAST PRICE</stp>
        <tr r="I42" s="338"/>
      </tp>
      <tp t="s">
        <v>#N/A Requesting Data...4069260939</v>
        <stp/>
        <stp>BDP|938081193165986446</stp>
        <tr r="U46" s="338"/>
      </tp>
      <tp>
        <v>94.19</v>
        <stp/>
        <stp>BDP|12455594618882884319|22</stp>
        <stp>GDX Equity</stp>
        <stp>LAST_PRICE</stp>
        <tr r="I21" s="1"/>
        <tr r="I22" s="1"/>
      </tp>
      <tp t="s">
        <v>#N/A Requesting Data...4048588117</v>
        <stp/>
        <stp>BDP|345620769730348823</stp>
        <tr r="G20" s="446"/>
      </tp>
      <tp t="s">
        <v>#N/A N/A</v>
        <stp/>
        <stp>BDP|841037250108640591</stp>
        <tr r="C82" s="89"/>
      </tp>
      <tp t="s">
        <v>#N/A Requesting Data...4044337063</v>
        <stp/>
        <stp>BDP|493910466490440711</stp>
        <tr r="T14" s="2"/>
        <tr r="O63" s="89"/>
      </tp>
      <tp t="s">
        <v>#N/A N/A</v>
        <stp/>
        <stp>BDP|771655587750732627</stp>
        <tr r="AI26" s="1"/>
        <tr r="AI27" s="1"/>
      </tp>
      <tp t="s">
        <v>USD</v>
        <stp/>
        <stp>BDP|5876029209403858680|22</stp>
        <stp>TSM US 06/18/26 C340 Equity</stp>
        <stp>QUOTED_CURRENCY_REALTIME</stp>
        <tr r="G24" s="2"/>
      </tp>
      <tp t="s">
        <v>#N/A N/A</v>
        <stp/>
        <stp>BDP|1593024835823764098|22</stp>
        <stp>AMAT US 01/23/26 P280 Equity</stp>
        <stp>DELTA_MID_RT</stp>
        <tr r="W56" s="89"/>
      </tp>
      <tp>
        <v>89.52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N/A</v>
        <stp/>
        <stp>BDP|410104351027872819</stp>
        <tr r="AB32" s="1"/>
      </tp>
      <tp t="s">
        <v>#N/A Requesting Data...2857875046</v>
        <stp/>
        <stp>BDP|764078797243992127</stp>
        <tr r="D56" s="89"/>
      </tp>
      <tp t="s">
        <v>#N/A Requesting Data...3022811089</v>
        <stp/>
        <stp>BDP|237201852408926413</stp>
        <tr r="U35" s="338"/>
      </tp>
      <tp t="s">
        <v>#N/A Requesting Data...3633604148</v>
        <stp/>
        <stp>BDP|410647168382881996</stp>
        <tr r="V54" s="338"/>
      </tp>
      <tp t="s">
        <v>#N/A Requesting Data...3809491497</v>
        <stp/>
        <stp>BDP|981114986491900309</stp>
        <tr r="F8" s="252"/>
      </tp>
      <tp t="s">
        <v>#N/A Requesting Data...3818324686</v>
        <stp/>
        <stp>BDP|158907810677526447</stp>
        <tr r="D21" s="2"/>
        <tr r="C197" s="89"/>
      </tp>
      <tp t="s">
        <v>#N/A Requesting Data...4166348992</v>
        <stp/>
        <stp>BDP|612746655750406928</stp>
        <tr r="S16" s="338"/>
        <tr r="S38" s="338"/>
      </tp>
      <tp t="s">
        <v>#N/A Real Time</v>
        <stp/>
        <stp>BDP|9931751547643048436|22</stp>
        <stp>4OK5C 21300 Index</stp>
        <stp>bid</stp>
        <tr r="K115" s="89"/>
      </tp>
      <tp>
        <v>331.11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>
        <v>1.78</v>
        <stp/>
        <stp>BDP|6893957252598180142|22</stp>
        <stp>QQQ US 02/06/26 P615 Equity</stp>
        <stp>mid</stp>
        <tr r="L18" s="2"/>
      </tp>
      <tp>
        <v>1.76</v>
        <stp/>
        <stp>BDP|7194987252493338944|22</stp>
        <stp>QQQ US 02/06/26 P615 Equity</stp>
        <stp>bid</stp>
        <tr r="K76" s="89"/>
        <tr r="P18" s="2"/>
      </tp>
      <tp>
        <v>78.66</v>
        <stp/>
        <stp>BDP|15428137786848034213|22</stp>
        <stp>MRVL Equity</stp>
        <stp>LAST PRICE</stp>
        <tr r="G37" s="338"/>
      </tp>
      <tp>
        <v>0.01</v>
        <stp/>
        <stp>BDP|6754272244867054812|22</stp>
        <stp>QQQ US 02/02/26 P625 Equity</stp>
        <stp>ask</stp>
        <tr r="L81" s="89"/>
      </tp>
      <tp>
        <v>39.17</v>
        <stp/>
        <stp>BDP|15189910301226923788|22</stp>
        <stp>FXI Equity</stp>
        <stp>LAST_PRICE</stp>
        <tr r="H9" s="252"/>
        <tr r="H9" s="252"/>
      </tp>
      <tp>
        <v>78.66</v>
        <stp/>
        <stp>BDP|14735743812855208855|22</stp>
        <stp>MRVL Equity</stp>
        <stp>LAST_PRICE</stp>
        <tr r="I52" s="1"/>
      </tp>
      <tp>
        <v>3.5</v>
        <stp/>
        <stp>BDP|2655392201055061554|22</stp>
        <stp>INTC US 07/17/26 P40 Equity</stp>
        <stp>ask</stp>
        <tr r="Q21" s="2"/>
        <tr r="L197" s="89"/>
      </tp>
      <tp>
        <v>2.74</v>
        <stp/>
        <stp>BDP|9532759165933976212|22</stp>
        <stp>QQQ US 02/06/26 P620 Equity</stp>
        <stp>bid</stp>
        <tr r="K75" s="89"/>
        <tr r="P17" s="2"/>
      </tp>
      <tp>
        <v>185.61</v>
        <stp/>
        <stp>BDP|18083567340910719726|22</stp>
        <stp>NVDA Equity</stp>
        <stp>LAST PRICE</stp>
        <tr r="G14" s="338"/>
        <tr r="G35" s="338"/>
      </tp>
      <tp>
        <v>0.26045334339141846</v>
        <stp/>
        <stp>BDP|11228334689169165730|22</stp>
        <stp>QQQ US 02/06/26 C634 Equity</stp>
        <stp>DELTA_MID_RT</stp>
        <tr r="W187" s="89"/>
      </tp>
      <tp>
        <v>7.5</v>
        <stp/>
        <stp>BDP|1603579272794795324|22</stp>
        <stp>MRVL US 03/20/26 P80 Equity</stp>
        <stp>mid</stp>
        <tr r="L13" s="2"/>
      </tp>
      <tp t="s">
        <v>#N/A Real Time</v>
        <stp/>
        <stp>BDP|8340553546063687451|22</stp>
        <stp>4OK5C 21650 Index</stp>
        <stp>DELTA_MID_RT</stp>
        <tr r="W116" s="89"/>
      </tp>
      <tp>
        <v>4.72</v>
        <stp/>
        <stp>BDP|3366296364494691481|22</stp>
        <stp>INTC US 07/17/26 C60 Equity</stp>
        <stp>mid</stp>
        <tr r="L19" s="2"/>
      </tp>
      <tp>
        <v>185.61</v>
        <stp/>
        <stp>BDP|10556089213855348182|22</stp>
        <stp>NVDA Equity</stp>
        <stp>LAST_PRICE</stp>
        <tr r="I51" s="1"/>
      </tp>
      <tp>
        <v>104.54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>
        <v>54.03</v>
        <stp/>
        <stp>BDP|11210988692762470107|22</stp>
        <stp>XLF Equity</stp>
        <stp>LAST_PRICE</stp>
        <tr r="I54" s="1"/>
      </tp>
      <tp>
        <v>270.01</v>
        <stp/>
        <stp>BDP|17831911536214693857|22</stp>
        <stp>AAPL Equity</stp>
        <stp>LAST_PRICE</stp>
        <tr r="I24" s="1"/>
        <tr r="I25" s="1"/>
      </tp>
      <tp t="s">
        <v>#N/A Real Time</v>
        <stp/>
        <stp>BDP|7909497283026172618|22</stp>
        <stp>4OK5C 21300 Index</stp>
        <stp>DELTA_MID_RT</stp>
        <tr r="W115" s="89"/>
      </tp>
      <tp>
        <v>48.81</v>
        <stp/>
        <stp>BDP|10275830506276374754|22</stp>
        <stp>INTC Equity</stp>
        <stp>LAST_PRICE</stp>
        <tr r="I50" s="1"/>
      </tp>
      <tp>
        <v>-9.4212116673588753E-3</v>
        <stp/>
        <stp>BDP|5598166511208398697|22</stp>
        <stp>ASHR US 02/20/26 C35 Equity</stp>
        <stp>theta_mid_rt</stp>
        <tr r="AN4" s="2"/>
      </tp>
      <tp>
        <v>168.39</v>
        <stp/>
        <stp>BDP|16076910053857732698|22</stp>
        <stp>BABA Equity</stp>
        <stp>LAST_PRICE</stp>
        <tr r="I12" s="1"/>
      </tp>
      <tp>
        <v>3.27</v>
        <stp/>
        <stp>BDP|2917703585590040909|22</stp>
        <stp>INTC US 07/17/26 P40 Equity</stp>
        <stp>mid</stp>
        <tr r="L21" s="2"/>
      </tp>
      <tp>
        <v>3.05</v>
        <stp/>
        <stp>BDP|6431933654204043778|22</stp>
        <stp>INTC US 07/17/26 P40 Equity</stp>
        <stp>bid</stp>
        <tr r="P21" s="2"/>
        <tr r="K197" s="89"/>
      </tp>
      <tp t="s">
        <v>#N/A Real Time</v>
        <stp/>
        <stp>BDP|5132776150139742647|22</stp>
        <stp>QQQ US 01/15/26 P622 Equity</stp>
        <stp>ask</stp>
        <tr r="L69" s="89"/>
      </tp>
      <tp t="s">
        <v>#N/A Real Time</v>
        <stp/>
        <stp>BDP|16732714406053690944|22</stp>
        <stp>KMU5 Index</stp>
        <stp>LAST PRICE</stp>
        <tr r="L13" s="446"/>
      </tp>
      <tp>
        <v>71.88</v>
        <stp/>
        <stp>BDP|16675559367525942243|22</stp>
        <stp>TTE Equity</stp>
        <stp>LAST PRICE</stp>
        <tr r="I29" s="338"/>
      </tp>
      <tp>
        <v>0.57575660943984985</v>
        <stp/>
        <stp>BDP|16687792746206833445|22</stp>
        <stp>TSM US 06/18/26 C340 Equity</stp>
        <stp>DELTA_MID_RT</stp>
        <tr r="AF24" s="2"/>
      </tp>
      <tp>
        <v>4015.7460000000001</v>
        <stp/>
        <stp>BDP|8077747707676540560|22</stp>
        <stp>SHCOMP Index</stp>
        <stp>LAST_PRICE</stp>
        <tr r="H20" s="252"/>
        <tr r="H20" s="252"/>
      </tp>
      <tp t="s">
        <v>#N/A Real Time</v>
        <stp/>
        <stp>BDP|9553145545070053911|22</stp>
        <stp>QQQ US 01/15/26 P622 Equity</stp>
        <stp>bid</stp>
        <tr r="K69" s="89"/>
      </tp>
      <tp>
        <v>89.91</v>
        <stp/>
        <stp>BDP|11576966289528241643|22</stp>
        <stp>HOOD Equity</stp>
        <stp>LAST PRICE</stp>
        <tr r="L5" s="446"/>
        <tr r="L6" s="446"/>
      </tp>
      <tp>
        <v>-16.687887191772461</v>
        <stp/>
        <stp>BDP|9850760162934891825|22</stp>
        <stp>1OG6P 25000 INDEX</stp>
        <stp>theta_mid_rt</stp>
        <tr r="AN23" s="2"/>
      </tp>
      <tp>
        <v>0.58148401975631714</v>
        <stp/>
        <stp>BDP|15150595801257451367|22</stp>
        <stp>TSM US 07/17/26 C340 Equity</stp>
        <stp>DELTA_MID_RT</stp>
        <tr r="W19" s="89"/>
      </tp>
      <tp>
        <v>423.42</v>
        <stp/>
        <stp>BDP|13530810646219131800|22</stp>
        <stp>LITE Equity</stp>
        <stp>LAST_PRICE</stp>
        <tr r="I38" s="1"/>
        <tr r="I39" s="1"/>
      </tp>
      <tp t="s">
        <v>#N/A Real Time</v>
        <stp/>
        <stp>BDP|9694420881586169364|22</stp>
        <stp>RFSWZ4C3 2360 Index</stp>
        <stp>QUOTED_CURRENCY_REALTIME</stp>
        <tr r="F122" s="89"/>
      </tp>
      <tp>
        <v>266.79000000000002</v>
        <stp/>
        <stp>BDP|13659659385475398852|22</stp>
        <stp>ACN Equity</stp>
        <stp>LAST PRICE</stp>
        <tr r="L8" s="446"/>
      </tp>
      <tp>
        <v>7.65</v>
        <stp/>
        <stp>BDP|8734482328934403813|22</stp>
        <stp>MRVL US 03/20/26 P80 Equity</stp>
        <stp>ask</stp>
        <tr r="Q13" s="2"/>
        <tr r="L62" s="89"/>
      </tp>
      <tp>
        <v>331.11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>
        <v>7.5</v>
        <stp/>
        <stp>BDP|9317551536395983431|22</stp>
        <stp>INTC US 07/17/26 C50 Equity</stp>
        <stp>bid</stp>
        <tr r="P20" s="2"/>
        <tr r="K196" s="89"/>
      </tp>
      <tp>
        <v>-0.40436765551567078</v>
        <stp/>
        <stp>BDP|8683337490368879999|22</stp>
        <stp>1OG6P 25750 Index</stp>
        <stp>DELTA_MID_RT</stp>
        <tr r="W153" s="89"/>
      </tp>
      <tp>
        <v>85.2</v>
        <stp/>
        <stp>BDP|3517880411788471110|22</stp>
        <stp>COPX EQUITY</stp>
        <stp>LAST_PRICE</stp>
        <tr r="I9" s="1"/>
      </tp>
      <tp>
        <v>4.5999999999999996</v>
        <stp/>
        <stp>BDP|8500678922565396001|22</stp>
        <stp>INTC US 07/17/26 C60 Equity</stp>
        <stp>bid</stp>
        <tr r="P19" s="2"/>
        <tr r="K195" s="89"/>
      </tp>
      <tp>
        <v>0.66197699308395386</v>
        <stp/>
        <stp>BDP|1115882164603689622|22</stp>
        <stp>META US 07/17/26 C670 Equity</stp>
        <stp>DELTA_MID_RT</stp>
        <tr r="W170" s="89"/>
      </tp>
      <tp>
        <v>0.01</v>
        <stp/>
        <stp>BDP|7388645388147491712|22</stp>
        <stp>QQQ US 02/02/26 P624 Equity</stp>
        <stp>ask</stp>
        <tr r="L82" s="89"/>
      </tp>
      <tp>
        <v>-1.2244229204952717E-2</v>
        <stp/>
        <stp>BDP|10365274527217961866|22</stp>
        <stp>QQQ US 02/02/26 P625 Equity</stp>
        <stp>DELTA_MID_RT</stp>
        <tr r="W81" s="89"/>
      </tp>
      <tp>
        <v>5122.25</v>
        <stp/>
        <stp>BDP|13402169581729532440|22</stp>
        <stp>BKNG Equity</stp>
        <stp>LAST PRICE</stp>
        <tr r="G12" s="338"/>
      </tp>
      <tp>
        <v>-0.31330886483192444</v>
        <stp/>
        <stp>BDP|10071932113074438291|22</stp>
        <stp>QQQ US 02/06/26 P620 Equity</stp>
        <stp>DELTA_MID_RT</stp>
        <tr r="W75" s="89"/>
        <tr r="AF17" s="2"/>
      </tp>
      <tp>
        <v>0.39134109020233154</v>
        <stp/>
        <stp>BDP|17478839230977938286|22</stp>
        <stp>TSM US 06/18/26 C380 Equity</stp>
        <stp>DELTA_MID_RT</stp>
        <tr r="AF25" s="2"/>
      </tp>
      <tp>
        <v>0.59258276224136353</v>
        <stp/>
        <stp>BDP|4089992193290453877|22</stp>
        <stp>LITE US 03/20/26 C420 Equity</stp>
        <stp>DELTA_MID_RT</stp>
        <tr r="AF7" s="2"/>
      </tp>
      <tp>
        <v>0.4634585976600647</v>
        <stp/>
        <stp>BDP|7125100259003145731|22</stp>
        <stp>META US 07/17/26 C750 Equity</stp>
        <stp>DELTA_MID_RT</stp>
        <tr r="W13" s="89"/>
        <tr r="AF8" s="2"/>
        <tr r="AF9" s="2"/>
      </tp>
      <tp>
        <v>0.40193140506744385</v>
        <stp/>
        <stp>BDP|9423536240340943551|22</stp>
        <stp>AAPL US 04/17/26 C280 Equity</stp>
        <stp>DELTA_MID_RT</stp>
        <tr r="W8" s="89"/>
        <tr r="AF16" s="2"/>
      </tp>
      <tp>
        <v>210.81</v>
        <stp/>
        <stp>BDP|18434337130911834676|22</stp>
        <stp>CRM Equity</stp>
        <stp>LAST PRICE</stp>
        <tr r="G31" s="338"/>
        <tr r="G32" s="338"/>
        <tr r="L9" s="446"/>
      </tp>
      <tp>
        <v>341.36</v>
        <stp/>
        <stp>BDP|13113113388917834281|22</stp>
        <stp>TSM Equity</stp>
        <stp>LAST_PRICE</stp>
        <tr r="I48" s="1"/>
        <tr r="I49" s="1"/>
      </tp>
      <tp>
        <v>-1.7566841095685959E-2</v>
        <stp/>
        <stp>BDP|15321678807779754364|22</stp>
        <stp>QQQ US 02/02/26 P624 Equity</stp>
        <stp>DELTA_MID_RT</stp>
        <tr r="W82" s="89"/>
      </tp>
      <tp>
        <v>-0.21224728226661682</v>
        <stp/>
        <stp>BDP|12670612979273752927|22</stp>
        <stp>QQQ US 02/06/26 P615 Equity</stp>
        <stp>DELTA_MID_RT</stp>
        <tr r="W76" s="89"/>
        <tr r="AF18" s="2"/>
      </tp>
      <tp t="s">
        <v>#N/A Real Time</v>
        <stp/>
        <stp>BDP|16744070427508501583|22</stp>
        <stp>QQQ US 01/15/26 P622 Equity</stp>
        <stp>DELTA_MID_RT</stp>
        <tr r="W69" s="89"/>
      </tp>
      <tp>
        <v>344.9</v>
        <stp/>
        <stp>BDP|16760158171648826820|22</stp>
        <stp>GOOG Equity</stp>
        <stp>LAST_PRICE</stp>
        <tr r="I23" s="1"/>
      </tp>
      <tp>
        <v>0.08</v>
        <stp/>
        <stp>BDP|9704315770915911503|22</stp>
        <stp>ASHR US 02/20/26 C35 Equity</stp>
        <stp>bid</stp>
        <tr r="P4" s="2"/>
      </tp>
      <tp t="s">
        <v>#N/A Real Time</v>
        <stp/>
        <stp>BDP|3703572431849033805|22</stp>
        <stp>3OF5C    22500 Index</stp>
        <stp>DELTA_MID_RT</stp>
        <tr r="W109" s="89"/>
      </tp>
      <tp>
        <v>23.5</v>
        <stp/>
        <stp>BDP|12167170999494993919|22</stp>
        <stp>KHC Equity</stp>
        <stp>LAST_PRICE</stp>
        <tr r="I55" s="1"/>
      </tp>
      <tp>
        <v>5558</v>
        <stp/>
        <stp>BDP|18259571086573127790|22</stp>
        <stp>HCTA Index</stp>
        <stp>LAST PRICE</stp>
        <tr r="L12" s="446"/>
      </tp>
      <tp>
        <v>2.97</v>
        <stp/>
        <stp>BDP|5295851568697877083|22</stp>
        <stp>MRVL US 03/20/26 P70 Equity</stp>
        <stp>bid</stp>
        <tr r="P14" s="2"/>
        <tr r="K63" s="89"/>
      </tp>
      <tp>
        <v>0.14000000000000001</v>
        <stp/>
        <stp>BDP|8465872380432047250|22</stp>
        <stp>ASHR US 02/20/26 C35 Equity</stp>
        <stp>ask</stp>
        <tr r="Q4" s="2"/>
      </tp>
      <tp>
        <v>341.36</v>
        <stp/>
        <stp>BDP|18226792745994375460|22</stp>
        <stp>TSM Equity</stp>
        <stp>LAST PRICE</stp>
        <tr r="G13" s="338"/>
        <tr r="G34" s="338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0.41585177183151245</v>
        <stp/>
        <stp>BDP|18231477560940764707|22</stp>
        <stp>TSM US 07/17/26 C380 Equity</stp>
        <stp>DELTA_MID_RT</stp>
        <tr r="W20" s="89"/>
      </tp>
      <tp>
        <v>4605.9799999999996</v>
        <stp/>
        <stp>BDP|6933862981827794123|22</stp>
        <stp>SHSZ300 Index</stp>
        <stp>LAST_PRICE</stp>
        <tr r="H8" s="252"/>
        <tr r="H8" s="25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P&amp;L'!$B$12:$B$56</c:f>
              <c:strCache>
                <c:ptCount val="45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NQA</c:v>
                </c:pt>
                <c:pt idx="4">
                  <c:v>NQA</c:v>
                </c:pt>
                <c:pt idx="5">
                  <c:v>1OH6</c:v>
                </c:pt>
                <c:pt idx="6">
                  <c:v>QQQ</c:v>
                </c:pt>
                <c:pt idx="7">
                  <c:v>RSP</c:v>
                </c:pt>
                <c:pt idx="8">
                  <c:v>RSP</c:v>
                </c:pt>
                <c:pt idx="9">
                  <c:v>GDX</c:v>
                </c:pt>
                <c:pt idx="10">
                  <c:v>GDX</c:v>
                </c:pt>
                <c:pt idx="11">
                  <c:v>GOOG</c:v>
                </c:pt>
                <c:pt idx="12">
                  <c:v>AAPL</c:v>
                </c:pt>
                <c:pt idx="13">
                  <c:v>AAPL</c:v>
                </c:pt>
                <c:pt idx="14">
                  <c:v>AMZN</c:v>
                </c:pt>
                <c:pt idx="15">
                  <c:v>AMZN</c:v>
                </c:pt>
                <c:pt idx="16">
                  <c:v>META</c:v>
                </c:pt>
                <c:pt idx="17">
                  <c:v>MSFT</c:v>
                </c:pt>
                <c:pt idx="18">
                  <c:v>IGV</c:v>
                </c:pt>
                <c:pt idx="19">
                  <c:v>IGV</c:v>
                </c:pt>
                <c:pt idx="20">
                  <c:v>000660 KP</c:v>
                </c:pt>
                <c:pt idx="21">
                  <c:v>402340 KS</c:v>
                </c:pt>
                <c:pt idx="22">
                  <c:v>005930 KS</c:v>
                </c:pt>
                <c:pt idx="23">
                  <c:v>005930 KS</c:v>
                </c:pt>
                <c:pt idx="24">
                  <c:v>EWY</c:v>
                </c:pt>
                <c:pt idx="25">
                  <c:v>EWY</c:v>
                </c:pt>
                <c:pt idx="26">
                  <c:v>LITE</c:v>
                </c:pt>
                <c:pt idx="27">
                  <c:v>LITE</c:v>
                </c:pt>
                <c:pt idx="28">
                  <c:v>CSCO</c:v>
                </c:pt>
                <c:pt idx="29">
                  <c:v>CSCO</c:v>
                </c:pt>
                <c:pt idx="30">
                  <c:v>AKAM</c:v>
                </c:pt>
                <c:pt idx="31">
                  <c:v>AKAM</c:v>
                </c:pt>
                <c:pt idx="32">
                  <c:v>300502 CH</c:v>
                </c:pt>
                <c:pt idx="33">
                  <c:v>300502 CH</c:v>
                </c:pt>
                <c:pt idx="34">
                  <c:v>AVGO</c:v>
                </c:pt>
                <c:pt idx="35">
                  <c:v>AVGO</c:v>
                </c:pt>
                <c:pt idx="36">
                  <c:v>TSM</c:v>
                </c:pt>
                <c:pt idx="37">
                  <c:v>TSM</c:v>
                </c:pt>
                <c:pt idx="38">
                  <c:v>INTC</c:v>
                </c:pt>
                <c:pt idx="39">
                  <c:v>NVDA</c:v>
                </c:pt>
                <c:pt idx="40">
                  <c:v>MRVL</c:v>
                </c:pt>
                <c:pt idx="41">
                  <c:v>RIOT</c:v>
                </c:pt>
                <c:pt idx="42">
                  <c:v>XLF</c:v>
                </c:pt>
                <c:pt idx="43">
                  <c:v>KHC</c:v>
                </c:pt>
                <c:pt idx="44">
                  <c:v>XLP</c:v>
                </c:pt>
              </c:strCache>
            </c:strRef>
          </c:cat>
          <c:val>
            <c:numRef>
              <c:f>'Master P&amp;L'!$J$12:$J$56</c:f>
              <c:numCache>
                <c:formatCode>0.00%</c:formatCode>
                <c:ptCount val="45"/>
                <c:pt idx="0">
                  <c:v>-6.9002123142251071E-3</c:v>
                </c:pt>
                <c:pt idx="1">
                  <c:v>-3.0095312704008448E-2</c:v>
                </c:pt>
                <c:pt idx="2">
                  <c:v>-1.0765550239234423E-2</c:v>
                </c:pt>
                <c:pt idx="3">
                  <c:v>9.3723180151361607E-3</c:v>
                </c:pt>
                <c:pt idx="4">
                  <c:v>1.6031178826670933E-2</c:v>
                </c:pt>
                <c:pt idx="5">
                  <c:v>7.9567588624853691E-3</c:v>
                </c:pt>
                <c:pt idx="6">
                  <c:v>2.1530869171114912</c:v>
                </c:pt>
                <c:pt idx="7">
                  <c:v>5.1494345718900991E-3</c:v>
                </c:pt>
                <c:pt idx="8">
                  <c:v>2.6185920032228971E-3</c:v>
                </c:pt>
                <c:pt idx="9">
                  <c:v>-1.0615711252659477E-4</c:v>
                </c:pt>
                <c:pt idx="10">
                  <c:v>1.7015846006593893E-3</c:v>
                </c:pt>
                <c:pt idx="11">
                  <c:v>1.8816648450654228E-2</c:v>
                </c:pt>
                <c:pt idx="12">
                  <c:v>4.0581162324649256E-2</c:v>
                </c:pt>
                <c:pt idx="13">
                  <c:v>1.2866681671543256E-2</c:v>
                </c:pt>
                <c:pt idx="14">
                  <c:v>1.5294609277058058E-2</c:v>
                </c:pt>
                <c:pt idx="15">
                  <c:v>-1.9307398430760125E-3</c:v>
                </c:pt>
                <c:pt idx="16">
                  <c:v>-1.4082344731332963E-2</c:v>
                </c:pt>
                <c:pt idx="17">
                  <c:v>-1.6082177136349962E-2</c:v>
                </c:pt>
                <c:pt idx="18">
                  <c:v>-8.7476469936884627E-3</c:v>
                </c:pt>
                <c:pt idx="19">
                  <c:v>-1.4856388246946239E-2</c:v>
                </c:pt>
                <c:pt idx="20">
                  <c:v>-8.6908690869086924E-2</c:v>
                </c:pt>
                <c:pt idx="21">
                  <c:v>6.2256534582387779E-3</c:v>
                </c:pt>
                <c:pt idx="22">
                  <c:v>-7.2534887287225902E-2</c:v>
                </c:pt>
                <c:pt idx="23">
                  <c:v>-2.3268433224376994E-2</c:v>
                </c:pt>
                <c:pt idx="24">
                  <c:v>-1.2090515480761344E-2</c:v>
                </c:pt>
                <c:pt idx="25">
                  <c:v>-4.9590875278937574E-4</c:v>
                </c:pt>
                <c:pt idx="26">
                  <c:v>8.0594120048999685E-2</c:v>
                </c:pt>
                <c:pt idx="27">
                  <c:v>-1.0700934579439214E-2</c:v>
                </c:pt>
                <c:pt idx="28">
                  <c:v>-2.4740227610093868E-3</c:v>
                </c:pt>
                <c:pt idx="29">
                  <c:v>2.9622063329928672E-2</c:v>
                </c:pt>
                <c:pt idx="30">
                  <c:v>-5.3525476067937117E-3</c:v>
                </c:pt>
                <c:pt idx="31">
                  <c:v>8.285862247539022E-4</c:v>
                </c:pt>
                <c:pt idx="32">
                  <c:v>4.6508855991799436E-2</c:v>
                </c:pt>
                <c:pt idx="33">
                  <c:v>-1.9551675533124868E-3</c:v>
                </c:pt>
                <c:pt idx="34">
                  <c:v>-5.7349833987319077E-4</c:v>
                </c:pt>
                <c:pt idx="35">
                  <c:v>-8.0587177950868227E-3</c:v>
                </c:pt>
                <c:pt idx="36">
                  <c:v>3.2671829622458848E-2</c:v>
                </c:pt>
                <c:pt idx="37">
                  <c:v>-2.1631102016954618E-3</c:v>
                </c:pt>
                <c:pt idx="38">
                  <c:v>5.0355067785668339E-2</c:v>
                </c:pt>
                <c:pt idx="39">
                  <c:v>-2.8880866425992635E-2</c:v>
                </c:pt>
                <c:pt idx="40">
                  <c:v>-3.294475418144982E-3</c:v>
                </c:pt>
                <c:pt idx="41">
                  <c:v>-9.6961861667744786E-3</c:v>
                </c:pt>
                <c:pt idx="42">
                  <c:v>1.104041916167664E-2</c:v>
                </c:pt>
                <c:pt idx="43">
                  <c:v>-1.0109519797809496E-2</c:v>
                </c:pt>
                <c:pt idx="44">
                  <c:v>1.1854867680517245E-2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36</xdr:col>
      <xdr:colOff>404810</xdr:colOff>
      <xdr:row>8</xdr:row>
      <xdr:rowOff>83345</xdr:rowOff>
    </xdr:from>
    <xdr:to>
      <xdr:col>42</xdr:col>
      <xdr:colOff>154778</xdr:colOff>
      <xdr:row>47</xdr:row>
      <xdr:rowOff>134394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AE75B8-1133-8DED-4B6D-C71738D65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62404" y="1714501"/>
          <a:ext cx="3405187" cy="8349706"/>
        </a:xfrm>
        <a:prstGeom prst="rect">
          <a:avLst/>
        </a:prstGeom>
      </xdr:spPr>
    </xdr:pic>
    <xdr:clientData/>
  </xdr:twoCellAnchor>
  <xdr:twoCellAnchor editAs="oneCell">
    <xdr:from>
      <xdr:col>13</xdr:col>
      <xdr:colOff>464182</xdr:colOff>
      <xdr:row>11</xdr:row>
      <xdr:rowOff>202408</xdr:rowOff>
    </xdr:from>
    <xdr:to>
      <xdr:col>20</xdr:col>
      <xdr:colOff>374925</xdr:colOff>
      <xdr:row>53</xdr:row>
      <xdr:rowOff>48095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AEE125B-7BFE-53C8-3539-CC3CDD713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1057" y="2452689"/>
          <a:ext cx="4518462" cy="873965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9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292137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D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E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637373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2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55.75547650463" createdVersion="8" refreshedVersion="8" minRefreshableVersion="3" recordCount="45" xr:uid="{C35D4399-4CEF-409A-AF8E-A02DC4C552E4}">
  <cacheSource type="worksheet">
    <worksheetSource name="Tabelad"/>
  </cacheSource>
  <cacheFields count="34">
    <cacheField name="Ticker" numFmtId="172">
      <sharedItems containsBlank="1" count="188">
        <s v="BABA"/>
        <s v="BIDU"/>
        <s v="ASHR"/>
        <s v="NQA"/>
        <s v="1OH6"/>
        <s v="QQQ"/>
        <s v="RSP"/>
        <s v="GDX"/>
        <s v="GOOG"/>
        <s v="AAPL"/>
        <s v="AMZN"/>
        <s v="META"/>
        <s v="MSFT"/>
        <s v="IGV"/>
        <s v="000660 KP"/>
        <s v="402340 KS"/>
        <s v="005930 KS"/>
        <s v="EWY"/>
        <s v="LITE"/>
        <s v="CSCO"/>
        <s v="AKAM"/>
        <s v="300502 CH"/>
        <s v="AVGO"/>
        <s v="TSM"/>
        <s v="INTC"/>
        <s v="NVDA"/>
        <s v="MRVL"/>
        <s v="RIOT"/>
        <s v="XLF"/>
        <s v="KHC"/>
        <s v="XLP"/>
        <s v="NET" u="1"/>
        <s v="AMD" u="1"/>
        <s v="SNDK" u="1"/>
        <s v="COPX" u="1"/>
        <s v="000660 KS" u="1"/>
        <s v="KMH6" u="1"/>
        <s v="AMAT" u="1"/>
        <s v="GDX " u="1"/>
        <s v="QQQE" u="1"/>
        <s v="NFLX" u="1"/>
        <s v="COHR" u="1"/>
        <s v="ASML NA" u="1"/>
        <s v="CEG" u="1"/>
        <s v="V" u="1"/>
        <s v="MA" u="1"/>
        <s v="SOXX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BW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Metals"/>
        <s v="Internet/SW"/>
        <s v="Memory"/>
        <s v="Networking"/>
        <s v="Semis"/>
        <s v="Power "/>
        <s v="Pairs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 containsBlank="1"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47900" maxValue="47900"/>
    </cacheField>
    <cacheField name="Price Today" numFmtId="43">
      <sharedItems containsSemiMixedTypes="0" containsString="0" containsNumber="1" minValue="15.32" maxValue="830000"/>
    </cacheField>
    <cacheField name="% Chg" numFmtId="10">
      <sharedItems containsSemiMixedTypes="0" containsString="0" containsNumber="1" minValue="-8.6908690869086924E-2" maxValue="2.1530869171114912"/>
    </cacheField>
    <cacheField name="Price Yest" numFmtId="43">
      <sharedItems containsSemiMixedTypes="0" containsString="0" containsNumber="1" minValue="15.47" maxValue="909000"/>
    </cacheField>
    <cacheField name="FX" numFmtId="168">
      <sharedItems containsSemiMixedTypes="0" containsString="0" containsNumber="1" minValue="1" maxValue="1451.85"/>
    </cacheField>
    <cacheField name="Mult" numFmtId="166">
      <sharedItems containsSemiMixedTypes="0" containsString="0" containsNumber="1" containsInteger="1" minValue="1" maxValue="20"/>
    </cacheField>
    <cacheField name="D1 Exp USD" numFmtId="166">
      <sharedItems containsSemiMixedTypes="0" containsString="0" containsNumber="1" minValue="-23290650" maxValue="23290650"/>
    </cacheField>
    <cacheField name="D1 Exp %" numFmtId="198">
      <sharedItems containsSemiMixedTypes="0" containsString="0" containsNumber="1" minValue="-9.7199728272701208E-3" maxValue="9.7199728272701208E-3"/>
    </cacheField>
    <cacheField name="D1 P&amp;L bps" numFmtId="170">
      <sharedItems containsSemiMixedTypes="0" containsString="0" containsNumber="1" minValue="-0.91834277731226477" maxValue="1.5493513114163977"/>
    </cacheField>
    <cacheField name="Options Exp USD (delta adj)" numFmtId="166">
      <sharedItems containsString="0" containsBlank="1" containsNumber="1" minValue="-5150255.8095857501" maxValue="13431248.005437851"/>
    </cacheField>
    <cacheField name="Option Exp %" numFmtId="10">
      <sharedItems containsString="0" containsBlank="1" containsNumber="1" minValue="-2.1493752438280409E-3" maxValue="5.6053122454367702E-3"/>
    </cacheField>
    <cacheField name="Options P&amp;L bps" numFmtId="170">
      <sharedItems containsString="0" containsBlank="1" containsNumber="1" minValue="-0.37484911728328818" maxValue="1.7267702949223604"/>
    </cacheField>
    <cacheField name="Exp" numFmtId="166">
      <sharedItems containsSemiMixedTypes="0" containsString="0" containsNumber="1" minValue="-23290650" maxValue="23290650"/>
    </cacheField>
    <cacheField name="Exp %" numFmtId="173">
      <sharedItems containsSemiMixedTypes="0" containsString="0" containsNumber="1" minValue="-9.7199728272701208E-3" maxValue="9.7199728272701208E-3"/>
    </cacheField>
    <cacheField name="P&amp;L bps" numFmtId="170">
      <sharedItems containsSemiMixedTypes="0" containsString="0" containsNumber="1" minValue="-0.91834277731226477" maxValue="1.9610547492275952"/>
    </cacheField>
    <cacheField name="xx" numFmtId="166">
      <sharedItems containsSemiMixedTypes="0" containsString="0" containsNumber="1" minValue="0.32407498004134705" maxValue="10948.530510443863"/>
    </cacheField>
    <cacheField name="Ticker2" numFmtId="0">
      <sharedItems containsNonDate="0" containsString="0" containsBlank="1"/>
    </cacheField>
    <cacheField name="xx2" numFmtId="3">
      <sharedItems containsSemiMixedTypes="0" containsString="0" containsNumber="1" minValue="-16765" maxValue="16765"/>
    </cacheField>
    <cacheField name="Beta Adj" numFmtId="170">
      <sharedItems containsSemiMixedTypes="0" containsString="0" containsNumber="1" minValue="-0.80627089599162649" maxValue="1.3666839681018375"/>
    </cacheField>
    <cacheField name="Expo Beta Adj" numFmtId="10">
      <sharedItems containsMixedTypes="1" containsNumber="1" minValue="-3.9652198217233403E-3" maxValue="9.3957929084010992E-3"/>
    </cacheField>
    <cacheField name="Vol 10d" numFmtId="43">
      <sharedItems containsSemiMixedTypes="0" containsString="0" containsNumber="1" minValue="10.401862253331025" maxValue="149.63225671332364"/>
    </cacheField>
    <cacheField name="Beta Adj2" numFmtId="43">
      <sharedItems containsMixedTypes="1" containsNumber="1" minValue="0.365012526512146" maxValue="2.0718657970428467"/>
    </cacheField>
    <cacheField name="Daily P&amp;L" numFmtId="166">
      <sharedItems containsSemiMixedTypes="0" containsString="0" containsNumber="1" minValue="-206263.00822878614" maxValue="347989.73780930182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2.9491059999999999E-2" maxValue="7.8618000000000004E-3"/>
    </cacheField>
    <cacheField name="Column4" numFmtId="170">
      <sharedItems containsMixedTypes="1" containsNumber="1" minValue="-0.70315065709510294" maxValue="5.4337197454037825E-2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x v="0"/>
    <x v="0"/>
    <m/>
    <s v="USD"/>
    <s v="Long"/>
    <m/>
    <n v="3378"/>
    <n v="168.39"/>
    <n v="-6.9002123142251071E-3"/>
    <n v="169.56"/>
    <n v="1"/>
    <n v="1"/>
    <n v="568821.41999999993"/>
    <n v="2.3738834021245451E-4"/>
    <n v="-1.6494112361100755E-2"/>
    <n v="0"/>
    <n v="0"/>
    <n v="0"/>
    <n v="568821.41999999993"/>
    <n v="2.3738834021245451E-4"/>
    <n v="-1.6494112361100755E-2"/>
    <n v="996.08936053209811"/>
    <m/>
    <n v="1182.2999999999997"/>
    <n v="6.2994650807677022E-2"/>
    <n v="2.033369302710409E-4"/>
    <n v="42.45846329355448"/>
    <n v="0.85655820369720459"/>
    <n v="-3704.6354778564573"/>
    <m/>
    <s v="20/02/2026"/>
    <e v="#VALUE!"/>
    <e v="#VALUE!"/>
    <s v="12/06/2025"/>
  </r>
  <r>
    <x v="1"/>
    <x v="0"/>
    <m/>
    <s v="USD"/>
    <s v="Long"/>
    <m/>
    <n v="3510"/>
    <n v="148.57"/>
    <n v="-3.0095312704008448E-2"/>
    <n v="153.18"/>
    <n v="1"/>
    <n v="1"/>
    <n v="521480.69999999995"/>
    <n v="2.1763146300965414E-4"/>
    <n v="-6.752918115867998E-2"/>
    <n v="0"/>
    <n v="0"/>
    <n v="0"/>
    <n v="521480.69999999995"/>
    <n v="2.1763146300965414E-4"/>
    <n v="-6.752918115867998E-2"/>
    <n v="1128.972790065289"/>
    <m/>
    <n v="1228.4999999999998"/>
    <n v="7.343296245037062E-2"/>
    <n v="2.2553396350743241E-4"/>
    <n v="53.987019292050164"/>
    <n v="1.0363113880157471"/>
    <n v="-15167.290899572012"/>
    <m/>
    <s v="26/02/2026"/>
    <e v="#VALUE!"/>
    <e v="#VALUE!"/>
    <s v="#N/A Field Not Applicable"/>
  </r>
  <r>
    <x v="2"/>
    <x v="0"/>
    <m/>
    <s v="USD"/>
    <s v="Long"/>
    <m/>
    <n v="21000"/>
    <n v="33.08"/>
    <n v="-1.0765550239234423E-2"/>
    <n v="33.44"/>
    <n v="1"/>
    <n v="1"/>
    <n v="694680"/>
    <n v="2.8991336539117661E-4"/>
    <n v="-3.1550426705206594E-2"/>
    <n v="451142.18729734409"/>
    <n v="1.8827683219512515E-4"/>
    <n v="-1.7728661765313902E-2"/>
    <n v="1145822.1872973442"/>
    <n v="4.7819019758630179E-4"/>
    <n v="-4.9279088470520496E-2"/>
    <n v="5070.4802726723092"/>
    <m/>
    <n v="12123.269817233084"/>
    <n v="3.7976085789365052E-2"/>
    <n v="5.4568280955587082E-4"/>
    <n v="12.706604520478079"/>
    <n v="1.1411417722702026"/>
    <n v="-7086.336479025771"/>
    <m/>
    <s v="#N/A N/A"/>
    <n v="-1.166266E-2"/>
    <n v="-5.5769696897818584E-2"/>
    <s v="19/12/2025"/>
  </r>
  <r>
    <x v="3"/>
    <x v="1"/>
    <m/>
    <s v="USD"/>
    <s v="Short"/>
    <m/>
    <n v="-45"/>
    <n v="25878.5"/>
    <n v="9.538113443083418E-3"/>
    <n v="25634"/>
    <n v="1"/>
    <n v="20"/>
    <n v="-23290650"/>
    <n v="-9.7199728272701208E-3"/>
    <n v="-0.91834277731226477"/>
    <n v="0"/>
    <n v="0"/>
    <n v="0"/>
    <n v="-23290650"/>
    <n v="-9.7199728272701208E-3"/>
    <n v="-0.91834277731226477"/>
    <n v="0.32407498004134705"/>
    <m/>
    <n v="-315"/>
    <n v="-0.80627089599162649"/>
    <e v="#VALUE!"/>
    <n v="13.27198600769043"/>
    <s v="#N/A Field Not Applicable"/>
    <n v="-206263.00822878614"/>
    <m/>
    <s v="#N/A Field Not Applicable"/>
    <e v="#VALUE!"/>
    <e v="#VALUE!"/>
    <s v="#N/A Field Not Applicable"/>
  </r>
  <r>
    <x v="3"/>
    <x v="1"/>
    <m/>
    <s v="USD"/>
    <s v="Short"/>
    <m/>
    <n v="45"/>
    <n v="25878.5"/>
    <n v="1.6198068012251543E-2"/>
    <n v="25466"/>
    <n v="1"/>
    <n v="20"/>
    <n v="23290650"/>
    <n v="9.7199728272701208E-3"/>
    <n v="1.5493513114163977"/>
    <n v="0"/>
    <n v="0"/>
    <n v="0"/>
    <n v="23290650"/>
    <n v="9.7199728272701208E-3"/>
    <n v="1.5493513114163977"/>
    <n v="0.32407498004134705"/>
    <m/>
    <n v="315"/>
    <n v="0.80627089599162649"/>
    <e v="#VALUE!"/>
    <n v="13.27198600769043"/>
    <s v="#N/A Field Not Applicable"/>
    <n v="347989.73780930182"/>
    <m/>
    <s v="#N/A Field Not Applicable"/>
    <e v="#VALUE!"/>
    <e v="#VALUE!"/>
    <s v="#N/A Field Not Applicable"/>
  </r>
  <r>
    <x v="4"/>
    <x v="1"/>
    <m/>
    <s v="USD"/>
    <s v="Short"/>
    <m/>
    <m/>
    <n v="25878.5"/>
    <n v="8.1223217763926048E-3"/>
    <n v="25670"/>
    <n v="1"/>
    <n v="20"/>
    <n v="0"/>
    <n v="0"/>
    <n v="0"/>
    <n v="-5150255.8095857501"/>
    <n v="-2.1493752438280409E-3"/>
    <n v="-0.11434943012204525"/>
    <n v="-5150255.8095857501"/>
    <n v="-2.1493752438280409E-3"/>
    <n v="-0.11434943012204525"/>
    <n v="0.32407498004134705"/>
    <m/>
    <n v="-69.655873924493775"/>
    <n v="-0.17829048850851226"/>
    <e v="#VALUE!"/>
    <n v="13.27198600769043"/>
    <s v="#N/A Field Not Applicable"/>
    <n v="0"/>
    <m/>
    <s v="#N/A Field Not Applicable"/>
    <e v="#VALUE!"/>
    <e v="#VALUE!"/>
    <s v="#N/A Field Not Applicable"/>
  </r>
  <r>
    <x v="5"/>
    <x v="1"/>
    <m/>
    <s v="USD"/>
    <s v="Short"/>
    <m/>
    <m/>
    <n v="626.14"/>
    <n v="2.1530869171114912"/>
    <n v="198.58"/>
    <n v="1"/>
    <n v="1"/>
    <n v="0"/>
    <n v="0"/>
    <n v="0"/>
    <n v="-1454424.0205028653"/>
    <n v="-6.0698013832232291E-4"/>
    <n v="-9.5986747912663647E-4"/>
    <n v="-1454424.0205028653"/>
    <n v="-6.0698013832232291E-4"/>
    <n v="-9.5986747912663647E-4"/>
    <n v="267.88176353531156"/>
    <m/>
    <n v="-812.99454942345608"/>
    <n v="-4.9310746083776218E-2"/>
    <n v="-6.0757050456050827E-4"/>
    <n v="12.998315554790921"/>
    <n v="1.0009726285934448"/>
    <n v="0"/>
    <m/>
    <s v="#N/A N/A"/>
    <n v="-4.7115839999999996E-3"/>
    <n v="2.8598379080372431E-2"/>
    <s v="22/12/2025"/>
  </r>
  <r>
    <x v="6"/>
    <x v="1"/>
    <m/>
    <s v="USD"/>
    <s v="Short"/>
    <m/>
    <n v="-47900"/>
    <n v="199.1"/>
    <n v="5.1494345718900991E-3"/>
    <n v="198.08"/>
    <n v="1"/>
    <n v="1"/>
    <n v="-9536890"/>
    <n v="-3.9800654621774895E-3"/>
    <n v="-0.20390089258769292"/>
    <n v="0"/>
    <n v="0"/>
    <n v="0"/>
    <n v="-9536890"/>
    <n v="-3.9800654621774895E-3"/>
    <n v="-0.20390089258769292"/>
    <n v="842.44845514816677"/>
    <m/>
    <n v="-16765"/>
    <n v="-0.25875057935506579"/>
    <n v="-3.9652198217233403E-3"/>
    <n v="10.401862253331025"/>
    <n v="0.99627000093460083"/>
    <n v="-45796.855514845956"/>
    <m/>
    <s v="#N/A N/A"/>
    <e v="#VALUE!"/>
    <e v="#VALUE!"/>
    <s v="22/12/2025"/>
  </r>
  <r>
    <x v="6"/>
    <x v="1"/>
    <m/>
    <s v="USD"/>
    <s v="Short"/>
    <m/>
    <n v="47900"/>
    <n v="199.1"/>
    <n v="2.6185920032228971E-3"/>
    <n v="198.58"/>
    <n v="1"/>
    <n v="1"/>
    <n v="9536890"/>
    <n v="3.9800654621774895E-3"/>
    <n v="0.10394947465254756"/>
    <m/>
    <m/>
    <m/>
    <n v="9536890"/>
    <n v="3.9800654621774895E-3"/>
    <n v="0.10394947465254756"/>
    <n v="842.44845514816677"/>
    <m/>
    <n v="16765"/>
    <n v="0.25875057935506579"/>
    <n v="3.9652198217233403E-3"/>
    <n v="10.401862253331025"/>
    <n v="0.99627000093460083"/>
    <n v="23347.416536979894"/>
    <m/>
    <s v="#N/A N/A"/>
    <e v="#VALUE!"/>
    <e v="#VALUE!"/>
    <s v="22/12/2025"/>
  </r>
  <r>
    <x v="7"/>
    <x v="2"/>
    <m/>
    <s v="USD"/>
    <m/>
    <m/>
    <n v="20000"/>
    <n v="94.19"/>
    <n v="-1.0615711252659477E-4"/>
    <n v="94.2"/>
    <n v="1"/>
    <n v="1"/>
    <n v="1883800"/>
    <n v="7.8617319877338982E-4"/>
    <n v="-8.3466737315404194E-4"/>
    <n v="0"/>
    <n v="0"/>
    <n v="0"/>
    <n v="1883800"/>
    <n v="7.8617319877338982E-4"/>
    <n v="-8.3466737315404194E-4"/>
    <n v="1780.7780806879712"/>
    <m/>
    <n v="6999.9999999999991"/>
    <n v="0.41579763700509265"/>
    <n v="7.8309803921357344E-4"/>
    <n v="84.6220934834883"/>
    <n v="0.99608844518661499"/>
    <n v="-187.469219021942"/>
    <m/>
    <s v="#N/A N/A"/>
    <n v="-2.6539279999999998E-3"/>
    <n v="-2.086447065074265E-2"/>
    <s v="22/12/2025"/>
  </r>
  <r>
    <x v="7"/>
    <x v="2"/>
    <m/>
    <s v="USD"/>
    <m/>
    <m/>
    <n v="-20000"/>
    <n v="94.19"/>
    <n v="1.7015846006593893E-3"/>
    <n v="94.03"/>
    <n v="1"/>
    <n v="1"/>
    <n v="-1883800"/>
    <n v="-7.8617319877338982E-4"/>
    <n v="-1.3354677970457553E-2"/>
    <m/>
    <m/>
    <m/>
    <n v="-1883800"/>
    <n v="-7.8617319877338982E-4"/>
    <n v="-1.3354677970457553E-2"/>
    <n v="1780.7780806879712"/>
    <m/>
    <n v="-6999.9999999999991"/>
    <n v="-0.41579763700509265"/>
    <n v="-7.8309803921357344E-4"/>
    <n v="84.6220934834883"/>
    <n v="0.99608844518661499"/>
    <n v="-2999.507504349473"/>
    <m/>
    <s v="#N/A N/A"/>
    <n v="-2.6539279999999998E-3"/>
    <n v="2.086447065074265E-2"/>
    <s v="22/12/2025"/>
  </r>
  <r>
    <x v="8"/>
    <x v="3"/>
    <m/>
    <s v="USD"/>
    <s v="Long"/>
    <m/>
    <n v="14500"/>
    <n v="344.84"/>
    <n v="1.8639411573568188E-2"/>
    <n v="338.53"/>
    <n v="1"/>
    <n v="1"/>
    <n v="5000180"/>
    <n v="2.0867435529476211E-3"/>
    <n v="0.38183945653345008"/>
    <n v="0"/>
    <n v="0"/>
    <n v="0"/>
    <n v="5000180"/>
    <n v="2.0867435529476211E-3"/>
    <n v="0.38183945653345008"/>
    <n v="486.40380298109267"/>
    <m/>
    <n v="5075"/>
    <n v="0.17835683003087854"/>
    <n v="2.1557525934527751E-3"/>
    <n v="13.675419178667457"/>
    <n v="1.0330702066421509"/>
    <n v="85762.480972019068"/>
    <m/>
    <s v="04/02/2026"/>
    <n v="-6.5873360000000001E-3"/>
    <n v="-0.13746080929099772"/>
    <s v="08/12/2025"/>
  </r>
  <r>
    <x v="9"/>
    <x v="3"/>
    <m/>
    <s v="USD"/>
    <s v="Long"/>
    <m/>
    <n v="0"/>
    <n v="269.95499999999998"/>
    <n v="4.0369199938337985E-2"/>
    <n v="259.48"/>
    <n v="1"/>
    <n v="1"/>
    <n v="0"/>
    <n v="0"/>
    <n v="0"/>
    <n v="2638236.3931328068"/>
    <n v="1.1010249200072138E-3"/>
    <n v="0.42213302397244062"/>
    <n v="2638236.3931328068"/>
    <n v="1.1010249200072138E-3"/>
    <n v="0.42213302397244062"/>
    <n v="621.33128639958511"/>
    <m/>
    <n v="3420.5061495304121"/>
    <n v="0.12719180815966108"/>
    <n v="1.1791686604972563E-3"/>
    <n v="18.483404812865125"/>
    <n v="1.0709736347198486"/>
    <n v="0"/>
    <m/>
    <s v="01/05/2026"/>
    <n v="2.0810010000000003E-3"/>
    <n v="2.2912339595599324E-2"/>
    <s v="09/02/2026"/>
  </r>
  <r>
    <x v="9"/>
    <x v="3"/>
    <m/>
    <s v="USD"/>
    <s v="Long"/>
    <m/>
    <n v="3000"/>
    <n v="269.95499999999998"/>
    <n v="1.2660364618501063E-2"/>
    <n v="266.58"/>
    <n v="1"/>
    <n v="1"/>
    <n v="809865"/>
    <n v="3.3798394607952617E-4"/>
    <n v="4.2255035765901755E-2"/>
    <m/>
    <m/>
    <m/>
    <n v="809865"/>
    <n v="3.3798394607952617E-4"/>
    <n v="4.2255035765901755E-2"/>
    <n v="621.33128639958511"/>
    <m/>
    <n v="1050"/>
    <n v="3.9044338097734131E-2"/>
    <n v="3.6197189520974747E-4"/>
    <n v="18.483404812865125"/>
    <n v="1.0709736347198486"/>
    <n v="9490.6292129809572"/>
    <m/>
    <s v="01/05/2026"/>
    <n v="2.0810010000000003E-3"/>
    <n v="7.0334492977544008E-3"/>
    <s v="09/02/2026"/>
  </r>
  <r>
    <x v="10"/>
    <x v="3"/>
    <m/>
    <s v="USD"/>
    <s v="Long"/>
    <m/>
    <n v="16335"/>
    <n v="242.905"/>
    <n v="1.506477225240288E-2"/>
    <n v="239.3"/>
    <n v="1"/>
    <n v="1"/>
    <n v="3967853.1749999998"/>
    <n v="1.6559187933182402E-3"/>
    <n v="0.24575810501686832"/>
    <n v="0"/>
    <n v="0"/>
    <n v="0"/>
    <n v="3967853.1749999998"/>
    <n v="1.6559187933182402E-3"/>
    <n v="0.24575810501686832"/>
    <n v="690.52299219859617"/>
    <m/>
    <n v="5717.25"/>
    <n v="0.2240365522803901"/>
    <n v="2.1015388953699692E-3"/>
    <n v="21.647105226115659"/>
    <n v="1.269107460975647"/>
    <n v="55198.132211311291"/>
    <m/>
    <s v="05/02/2026"/>
    <n v="-4.6385319999999999E-3"/>
    <n v="-7.6810323122080443E-2"/>
    <s v="#N/A Field Not Applicable"/>
  </r>
  <r>
    <x v="10"/>
    <x v="3"/>
    <m/>
    <s v="USD"/>
    <s v="Long"/>
    <m/>
    <n v="-1635"/>
    <n v="242.905"/>
    <n v="-2.1566774842870506E-3"/>
    <n v="243.43"/>
    <n v="1"/>
    <n v="1"/>
    <n v="-397149.67499999999"/>
    <n v="-1.6574393799053094E-4"/>
    <n v="3.5822880321537097E-3"/>
    <m/>
    <m/>
    <m/>
    <n v="-397149.67499999999"/>
    <n v="-1.6574393799053094E-4"/>
    <n v="3.5822880321537097E-3"/>
    <n v="690.52299219859617"/>
    <m/>
    <n v="-572.24999999999989"/>
    <n v="-2.2424227914198826E-2"/>
    <n v="-2.1034686831526779E-4"/>
    <n v="21.647105226115659"/>
    <n v="1.269107460975647"/>
    <n v="804.5944543893944"/>
    <m/>
    <s v="05/02/2026"/>
    <n v="-4.6385319999999999E-3"/>
    <n v="7.6880856017509337E-3"/>
    <s v="#N/A Field Not Applicable"/>
  </r>
  <r>
    <x v="11"/>
    <x v="3"/>
    <m/>
    <s v="USD"/>
    <s v="Long"/>
    <m/>
    <n v="5750"/>
    <n v="706.41"/>
    <n v="-1.4082344731332963E-2"/>
    <n v="716.5"/>
    <n v="1"/>
    <n v="1"/>
    <n v="4061857.5"/>
    <n v="1.6951499648246546E-3"/>
    <n v="-0.2421265716097"/>
    <n v="4419789.1376361251"/>
    <n v="1.8445268947018126E-3"/>
    <n v="-0.37484911728328818"/>
    <n v="8481646.6376361251"/>
    <n v="3.5396768595264672E-3"/>
    <n v="-0.61697568889298815"/>
    <n v="237.44211919423563"/>
    <m/>
    <n v="4202.3418739438057"/>
    <n v="1.3666839681018375"/>
    <n v="4.1706886613208519E-3"/>
    <n v="61.776665942762719"/>
    <n v="1.1782681941986084"/>
    <n v="-54382.477072999944"/>
    <m/>
    <s v="30/04/2026"/>
    <e v="#VALUE!"/>
    <e v="#VALUE!"/>
    <s v="15/12/2025"/>
  </r>
  <r>
    <x v="12"/>
    <x v="3"/>
    <m/>
    <s v="USD"/>
    <s v="Long"/>
    <m/>
    <n v="4180"/>
    <n v="423.37"/>
    <n v="-1.6082177136349962E-2"/>
    <n v="430.29"/>
    <n v="1"/>
    <n v="1"/>
    <n v="1769686.6"/>
    <n v="7.3854983286357609E-4"/>
    <n v="-0.12071627284446129"/>
    <n v="0"/>
    <n v="0"/>
    <n v="0"/>
    <n v="1769686.6"/>
    <n v="7.3854983286357609E-4"/>
    <n v="-0.12071627284446129"/>
    <n v="396.1817970569478"/>
    <m/>
    <n v="1463.0000000000002"/>
    <n v="0.3021693345376753"/>
    <n v="7.5314631618839621E-4"/>
    <n v="65.462195473759806"/>
    <n v="1.019763708114624"/>
    <n v="-27113.298208691616"/>
    <m/>
    <s v="30/04/2026"/>
    <e v="#VALUE!"/>
    <e v="#VALUE!"/>
    <s v="19/02/2026"/>
  </r>
  <r>
    <x v="13"/>
    <x v="3"/>
    <m/>
    <s v="USD"/>
    <s v="Long"/>
    <m/>
    <n v="-26000"/>
    <n v="89.52"/>
    <n v="-8.7476469936884627E-3"/>
    <n v="90.31"/>
    <n v="1"/>
    <n v="1"/>
    <n v="-2327520"/>
    <n v="-9.7135250218125088E-4"/>
    <n v="8.5720339222876932E-2"/>
    <n v="0"/>
    <n v="0"/>
    <n v="0"/>
    <n v="-2327520"/>
    <n v="-9.7135250218125088E-4"/>
    <n v="8.5720339222876932E-2"/>
    <n v="1873.6761329311885"/>
    <m/>
    <n v="-9100"/>
    <n v="-0.19685134390587788"/>
    <n v="-9.7015455285386358E-4"/>
    <n v="32.425113390054747"/>
    <n v="0.99876672029495239"/>
    <n v="19253.088793543746"/>
    <m/>
    <s v="#N/A N/A"/>
    <n v="7.8618000000000004E-3"/>
    <n v="-7.6365791016485579E-2"/>
    <s v="21/03/2024"/>
  </r>
  <r>
    <x v="13"/>
    <x v="3"/>
    <m/>
    <s v="USD"/>
    <s v="Long"/>
    <m/>
    <n v="18500"/>
    <n v="89.52"/>
    <n v="-1.4856388246946239E-2"/>
    <n v="90.87"/>
    <n v="1"/>
    <n v="1"/>
    <n v="1656120"/>
    <n v="6.9115466501358232E-4"/>
    <n v="-0.1042290882225583"/>
    <n v="0"/>
    <n v="0"/>
    <n v="0"/>
    <n v="1656120"/>
    <n v="6.9115466501358232E-4"/>
    <n v="-0.1042290882225583"/>
    <n v="1873.6761329311885"/>
    <m/>
    <n v="6474.9999999999991"/>
    <n v="0.14006730239456694"/>
    <n v="6.9030227799217209E-4"/>
    <n v="32.425113390054747"/>
    <n v="0.99876672029495239"/>
    <n v="-23410.218725353174"/>
    <m/>
    <s v="#N/A N/A"/>
    <n v="7.8618000000000004E-3"/>
    <n v="5.4337197454037825E-2"/>
    <s v="21/03/2024"/>
  </r>
  <r>
    <x v="14"/>
    <x v="4"/>
    <m/>
    <s v="KRW"/>
    <s v="Long"/>
    <m/>
    <n v="1393"/>
    <n v="830000"/>
    <n v="-8.6908690869086924E-2"/>
    <n v="909000"/>
    <n v="1451.85"/>
    <n v="1"/>
    <n v="796356.37290353689"/>
    <n v="3.3234634093276788E-4"/>
    <n v="-0.31632964980347783"/>
    <n v="0"/>
    <n v="0"/>
    <n v="0"/>
    <n v="796356.37290353689"/>
    <n v="3.3234634093276788E-4"/>
    <n v="-0.31632964980347783"/>
    <n v="293.39874700087591"/>
    <m/>
    <n v="0.33581292833281673"/>
    <n v="0.17651560165139493"/>
    <n v="5.5422939914434794E-4"/>
    <n v="84.979110000000006"/>
    <n v="1.6676260000000001"/>
    <n v="-71048.748650677051"/>
    <m/>
    <s v="23/04/2026"/>
    <e v="#VALUE!"/>
    <e v="#VALUE!"/>
    <s v="26/02/2026"/>
  </r>
  <r>
    <x v="15"/>
    <x v="4"/>
    <m/>
    <s v="KRW"/>
    <s v="Long"/>
    <m/>
    <n v="285"/>
    <n v="513000"/>
    <n v="6.2256534582387779E-3"/>
    <n v="509826"/>
    <n v="1451.85"/>
    <n v="1"/>
    <n v="100702.5519165203"/>
    <n v="4.2026567239013763E-5"/>
    <n v="2.6002402420395648E-3"/>
    <n v="0"/>
    <n v="0"/>
    <n v="0"/>
    <n v="100702.5519165203"/>
    <n v="4.2026567239013763E-5"/>
    <n v="2.6002402420395648E-3"/>
    <n v="474.69972711642686"/>
    <m/>
    <n v="6.8705444777353034E-2"/>
    <n v="2.6439097316295228E-2"/>
    <n v="8.3233700470001238E-5"/>
    <n v="100.6567"/>
    <n v="1.980502"/>
    <n v="584.02307688456699"/>
    <m/>
    <s v="11/03/2026"/>
    <e v="#VALUE!"/>
    <e v="#VALUE!"/>
    <s v="#N/A N/A"/>
  </r>
  <r>
    <x v="16"/>
    <x v="4"/>
    <m/>
    <s v="KRW"/>
    <s v="Long"/>
    <m/>
    <n v="3090"/>
    <n v="151200"/>
    <n v="-7.2534887287225902E-2"/>
    <n v="163025"/>
    <n v="1451.85"/>
    <n v="1"/>
    <n v="321801.83903295797"/>
    <n v="1.3429874783082071E-4"/>
    <n v="-0.10503192414678936"/>
    <n v="0"/>
    <n v="0"/>
    <n v="0"/>
    <n v="321801.83903295797"/>
    <n v="1.3429874783082071E-4"/>
    <n v="-0.10503192414678936"/>
    <n v="1610.5883598593055"/>
    <m/>
    <n v="0.74491166442814338"/>
    <n v="4.8729897754169804E-2"/>
    <n v="1.5671616341623697E-4"/>
    <n v="58.055520000000001"/>
    <n v="1.166922"/>
    <n v="-23590.538489320486"/>
    <m/>
    <s v="07/04/2026"/>
    <e v="#VALUE!"/>
    <e v="#VALUE!"/>
    <s v="29/12/2025"/>
  </r>
  <r>
    <x v="16"/>
    <x v="4"/>
    <m/>
    <s v="KRW"/>
    <s v="Long"/>
    <m/>
    <n v="3090"/>
    <n v="151200"/>
    <n v="-2.3268433224376994E-2"/>
    <n v="154802"/>
    <n v="1451.85"/>
    <n v="1"/>
    <n v="321801.83903295797"/>
    <n v="1.3429874783082071E-4"/>
    <n v="-3.1993656725305304E-2"/>
    <n v="0"/>
    <n v="0"/>
    <n v="0"/>
    <n v="321801.83903295797"/>
    <n v="1.3429874783082071E-4"/>
    <n v="-3.1993656725305304E-2"/>
    <n v="1610.5883598593055"/>
    <m/>
    <n v="0.74491166442814338"/>
    <n v="4.8729897754169804E-2"/>
    <n v="1.5671616341623697E-4"/>
    <n v="58.055520000000001"/>
    <n v="1.166922"/>
    <n v="-7185.8874958589759"/>
    <m/>
    <s v="07/04/2026"/>
    <e v="#VALUE!"/>
    <e v="#VALUE!"/>
    <s v="29/12/2025"/>
  </r>
  <r>
    <x v="17"/>
    <x v="4"/>
    <m/>
    <s v="USD"/>
    <s v="Long"/>
    <m/>
    <n v="47216"/>
    <n v="121"/>
    <n v="-1.1518666775590214E-2"/>
    <n v="122.41"/>
    <n v="1"/>
    <n v="1"/>
    <n v="5713136"/>
    <n v="2.3842841087946755E-3"/>
    <n v="-0.27783806557028795"/>
    <n v="0"/>
    <n v="0"/>
    <n v="0"/>
    <n v="5713136"/>
    <n v="2.3842841087946755E-3"/>
    <n v="-0.27783806557028795"/>
    <n v="1386.2106398347107"/>
    <m/>
    <n v="16525.600000000002"/>
    <n v="0.5478391288722686"/>
    <n v="2.2017760971025264E-3"/>
    <n v="36.76334556617698"/>
    <n v="0.92345374822616577"/>
    <n v="-62403.403849615017"/>
    <m/>
    <s v="#N/A N/A"/>
    <n v="-2.9491059999999999E-2"/>
    <n v="-0.70315065709510294"/>
    <s v="16/12/2025"/>
  </r>
  <r>
    <x v="17"/>
    <x v="4"/>
    <m/>
    <s v="USD"/>
    <s v="Long"/>
    <m/>
    <n v="17084"/>
    <n v="121"/>
    <n v="8.265145879837732E-5"/>
    <n v="120.99"/>
    <n v="1"/>
    <n v="1"/>
    <n v="2067164"/>
    <n v="8.6269717287885961E-4"/>
    <n v="7.1297287014818265E-4"/>
    <m/>
    <m/>
    <m/>
    <n v="2067164"/>
    <n v="8.6269717287885961E-4"/>
    <n v="7.1297287014818265E-4"/>
    <n v="1386.2106398347107"/>
    <m/>
    <n v="5979.4"/>
    <n v="0.198222714284434"/>
    <n v="7.9666093787909939E-4"/>
    <n v="36.76334556617698"/>
    <n v="0.92345374822616577"/>
    <n v="160.13620688854286"/>
    <m/>
    <s v="#N/A N/A"/>
    <n v="-2.9491059999999999E-2"/>
    <n v="-0.25441854087200816"/>
    <s v="16/12/2025"/>
  </r>
  <r>
    <x v="18"/>
    <x v="5"/>
    <m/>
    <s v="USD"/>
    <s v="Long"/>
    <m/>
    <n v="900"/>
    <n v="423.42"/>
    <n v="8.0594120048999685E-2"/>
    <n v="391.84"/>
    <n v="1"/>
    <n v="1"/>
    <n v="381078"/>
    <n v="1.5903668661331662E-4"/>
    <n v="0.11861458039886036"/>
    <n v="1505468.3591294289"/>
    <n v="6.282826603402216E-4"/>
    <n v="0.41816835394996094"/>
    <n v="1886546.3591294289"/>
    <n v="7.8731934695353825E-4"/>
    <n v="0.53678293434882129"/>
    <n v="396.13501350904534"/>
    <m/>
    <n v="1559.4238007068632"/>
    <n v="0.43283538032151758"/>
    <n v="1.5901012459505028E-3"/>
    <n v="87.961335028046307"/>
    <n v="2.0196394920349121"/>
    <n v="26641.250715194579"/>
    <m/>
    <s v="03/02/2026"/>
    <e v="#VALUE!"/>
    <e v="#VALUE!"/>
    <s v="#N/A N/A"/>
  </r>
  <r>
    <x v="18"/>
    <x v="5"/>
    <m/>
    <s v="USD"/>
    <s v="Long"/>
    <m/>
    <n v="-900"/>
    <n v="423.42"/>
    <n v="-1.0700934579439214E-2"/>
    <n v="428"/>
    <n v="1"/>
    <n v="1"/>
    <n v="-381078"/>
    <n v="-1.5903668661331662E-4"/>
    <n v="1.7202494560695943E-2"/>
    <m/>
    <m/>
    <m/>
    <n v="-381078"/>
    <n v="-1.5903668661331662E-4"/>
    <n v="1.7202494560695943E-2"/>
    <n v="396.13501350904534"/>
    <m/>
    <n v="-314.99999999999994"/>
    <n v="-8.7431745455902196E-2"/>
    <n v="-3.2119677296663427E-4"/>
    <n v="87.961335028046307"/>
    <n v="2.0196394920349121"/>
    <n v="3863.7406040402348"/>
    <m/>
    <s v="03/02/2026"/>
    <e v="#VALUE!"/>
    <e v="#VALUE!"/>
    <s v="#N/A N/A"/>
  </r>
  <r>
    <x v="19"/>
    <x v="5"/>
    <m/>
    <s v="USD"/>
    <s v="Long"/>
    <m/>
    <n v="1311"/>
    <n v="80.64"/>
    <n v="-2.4740227610093868E-3"/>
    <n v="80.84"/>
    <n v="1"/>
    <n v="1"/>
    <n v="105719.03999999999"/>
    <n v="4.4120116704560964E-5"/>
    <n v="-1.0942489262044048E-3"/>
    <m/>
    <m/>
    <m/>
    <n v="105719.03999999999"/>
    <n v="4.4120116704560964E-5"/>
    <n v="-1.0942489262044048E-3"/>
    <n v="2080.0035642361108"/>
    <m/>
    <n v="458.84999999999997"/>
    <n v="6.3923363364145136E-3"/>
    <n v="4.1106591377399561E-5"/>
    <n v="23.181575440406572"/>
    <n v="0.93169724941253662"/>
    <n v="-245.77214613764374"/>
    <m/>
    <s v="12/02/2026"/>
    <n v="-1.659822E-3"/>
    <n v="-7.3231540348797793E-4"/>
    <s v="02/01/2026"/>
  </r>
  <r>
    <x v="19"/>
    <x v="5"/>
    <m/>
    <s v="USD"/>
    <s v="Long"/>
    <m/>
    <n v="30410"/>
    <n v="80.64"/>
    <n v="2.9622063329928672E-2"/>
    <n v="78.319999999999993"/>
    <n v="1"/>
    <n v="1"/>
    <n v="2452262.4"/>
    <n v="1.0234117078456895E-3"/>
    <n v="0.29443392388417755"/>
    <n v="0"/>
    <n v="0"/>
    <n v="0"/>
    <n v="2452262.4"/>
    <n v="1.0234117078456895E-3"/>
    <n v="0.29443392388417755"/>
    <n v="2080.0035642361108"/>
    <m/>
    <n v="10643.499999999998"/>
    <n v="0.14827684820012613"/>
    <n v="9.5350987321641547E-4"/>
    <n v="23.181575440406572"/>
    <n v="0.93169724941253662"/>
    <n v="66130.891825270563"/>
    <m/>
    <s v="12/02/2026"/>
    <n v="-1.659822E-3"/>
    <n v="-1.6986812677398481E-2"/>
    <s v="02/01/2026"/>
  </r>
  <r>
    <x v="20"/>
    <x v="5"/>
    <m/>
    <s v="USD"/>
    <s v="Long"/>
    <m/>
    <n v="7600"/>
    <n v="96.63"/>
    <n v="-5.3525476067937117E-3"/>
    <n v="97.15"/>
    <n v="1"/>
    <n v="1"/>
    <n v="734388"/>
    <n v="3.0648485141776847E-4"/>
    <n v="-1.6493027293515754E-2"/>
    <n v="0"/>
    <n v="0"/>
    <n v="0"/>
    <n v="734388"/>
    <n v="3.0648485141776847E-4"/>
    <n v="-1.6493027293515754E-2"/>
    <n v="1735.8117294835972"/>
    <m/>
    <n v="2660"/>
    <n v="9.6145016364892713E-2"/>
    <n v="2.287882060718472E-4"/>
    <n v="50.192375078969377"/>
    <n v="0.74649107456207275"/>
    <n v="-3704.3917678717507"/>
    <m/>
    <s v="19/02/2026"/>
    <n v="-9.6757839999999998E-3"/>
    <n v="-2.9654812215904214E-2"/>
    <s v="#N/A Field Not Applicable"/>
  </r>
  <r>
    <x v="20"/>
    <x v="5"/>
    <m/>
    <s v="USD"/>
    <s v="Long"/>
    <m/>
    <n v="116"/>
    <n v="96.63"/>
    <n v="8.285862247539022E-4"/>
    <n v="96.55"/>
    <n v="1"/>
    <n v="1"/>
    <n v="11209.08"/>
    <n v="4.6779266795343605E-6"/>
    <n v="3.8728566114326904E-5"/>
    <m/>
    <m/>
    <m/>
    <n v="11209.08"/>
    <n v="4.6779266795343605E-6"/>
    <n v="3.8728566114326904E-5"/>
    <n v="1735.8117294835972"/>
    <m/>
    <n v="40.599999999999994"/>
    <n v="1.467476565569415E-3"/>
    <n v="3.4920305137281936E-6"/>
    <n v="50.192375078969377"/>
    <n v="0.74649107456207275"/>
    <n v="8.6985717626134722"/>
    <m/>
    <s v="19/02/2026"/>
    <n v="-9.6757839999999998E-3"/>
    <n v="-4.5262608119011688E-4"/>
    <s v="#N/A Field Not Applicable"/>
  </r>
  <r>
    <x v="21"/>
    <x v="5"/>
    <m/>
    <s v="CNY"/>
    <s v="Long"/>
    <m/>
    <n v="2600"/>
    <n v="439"/>
    <n v="4.6508855991799436E-2"/>
    <n v="419.49"/>
    <n v="6.9452999999999996"/>
    <n v="1"/>
    <n v="164341.35314529249"/>
    <n v="6.8585182765145921E-5"/>
    <n v="3.0480567556901973E-2"/>
    <n v="0"/>
    <n v="0"/>
    <n v="0"/>
    <n v="164341.35314529249"/>
    <n v="6.8585182765145921E-5"/>
    <n v="3.0480567556901973E-2"/>
    <n v="2653.6343953943642"/>
    <m/>
    <n v="131.02385786071156"/>
    <n v="2.7099047347972399E-2"/>
    <n v="8.2268475408254653E-5"/>
    <n v="63.218429999999998"/>
    <n v="1.199508"/>
    <n v="6846.042362534492"/>
    <m/>
    <s v="22/04/2026"/>
    <e v="#VALUE!"/>
    <e v="#VALUE!"/>
    <s v="28/05/2025"/>
  </r>
  <r>
    <x v="21"/>
    <x v="5"/>
    <m/>
    <s v="CNY"/>
    <s v="Long"/>
    <m/>
    <n v="-2600"/>
    <n v="439"/>
    <n v="-1.9551675533124868E-3"/>
    <n v="439.86"/>
    <n v="6.9452999999999996"/>
    <n v="1"/>
    <n v="-164341.35314529249"/>
    <n v="-6.8585182765145921E-5"/>
    <n v="1.3435821680643834E-3"/>
    <m/>
    <m/>
    <m/>
    <n v="-164341.35314529249"/>
    <n v="-6.8585182765145921E-5"/>
    <n v="1.3435821680643834E-3"/>
    <n v="2653.6343953943642"/>
    <m/>
    <n v="-131.02385786071156"/>
    <n v="-2.7099047347972399E-2"/>
    <n v="-8.2268475408254653E-5"/>
    <n v="63.218429999999998"/>
    <n v="1.199508"/>
    <n v="301.77326662120748"/>
    <m/>
    <s v="22/04/2026"/>
    <e v="#VALUE!"/>
    <e v="#VALUE!"/>
    <s v="28/05/2025"/>
  </r>
  <r>
    <x v="22"/>
    <x v="6"/>
    <m/>
    <s v="USD"/>
    <s v="Long"/>
    <m/>
    <n v="1500"/>
    <n v="331.09500000000003"/>
    <n v="-6.1877452460001869E-4"/>
    <n v="331.3"/>
    <n v="1"/>
    <n v="1"/>
    <n v="496642.50000000006"/>
    <n v="2.0726564543572211E-4"/>
    <n v="-1.2833010862235831E-3"/>
    <n v="2006231.5442848208"/>
    <n v="8.3726800650306573E-4"/>
    <n v="-5.7341648535653142E-2"/>
    <n v="2502874.044284821"/>
    <n v="1.0445336519387879E-3"/>
    <n v="-5.8624949621876726E-2"/>
    <n v="506.59625611984467"/>
    <m/>
    <n v="2645.7841873168945"/>
    <n v="0.14133344007327289"/>
    <n v="2.1218479427165112E-3"/>
    <n v="21.64923108963545"/>
    <n v="2.0313830375671387"/>
    <n v="-288.2339242460659"/>
    <m/>
    <s v="06/03/2026"/>
    <n v="-1.5695689999999998E-2"/>
    <n v="-0.1639467639539911"/>
    <s v="22/12/2025"/>
  </r>
  <r>
    <x v="22"/>
    <x v="6"/>
    <m/>
    <s v="USD"/>
    <s v="Long"/>
    <m/>
    <n v="-1500"/>
    <n v="331.09500000000003"/>
    <n v="-8.103654883163558E-3"/>
    <n v="333.8"/>
    <n v="1"/>
    <n v="1"/>
    <n v="-496642.50000000006"/>
    <n v="-2.0726564543572211E-4"/>
    <n v="1.6933314332853864E-2"/>
    <m/>
    <m/>
    <m/>
    <n v="-496642.50000000006"/>
    <n v="-2.0726564543572211E-4"/>
    <n v="1.6933314332853864E-2"/>
    <n v="506.59625611984467"/>
    <m/>
    <n v="-525"/>
    <n v="-2.8044636593627457E-2"/>
    <n v="-4.2103591640853071E-4"/>
    <n v="21.64923108963545"/>
    <n v="2.0313830375671387"/>
    <n v="3803.2817809056805"/>
    <m/>
    <s v="06/03/2026"/>
    <n v="-1.5695689999999998E-2"/>
    <n v="3.2531773184090083E-2"/>
    <s v="22/12/2025"/>
  </r>
  <r>
    <x v="23"/>
    <x v="6"/>
    <m/>
    <s v="USD"/>
    <s v="Long"/>
    <m/>
    <n v="5198"/>
    <n v="341.36"/>
    <n v="3.2671829622458848E-2"/>
    <n v="330.56"/>
    <n v="1"/>
    <n v="1"/>
    <n v="1774389.28"/>
    <n v="7.4051241964476699E-4"/>
    <n v="0.23428445430523473"/>
    <n v="13431248.005437851"/>
    <n v="5.6053122454367702E-3"/>
    <n v="1.7267702949223604"/>
    <n v="15205637.28543785"/>
    <n v="6.3458246650815366E-3"/>
    <n v="1.9610547492275952"/>
    <n v="491.36245435903442"/>
    <m/>
    <n v="15590.499911832809"/>
    <n v="1.2234495302827872"/>
    <n v="9.3957929084010992E-3"/>
    <n v="30.847357936374809"/>
    <n v="1.4806259870529175"/>
    <n v="52621.110025680078"/>
    <m/>
    <s v="17/04/2026"/>
    <e v="#VALUE!"/>
    <e v="#VALUE!"/>
    <s v="17/03/2026"/>
  </r>
  <r>
    <x v="23"/>
    <x v="6"/>
    <m/>
    <s v="USD"/>
    <s v="Long"/>
    <m/>
    <n v="-4400"/>
    <n v="341.36"/>
    <n v="-2.1631102016954618E-3"/>
    <n v="342.1"/>
    <n v="1"/>
    <n v="1"/>
    <n v="-1501984"/>
    <n v="-6.2682851989937958E-4"/>
    <n v="1.3588384834941018E-2"/>
    <m/>
    <m/>
    <m/>
    <n v="-1501984"/>
    <n v="-6.2682851989937958E-4"/>
    <n v="1.3588384834941018E-2"/>
    <n v="491.36245435903442"/>
    <m/>
    <n v="-1539.9999999999998"/>
    <n v="-0.12085002323790127"/>
    <n v="-9.2809859598893824E-4"/>
    <n v="30.847357936374809"/>
    <n v="1.4806259870529175"/>
    <n v="3051.9988856756918"/>
    <m/>
    <s v="17/04/2026"/>
    <e v="#VALUE!"/>
    <e v="#VALUE!"/>
    <s v="17/03/2026"/>
  </r>
  <r>
    <x v="24"/>
    <x v="6"/>
    <m/>
    <s v="USD"/>
    <s v="Long"/>
    <m/>
    <m/>
    <n v="48.79"/>
    <n v="4.9924682590918978E-2"/>
    <n v="46.47"/>
    <n v="1"/>
    <n v="1"/>
    <n v="0"/>
    <n v="0"/>
    <n v="0"/>
    <n v="644634.1267362237"/>
    <n v="2.6902753660404914E-4"/>
    <n v="0.13135577785005009"/>
    <n v="644634.1267362237"/>
    <n v="2.6902753660404914E-4"/>
    <n v="0.13135577785005009"/>
    <n v="3437.8251162123383"/>
    <m/>
    <n v="4624.3481114506721"/>
    <n v="0.2515949838755635"/>
    <n v="3.9597668856341671E-4"/>
    <n v="149.63225671332364"/>
    <n v="1.471881628036499"/>
    <n v="0"/>
    <m/>
    <s v="24/04/2026"/>
    <e v="#VALUE!"/>
    <e v="#VALUE!"/>
    <s v="03/09/2024"/>
  </r>
  <r>
    <x v="25"/>
    <x v="6"/>
    <m/>
    <s v="USD"/>
    <s v="Long"/>
    <m/>
    <n v="20008"/>
    <n v="185.61"/>
    <n v="-2.8880866425992635E-2"/>
    <n v="191.13"/>
    <n v="1"/>
    <n v="1"/>
    <n v="3713684.8800000004"/>
    <n v="1.5498458017549489E-3"/>
    <n v="-0.46092068453678625"/>
    <n v="1208087.238393724"/>
    <n v="5.0417550090524723E-4"/>
    <n v="-0.17528014836225916"/>
    <n v="4921772.1183937248"/>
    <n v="2.0540213026601964E-3"/>
    <n v="-0.63620083289904539"/>
    <n v="903.6769970367975"/>
    <m/>
    <n v="9280.8590131878864"/>
    <n v="0.25734395223848838"/>
    <n v="3.799749938475803E-3"/>
    <n v="20.046059067075735"/>
    <n v="1.8499077558517456"/>
    <n v="-103524.40210361873"/>
    <m/>
    <s v="25/02/2026"/>
    <n v="-2.0823580000000001E-2"/>
    <n v="-0.42772076917648816"/>
    <s v="04/12/2025"/>
  </r>
  <r>
    <x v="26"/>
    <x v="6"/>
    <m/>
    <s v="USD"/>
    <s v="Short"/>
    <m/>
    <n v="2951"/>
    <n v="78.66"/>
    <n v="-3.294475418144982E-3"/>
    <n v="78.92"/>
    <n v="1"/>
    <n v="1"/>
    <n v="232125.66"/>
    <n v="9.6873857436874573E-5"/>
    <n v="-3.202034443629276E-3"/>
    <n v="-617754.82910871482"/>
    <n v="-2.5780990023256564E-4"/>
    <n v="1.7423681414581699E-2"/>
    <n v="-385629.16910871479"/>
    <n v="-1.6093604279569104E-4"/>
    <n v="1.4221646970952424E-2"/>
    <n v="2132.3606333587591"/>
    <m/>
    <n v="-1715.8684107303604"/>
    <n v="-3.9390237456478558E-2"/>
    <n v="-3.1917203620834535E-4"/>
    <n v="39.161134346005632"/>
    <n v="1.9832228422164917"/>
    <n v="-719.18816493352233"/>
    <m/>
    <s v="05/03/2026"/>
    <n v="-1.5331969999999999E-2"/>
    <n v="2.4674665800622515E-2"/>
    <s v="09/01/2026"/>
  </r>
  <r>
    <x v="27"/>
    <x v="7"/>
    <m/>
    <s v="USD"/>
    <s v="Long"/>
    <m/>
    <n v="35500"/>
    <n v="15.32"/>
    <n v="-9.6961861667744786E-3"/>
    <n v="15.47"/>
    <n v="1"/>
    <n v="1"/>
    <n v="543860"/>
    <n v="2.269710987816625E-4"/>
    <n v="-2.2223018810215052E-2"/>
    <n v="0"/>
    <n v="0"/>
    <n v="0"/>
    <n v="543860"/>
    <n v="2.269710987816625E-4"/>
    <n v="-2.2223018810215052E-2"/>
    <n v="10948.530510443863"/>
    <m/>
    <n v="12425"/>
    <n v="0.11316307506992511"/>
    <n v="4.7025365648295986E-4"/>
    <n v="79.772676382050662"/>
    <n v="2.0718657970428467"/>
    <n v="-4991.3679564566646"/>
    <m/>
    <s v="24/02/2026"/>
    <n v="-2.3917250000000001E-2"/>
    <n v="-5.4285245123357168E-2"/>
    <s v="12/10/2017"/>
  </r>
  <r>
    <x v="28"/>
    <x v="8"/>
    <m/>
    <s v="USD"/>
    <s v="Long"/>
    <m/>
    <n v="45750"/>
    <n v="54.01"/>
    <n v="1.0666167664670656E-2"/>
    <n v="53.44"/>
    <n v="1"/>
    <n v="1"/>
    <n v="2470957.5"/>
    <n v="1.0312138028496117E-3"/>
    <n v="0.10883019211706703"/>
    <n v="0"/>
    <n v="0"/>
    <n v="0"/>
    <n v="2470957.5"/>
    <n v="1.0312138028496117E-3"/>
    <n v="0.10883019211706703"/>
    <n v="3105.5635515645249"/>
    <m/>
    <n v="16012.5"/>
    <n v="8.5384282005685125E-2"/>
    <n v="1.0310551613428708E-3"/>
    <n v="13.247965730441216"/>
    <n v="0.99984616041183472"/>
    <n v="24443.64279521097"/>
    <m/>
    <s v="#N/A N/A"/>
    <n v="3.7426010000000005E-4"/>
    <n v="3.8594218097587596E-3"/>
    <s v="22/12/2025"/>
  </r>
  <r>
    <x v="29"/>
    <x v="8"/>
    <m/>
    <s v="USD"/>
    <s v="Short"/>
    <m/>
    <n v="-11500"/>
    <n v="23.5"/>
    <n v="-1.0109519797809496E-2"/>
    <n v="23.74"/>
    <n v="1"/>
    <n v="1"/>
    <n v="-270250"/>
    <n v="-1.1278442879738221E-4"/>
    <n v="1.1518409749519809E-2"/>
    <n v="0"/>
    <n v="0"/>
    <n v="0"/>
    <n v="-270250"/>
    <n v="-1.1278442879738221E-4"/>
    <n v="1.1518409749519809E-2"/>
    <n v="7137.5101029787229"/>
    <m/>
    <n v="-4025"/>
    <n v="-3.0400879389005247E-2"/>
    <n v="-4.1167729306561717E-5"/>
    <n v="43.12776820441492"/>
    <n v="0.365012526512146"/>
    <n v="2587.0752225014589"/>
    <m/>
    <s v="11/02/2026"/>
    <e v="#VALUE!"/>
    <e v="#VALUE!"/>
    <s v="28/11/2025"/>
  </r>
  <r>
    <x v="30"/>
    <x v="8"/>
    <m/>
    <s v="USD"/>
    <s v="Short"/>
    <m/>
    <n v="-27500"/>
    <n v="84.5"/>
    <n v="1.1854867680517245E-2"/>
    <n v="83.51"/>
    <n v="1"/>
    <n v="1"/>
    <n v="-2323750"/>
    <n v="-9.697791541828563E-4"/>
    <n v="-0.11361909617053524"/>
    <n v="0"/>
    <n v="0"/>
    <n v="0"/>
    <n v="-2323750"/>
    <n v="-9.697791541828563E-4"/>
    <n v="-0.11361909617053524"/>
    <n v="1984.9880168047337"/>
    <m/>
    <n v="-9625"/>
    <n v="-7.7263729244244031E-2"/>
    <n v="-9.7248700954198446E-4"/>
    <n v="12.747434945119574"/>
    <n v="1.0027922391891479"/>
    <n v="-25519.247439348666"/>
    <m/>
    <s v="#N/A N/A"/>
    <n v="2.6344299999999997E-3"/>
    <n v="-2.5548152971539419E-2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7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53" firstHeaderRow="0" firstDataRow="1" firstDataCol="1"/>
  <pivotFields count="34">
    <pivotField axis="axisRow" showAll="0">
      <items count="189">
        <item m="1" x="185"/>
        <item m="1" x="181"/>
        <item m="1" x="161"/>
        <item x="9"/>
        <item m="1" x="142"/>
        <item x="2"/>
        <item m="1" x="105"/>
        <item m="1" x="70"/>
        <item m="1" x="107"/>
        <item m="1" x="89"/>
        <item m="1" x="118"/>
        <item x="7"/>
        <item m="1" x="186"/>
        <item m="1" x="179"/>
        <item m="1" x="184"/>
        <item x="13"/>
        <item m="1" x="157"/>
        <item m="1" x="58"/>
        <item m="1" x="45"/>
        <item x="11"/>
        <item m="1" x="59"/>
        <item x="12"/>
        <item m="1" x="99"/>
        <item m="1" x="126"/>
        <item x="25"/>
        <item m="1" x="187"/>
        <item x="6"/>
        <item m="1" x="46"/>
        <item m="1" x="82"/>
        <item x="23"/>
        <item m="1" x="56"/>
        <item m="1" x="55"/>
        <item m="1" x="44"/>
        <item x="28"/>
        <item x="30"/>
        <item m="1" x="183"/>
        <item m="1" x="182"/>
        <item m="1" x="54"/>
        <item m="1" x="71"/>
        <item m="1" x="173"/>
        <item m="1" x="48"/>
        <item x="5"/>
        <item m="1" x="63"/>
        <item m="1" x="64"/>
        <item m="1" x="65"/>
        <item m="1" x="74"/>
        <item m="1" x="69"/>
        <item m="1" x="83"/>
        <item m="1" x="180"/>
        <item m="1" x="96"/>
        <item m="1" x="139"/>
        <item m="1" x="123"/>
        <item m="1" x="66"/>
        <item m="1" x="171"/>
        <item m="1" x="121"/>
        <item m="1" x="177"/>
        <item m="1" x="116"/>
        <item m="1" x="178"/>
        <item m="1" x="167"/>
        <item m="1" x="176"/>
        <item m="1" x="172"/>
        <item x="10"/>
        <item m="1" x="174"/>
        <item m="1" x="175"/>
        <item m="1" x="159"/>
        <item m="1" x="170"/>
        <item m="1" x="102"/>
        <item m="1" x="147"/>
        <item x="22"/>
        <item m="1" x="145"/>
        <item m="1" x="154"/>
        <item m="1" x="79"/>
        <item m="1" x="94"/>
        <item m="1" x="160"/>
        <item m="1" x="61"/>
        <item m="1" x="153"/>
        <item m="1" x="169"/>
        <item m="1" x="168"/>
        <item m="1" x="113"/>
        <item m="1" x="114"/>
        <item x="17"/>
        <item m="1" x="32"/>
        <item m="1" x="166"/>
        <item m="1" x="35"/>
        <item m="1" x="164"/>
        <item m="1" x="163"/>
        <item m="1" x="129"/>
        <item m="1" x="101"/>
        <item m="1" x="162"/>
        <item m="1" x="165"/>
        <item x="26"/>
        <item m="1" x="155"/>
        <item m="1" x="112"/>
        <item x="3"/>
        <item m="1" x="97"/>
        <item m="1" x="158"/>
        <item m="1" x="72"/>
        <item m="1" x="122"/>
        <item m="1" x="156"/>
        <item m="1" x="67"/>
        <item m="1" x="140"/>
        <item m="1" x="141"/>
        <item m="1" x="127"/>
        <item m="1" x="73"/>
        <item m="1" x="152"/>
        <item m="1" x="108"/>
        <item m="1" x="151"/>
        <item m="1" x="149"/>
        <item m="1" x="150"/>
        <item m="1" x="148"/>
        <item m="1" x="144"/>
        <item m="1" x="86"/>
        <item m="1" x="37"/>
        <item m="1" x="146"/>
        <item m="1" x="143"/>
        <item m="1" x="125"/>
        <item m="1" x="40"/>
        <item m="1" x="132"/>
        <item m="1" x="133"/>
        <item m="1" x="76"/>
        <item m="1" x="136"/>
        <item m="1" x="128"/>
        <item m="1" x="117"/>
        <item m="1" x="130"/>
        <item m="1" x="138"/>
        <item m="1" x="135"/>
        <item m="1" x="137"/>
        <item m="1" x="103"/>
        <item m="1" x="81"/>
        <item m="1" x="134"/>
        <item m="1" x="93"/>
        <item m="1" x="131"/>
        <item m="1" x="109"/>
        <item m="1" x="110"/>
        <item x="15"/>
        <item m="1" x="77"/>
        <item m="1" x="119"/>
        <item m="1" x="62"/>
        <item m="1" x="104"/>
        <item m="1" x="95"/>
        <item m="1" x="98"/>
        <item m="1" x="100"/>
        <item m="1" x="78"/>
        <item m="1" x="120"/>
        <item m="1" x="124"/>
        <item m="1" x="115"/>
        <item m="1" x="106"/>
        <item m="1" x="39"/>
        <item m="1" x="111"/>
        <item m="1" x="87"/>
        <item m="1" x="92"/>
        <item m="1" x="75"/>
        <item m="1" x="34"/>
        <item m="1" x="85"/>
        <item m="1" x="91"/>
        <item m="1" x="90"/>
        <item m="1" x="88"/>
        <item m="1" x="84"/>
        <item m="1" x="80"/>
        <item m="1" x="68"/>
        <item m="1" x="60"/>
        <item m="1" x="57"/>
        <item m="1" x="49"/>
        <item x="18"/>
        <item m="1" x="47"/>
        <item m="1" x="50"/>
        <item m="1" x="41"/>
        <item m="1" x="53"/>
        <item m="1" x="51"/>
        <item x="27"/>
        <item m="1" x="52"/>
        <item m="1" x="38"/>
        <item x="1"/>
        <item x="0"/>
        <item x="8"/>
        <item m="1" x="43"/>
        <item x="4"/>
        <item m="1" x="36"/>
        <item m="1" x="42"/>
        <item x="14"/>
        <item x="29"/>
        <item m="1" x="33"/>
        <item x="24"/>
        <item x="19"/>
        <item x="20"/>
        <item m="1" x="31"/>
        <item x="21"/>
        <item x="16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2"/>
        <item m="1" x="13"/>
        <item m="1" x="22"/>
        <item m="1" x="26"/>
        <item m="1" x="11"/>
        <item m="1" x="12"/>
        <item m="1" x="25"/>
        <item m="1" x="23"/>
        <item x="6"/>
        <item x="4"/>
        <item m="1" x="17"/>
        <item m="1" x="20"/>
        <item m="1" x="21"/>
        <item m="1" x="16"/>
        <item m="1" x="15"/>
        <item m="1" x="19"/>
        <item x="5"/>
        <item m="1" x="14"/>
        <item x="7"/>
        <item m="1" x="9"/>
        <item x="3"/>
        <item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41">
    <i>
      <x/>
    </i>
    <i r="1">
      <x v="5"/>
    </i>
    <i r="1">
      <x v="172"/>
    </i>
    <i r="1">
      <x v="173"/>
    </i>
    <i>
      <x v="2"/>
    </i>
    <i r="1">
      <x v="26"/>
    </i>
    <i r="1">
      <x v="41"/>
    </i>
    <i r="1">
      <x v="93"/>
    </i>
    <i r="1">
      <x v="176"/>
    </i>
    <i>
      <x v="5"/>
    </i>
    <i r="1">
      <x v="11"/>
    </i>
    <i>
      <x v="13"/>
    </i>
    <i r="1">
      <x v="24"/>
    </i>
    <i r="1">
      <x v="29"/>
    </i>
    <i r="1">
      <x v="68"/>
    </i>
    <i r="1">
      <x v="90"/>
    </i>
    <i r="1">
      <x v="182"/>
    </i>
    <i>
      <x v="14"/>
    </i>
    <i r="1">
      <x v="80"/>
    </i>
    <i r="1">
      <x v="134"/>
    </i>
    <i r="1">
      <x v="179"/>
    </i>
    <i r="1">
      <x v="187"/>
    </i>
    <i>
      <x v="21"/>
    </i>
    <i r="1">
      <x v="163"/>
    </i>
    <i r="1">
      <x v="183"/>
    </i>
    <i r="1">
      <x v="184"/>
    </i>
    <i r="1">
      <x v="186"/>
    </i>
    <i>
      <x v="23"/>
    </i>
    <i r="1">
      <x v="169"/>
    </i>
    <i>
      <x v="25"/>
    </i>
    <i r="1">
      <x v="3"/>
    </i>
    <i r="1">
      <x v="15"/>
    </i>
    <i r="1">
      <x v="19"/>
    </i>
    <i r="1">
      <x v="21"/>
    </i>
    <i r="1">
      <x v="61"/>
    </i>
    <i r="1">
      <x v="174"/>
    </i>
    <i>
      <x v="26"/>
    </i>
    <i r="1">
      <x v="33"/>
    </i>
    <i r="1">
      <x v="34"/>
    </i>
    <i r="1">
      <x v="1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68">
      <pivotArea outline="0" collapsedLevelsAreSubtotals="1" fieldPosition="0"/>
    </format>
    <format dxfId="176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5">
      <pivotArea outline="0" collapsedLevelsAreSubtotals="1" fieldPosition="0"/>
    </format>
    <format dxfId="1764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3">
      <pivotArea outline="0" collapsedLevelsAreSubtotals="1" fieldPosition="0"/>
    </format>
    <format dxfId="176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1">
      <pivotArea outline="0" collapsedLevelsAreSubtotals="1" fieldPosition="0"/>
    </format>
    <format dxfId="1760">
      <pivotArea type="all" dataOnly="0" outline="0" fieldPosition="0"/>
    </format>
    <format dxfId="1759">
      <pivotArea dataOnly="0" labelOnly="1" grandRow="1" outline="0" fieldPosition="0"/>
    </format>
    <format dxfId="175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7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5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3">
      <pivotArea dataOnly="0" labelOnly="1" grandRow="1" outline="0" fieldPosition="0"/>
    </format>
    <format dxfId="1752">
      <pivotArea type="all" dataOnly="0" outline="0" fieldPosition="0"/>
    </format>
    <format dxfId="175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0">
      <pivotArea type="all" dataOnly="0" outline="0" fieldPosition="0"/>
    </format>
    <format dxfId="1749">
      <pivotArea outline="0" collapsedLevelsAreSubtotals="1" fieldPosition="0"/>
    </format>
    <format dxfId="1748">
      <pivotArea dataOnly="0" labelOnly="1" grandRow="1" outline="0" fieldPosition="0"/>
    </format>
    <format dxfId="174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45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4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4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41">
      <pivotArea type="all" dataOnly="0" outline="0" fieldPosition="0"/>
    </format>
    <format dxfId="1740">
      <pivotArea outline="0" collapsedLevelsAreSubtotals="1" fieldPosition="0"/>
    </format>
    <format dxfId="1739">
      <pivotArea dataOnly="0" labelOnly="1" grandRow="1" outline="0" fieldPosition="0"/>
    </format>
    <format dxfId="173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7">
      <pivotArea type="all" dataOnly="0" outline="0" fieldPosition="0"/>
    </format>
    <format dxfId="1736">
      <pivotArea outline="0" collapsedLevelsAreSubtotals="1" fieldPosition="0"/>
    </format>
    <format dxfId="1735">
      <pivotArea dataOnly="0" labelOnly="1" grandRow="1" outline="0" fieldPosition="0"/>
    </format>
    <format dxfId="173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32">
      <pivotArea field="1" type="button" dataOnly="0" labelOnly="1" outline="0" axis="axisRow" fieldPosition="0"/>
    </format>
    <format dxfId="173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0">
      <pivotArea field="1" type="button" dataOnly="0" labelOnly="1" outline="0" axis="axisRow" fieldPosition="0"/>
    </format>
    <format dxfId="172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28">
      <pivotArea field="1" type="button" dataOnly="0" labelOnly="1" outline="0" axis="axisRow" fieldPosition="0"/>
    </format>
    <format dxfId="172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660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56" totalsRowShown="0" headerRowDxfId="1726" dataDxfId="1724" headerRowBorderDxfId="1725" tableBorderDxfId="1723">
  <autoFilter ref="B11:AI56" xr:uid="{488A667B-27C2-4003-A53C-C52DE885F6F5}"/>
  <sortState xmlns:xlrd2="http://schemas.microsoft.com/office/spreadsheetml/2017/richdata2" ref="B12:AI56">
    <sortCondition ref="C11:C56"/>
  </sortState>
  <tableColumns count="34">
    <tableColumn id="1" xr3:uid="{C4869650-AB2A-4E52-A8FD-8FC4A1E9B450}" name="Ticker" dataDxfId="1722" totalsRowDxfId="1721"/>
    <tableColumn id="2" xr3:uid="{3392DCC0-4423-44FF-B70A-0E06289D8EEE}" name="Sector" dataDxfId="1720"/>
    <tableColumn id="29" xr3:uid="{7A835F51-8D98-481A-BCE1-CD91D7445A8F}" name="Diretoria" dataDxfId="1719"/>
    <tableColumn id="3" xr3:uid="{B1589ED3-B8E2-4F6B-B66F-D68F68C1ABA6}" name="Crncy" dataDxfId="1718"/>
    <tableColumn id="4" xr3:uid="{616D46BC-AC49-4393-8BDA-875BFB778D29}" name="Long / Short" dataDxfId="1717" totalsRowDxfId="1716">
      <calculatedColumnFormula>IF(T12&gt;0,"Long","Short")</calculatedColumnFormula>
    </tableColumn>
    <tableColumn id="33" xr3:uid="{F6985B5B-9203-43DA-8157-CAE6E92D0561}" name="Qtdd " dataDxfId="1715"/>
    <tableColumn id="5" xr3:uid="{9A4DCF38-5D0D-4646-8CF9-69904711743E}" name="Qtt Shs" dataDxfId="1714"/>
    <tableColumn id="6" xr3:uid="{BC11B5F3-DE4D-477B-AAED-C5AB103E9DA0}" name="Price Today" dataDxfId="1713" totalsRowDxfId="1712">
      <calculatedColumnFormula array="1">_xll.BDP(B12&amp;" Equity","LAST_PRICE")</calculatedColumnFormula>
    </tableColumn>
    <tableColumn id="7" xr3:uid="{704FFD7D-1208-4AA6-81A9-0E257F085F19}" name="% Chg" dataDxfId="1711" totalsRowDxfId="1710">
      <calculatedColumnFormula>I12/K12-1</calculatedColumnFormula>
    </tableColumn>
    <tableColumn id="8" xr3:uid="{E069BEAC-4A43-4F60-BD21-C3F1FDA777D4}" name="Price Yest" dataDxfId="1709" dataCellStyle="Comma">
      <calculatedColumnFormula array="1">_xll.BDP(B12&amp;" EQUITY","PX_YEST_CLOSE")</calculatedColumnFormula>
    </tableColumn>
    <tableColumn id="9" xr3:uid="{A2F51CF4-C965-4A1F-975F-FCDA401F7124}" name="FX" dataDxfId="1708">
      <calculatedColumnFormula array="1">_xll.BDP(E12&amp;" Curncy","PX_LAST")</calculatedColumnFormula>
    </tableColumn>
    <tableColumn id="10" xr3:uid="{0525E66F-8EF5-4CCF-835F-559F3DAE7E58}" name="Mult" dataDxfId="1707" totalsRowDxfId="1706" dataCellStyle="Comma"/>
    <tableColumn id="11" xr3:uid="{8FC681CE-75F1-4027-AD99-551C42A97619}" name="D1 Exp USD" dataDxfId="1705">
      <calculatedColumnFormula>IFERROR(IF(((I12/L12)*H12*M12)&lt;&gt;0,((I12/L12)*H12*M12),0),"-")</calculatedColumnFormula>
    </tableColumn>
    <tableColumn id="12" xr3:uid="{BE55CED1-1EEB-46EA-A2E5-D244B7925B83}" name="D1 Exp %" dataDxfId="1704">
      <calculatedColumnFormula>IFERROR(IF(Tabelad[[#This Row],[D1 Exp USD]]&lt;&gt;0,N12/$AE$7,0),"-")</calculatedColumnFormula>
    </tableColumn>
    <tableColumn id="13" xr3:uid="{622A85AF-E726-48C1-A6C0-2A26A6E13A5C}" name="D1 P&amp;L bps" dataDxfId="1703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702" totalsRowDxfId="1701">
      <calculatedColumnFormula>IF(SUM(SUMIFS(Options!$AL$4:$AL$25, Options!$D$4:$D$25, B12), SUMIFS(Options!$AL$4:$AL$25, Options!$D$4:$D$25, B12 &amp; " US"))=0,0,SUM(SUMIFS(Options!$AL$4:$AL$25, Options!$D$4:$D$25, B12), SUMIFS(Options!$AL$4:$AL$25, Options!$D$4:$D$25, B12 &amp; " US")))</calculatedColumnFormula>
    </tableColumn>
    <tableColumn id="15" xr3:uid="{F6743957-5F8D-4443-94E6-3E6136CB024F}" name="Option Exp %" dataDxfId="1700" totalsRowDxfId="1699" dataCellStyle="Percent">
      <calculatedColumnFormula>Q12/$AE$7</calculatedColumnFormula>
    </tableColumn>
    <tableColumn id="16" xr3:uid="{48C8F341-ED13-4859-B6ED-AB346A494BEF}" name="Options P&amp;L bps" dataDxfId="1698" totalsRowDxfId="1697">
      <calculatedColumnFormula>IF(SUM(SUMIFS(Options!$AK$4:$AK$25, Options!$D$4:$D$25, B12), SUMIFS(Options!$AK$4:$AK$25, Options!$D$4:$D$25, B12 &amp; " US"))=0,0,SUM(SUMIFS(Options!$AK$4:$AK$25, Options!$D$4:$D$25, B12), SUMIFS(Options!AK$4:$AK$25, Options!$D$4:$D$25, B12 &amp; " US")))</calculatedColumnFormula>
    </tableColumn>
    <tableColumn id="17" xr3:uid="{4E94A772-CD12-4BE4-A04C-0E1B9CF86096}" name="Exp" dataDxfId="1696" totalsRowDxfId="1695">
      <calculatedColumnFormula>N12+Q12</calculatedColumnFormula>
    </tableColumn>
    <tableColumn id="18" xr3:uid="{56683745-C1CE-4341-A873-C851B97E4432}" name="Exp %" dataDxfId="1694" totalsRowDxfId="1693">
      <calculatedColumnFormula>T12/$AE$7</calculatedColumnFormula>
    </tableColumn>
    <tableColumn id="19" xr3:uid="{AD790890-4299-4C9E-A460-9342E2B4BE92}" name="P&amp;L bps" dataDxfId="1692" totalsRowDxfId="1691">
      <calculatedColumnFormula>P12+S12</calculatedColumnFormula>
    </tableColumn>
    <tableColumn id="20" xr3:uid="{A3132FF2-B491-42D2-B6D5-98FB024D0411}" name="xx" dataDxfId="1690" totalsRowDxfId="1689">
      <calculatedColumnFormula>$W$10/(I12/L12*M12)</calculatedColumnFormula>
    </tableColumn>
    <tableColumn id="21" xr3:uid="{68119C5E-24ED-4841-8DFC-985A70CC957B}" name="Ticker2" dataDxfId="1688" totalsRowDxfId="1687"/>
    <tableColumn id="22" xr3:uid="{EAB0ADAA-AF64-4574-AD5E-BAD2211681D1}" name="xx2" dataDxfId="1686" totalsRowDxfId="1685">
      <calculatedColumnFormula>Tabelad[[#This Row],[Exp %]]*$Y$10*$AD$7/Tabelad[[#This Row],[Price Today]]</calculatedColumnFormula>
    </tableColumn>
    <tableColumn id="23" xr3:uid="{160D9866-3FEF-4C23-ADDC-0615A4FD8D8A}" name="Beta Adj" dataDxfId="1684">
      <calculatedColumnFormula>Tabelad[[#This Row],[Vol 10d]]/16*Tabelad[[#This Row],[Exp %]]*100</calculatedColumnFormula>
    </tableColumn>
    <tableColumn id="27" xr3:uid="{5FC9F15D-E683-4C75-83A6-A027ED24C573}" name="Expo Beta Adj" dataDxfId="1683" totalsRowDxfId="1682">
      <calculatedColumnFormula>Tabelad[[#This Row],[Exp %]]*Tabelad[[#This Row],[Beta Adj2]]</calculatedColumnFormula>
    </tableColumn>
    <tableColumn id="24" xr3:uid="{02F0D998-EE72-4509-80A1-181D260811AE}" name="Vol 10d" dataDxfId="1681">
      <calculatedColumnFormula>_xll.BDP($B12&amp;" Equity","volatility_10d")</calculatedColumnFormula>
    </tableColumn>
    <tableColumn id="25" xr3:uid="{06753197-209B-42CE-8324-F5BF4E6BBC8C}" name="Beta Adj2" dataDxfId="1680" totalsRowDxfId="1679">
      <calculatedColumnFormula>_xll.BDP(B12&amp;" EQUITY","eqy_beta")</calculatedColumnFormula>
    </tableColumn>
    <tableColumn id="26" xr3:uid="{E0099784-2515-472D-A708-E950C7C1F961}" name="Daily P&amp;L" dataDxfId="1678" totalsRowDxfId="1677">
      <calculatedColumnFormula>Tabelad[[#This Row],[D1 P&amp;L bps]]*$AD$5/10000</calculatedColumnFormula>
    </tableColumn>
    <tableColumn id="28" xr3:uid="{E8C15306-AE60-46ED-BE32-1873B2B613BE}" name="VALUE" dataDxfId="1676" totalsRowDxfId="1675"/>
    <tableColumn id="30" xr3:uid="{3553EED7-0690-4464-BFF1-737C1D716FE2}" name="Report Date2" dataDxfId="1674" totalsRowDxfId="1673">
      <calculatedColumnFormula>_xll.BDP(B12&amp;" Equity","EXPECTED_REPORT_DT")</calculatedColumnFormula>
    </tableColumn>
    <tableColumn id="31" xr3:uid="{5102101F-2C4E-4C70-B272-6AB453BA1BFE}" name="Column3" dataDxfId="1672" totalsRowDxfId="1671">
      <calculatedColumnFormula>_xll.BDP(B12&amp;" Index","CHG_PCT_1D_PRE_FROM_REGULAR")/100</calculatedColumnFormula>
    </tableColumn>
    <tableColumn id="32" xr3:uid="{78144925-541C-4BB9-B1CE-5128912D0AEA}" name="Column4" dataDxfId="1670">
      <calculatedColumnFormula>(T12*AG12)/$AD$7*10000</calculatedColumnFormula>
    </tableColumn>
    <tableColumn id="34" xr3:uid="{F48AA587-E15F-424C-9278-DC54512DF635}" name="Column5" dataDxfId="1669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68" dataDxfId="1667" totalsRowBorderDxfId="1666">
  <autoFilter ref="F3:G136" xr:uid="{50594F44-C7EB-4454-89DA-F08A9C91DB54}"/>
  <tableColumns count="2">
    <tableColumn id="1" xr3:uid="{C2C1762E-B58F-491C-8249-F5F204F351C6}" name="De (Lote)" totalsRowFunction="count" dataDxfId="1665"/>
    <tableColumn id="2" xr3:uid="{2A11C67E-26BC-4BE0-826C-B31A77595F54}" name="Para (Ticker Daniel)" totalsRowFunction="count" dataDxfId="166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2014</v>
      </c>
    </row>
    <row r="3" spans="2:12">
      <c r="B3" t="s">
        <v>2013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2002</v>
      </c>
      <c r="D5" t="s">
        <v>2001</v>
      </c>
    </row>
    <row r="6" spans="2:12">
      <c r="B6" t="s">
        <v>1995</v>
      </c>
      <c r="C6" s="397">
        <v>0.41</v>
      </c>
      <c r="D6" s="394">
        <f>C6^2</f>
        <v>0.16809999999999997</v>
      </c>
    </row>
    <row r="7" spans="2:12">
      <c r="B7" t="s">
        <v>1993</v>
      </c>
      <c r="C7" s="397">
        <v>0.25</v>
      </c>
      <c r="D7" s="394">
        <f>C7^2</f>
        <v>6.25E-2</v>
      </c>
    </row>
    <row r="8" spans="2:12">
      <c r="B8" t="s">
        <v>1991</v>
      </c>
      <c r="C8" s="392">
        <f>SQRT(D6+D7+2*C10)</f>
        <v>0.35791060336346558</v>
      </c>
    </row>
    <row r="9" spans="2:12">
      <c r="B9" t="s">
        <v>1989</v>
      </c>
      <c r="C9" s="396">
        <v>-0.5</v>
      </c>
    </row>
    <row r="10" spans="2:12">
      <c r="B10" t="s">
        <v>1987</v>
      </c>
      <c r="C10">
        <f>C9*C6*C7</f>
        <v>-5.1249999999999997E-2</v>
      </c>
    </row>
    <row r="12" spans="2:12">
      <c r="F12" s="403">
        <f>59/300</f>
        <v>0.19666666666666666</v>
      </c>
    </row>
    <row r="13" spans="2:12">
      <c r="C13" s="398"/>
    </row>
    <row r="14" spans="2:12">
      <c r="G14">
        <f>3500000/14.4</f>
        <v>243055.55555555556</v>
      </c>
      <c r="J14" s="402">
        <f>3%*9200000000</f>
        <v>276000000</v>
      </c>
    </row>
    <row r="15" spans="2:12">
      <c r="C15" t="s">
        <v>2002</v>
      </c>
      <c r="D15" t="s">
        <v>2001</v>
      </c>
      <c r="J15" s="401">
        <f>J14/5.19</f>
        <v>53179190.751445085</v>
      </c>
    </row>
    <row r="16" spans="2:12">
      <c r="B16" t="s">
        <v>2012</v>
      </c>
      <c r="C16" s="397">
        <v>0.2</v>
      </c>
      <c r="D16" s="394">
        <f>C16^2</f>
        <v>4.0000000000000008E-2</v>
      </c>
      <c r="F16" s="398"/>
      <c r="J16" s="401">
        <f>J15/31.22</f>
        <v>1703369.3386113096</v>
      </c>
      <c r="K16" s="401">
        <f>J16/100</f>
        <v>17033.693386113096</v>
      </c>
      <c r="L16" s="401">
        <f>J16*1.65</f>
        <v>2810559.4087086609</v>
      </c>
    </row>
    <row r="17" spans="1:21">
      <c r="B17" t="s">
        <v>2011</v>
      </c>
      <c r="C17" s="397">
        <v>0.11700000000000001</v>
      </c>
      <c r="D17" s="394">
        <f>C17^2</f>
        <v>1.3689000000000002E-2</v>
      </c>
      <c r="F17" s="238"/>
    </row>
    <row r="18" spans="1:21">
      <c r="B18" t="s">
        <v>1991</v>
      </c>
      <c r="C18" s="392">
        <f>SQRT(D16+D17+2*C20)</f>
        <v>0.27932955446926844</v>
      </c>
      <c r="J18">
        <v>17000</v>
      </c>
      <c r="K18">
        <v>1.65</v>
      </c>
      <c r="L18" s="402">
        <f>J18*K18*100</f>
        <v>2805000</v>
      </c>
    </row>
    <row r="19" spans="1:21">
      <c r="B19" t="s">
        <v>1989</v>
      </c>
      <c r="C19" s="396">
        <v>0.52</v>
      </c>
      <c r="J19">
        <f>J18*1.6</f>
        <v>27200</v>
      </c>
      <c r="K19">
        <v>0.59599999999999997</v>
      </c>
      <c r="L19" s="402">
        <f>J19*K19*100</f>
        <v>1621120</v>
      </c>
    </row>
    <row r="20" spans="1:21">
      <c r="B20" t="s">
        <v>1987</v>
      </c>
      <c r="C20">
        <f>C19*C16*C17</f>
        <v>1.2168000000000002E-2</v>
      </c>
      <c r="L20" s="401">
        <f>L18-L19</f>
        <v>1183880</v>
      </c>
      <c r="M20" s="401">
        <f>L20*5.2</f>
        <v>6156176</v>
      </c>
      <c r="N20" s="400"/>
    </row>
    <row r="21" spans="1:21">
      <c r="C21" s="398"/>
    </row>
    <row r="23" spans="1:21">
      <c r="B23" t="s">
        <v>2010</v>
      </c>
      <c r="U23">
        <f>0.89-0.24</f>
        <v>0.65</v>
      </c>
    </row>
    <row r="24" spans="1:21">
      <c r="C24" t="s">
        <v>2002</v>
      </c>
      <c r="D24" t="s">
        <v>2001</v>
      </c>
      <c r="U24">
        <f>U23/2</f>
        <v>0.32500000000000001</v>
      </c>
    </row>
    <row r="25" spans="1:21">
      <c r="A25" s="399">
        <v>0.82</v>
      </c>
      <c r="B25" t="s">
        <v>2009</v>
      </c>
      <c r="C25" s="397">
        <v>0.3</v>
      </c>
      <c r="D25" s="394">
        <f>C25^2</f>
        <v>0.09</v>
      </c>
      <c r="I25" t="s">
        <v>2008</v>
      </c>
      <c r="J25">
        <v>21</v>
      </c>
    </row>
    <row r="26" spans="1:21">
      <c r="A26">
        <f>1-A25</f>
        <v>0.18000000000000005</v>
      </c>
      <c r="B26" t="s">
        <v>2007</v>
      </c>
      <c r="C26" s="397">
        <v>0.4</v>
      </c>
      <c r="D26" s="394">
        <f>C26^2</f>
        <v>0.16000000000000003</v>
      </c>
      <c r="I26" t="s">
        <v>2006</v>
      </c>
      <c r="J26">
        <v>1</v>
      </c>
      <c r="R26" s="398"/>
    </row>
    <row r="27" spans="1:21">
      <c r="B27" t="s">
        <v>2005</v>
      </c>
      <c r="C27" s="392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2004</v>
      </c>
      <c r="C28" s="396">
        <v>0.3</v>
      </c>
    </row>
    <row r="29" spans="1:21">
      <c r="B29" t="s">
        <v>2003</v>
      </c>
      <c r="C29">
        <f>C28*C25*C26</f>
        <v>3.5999999999999997E-2</v>
      </c>
    </row>
    <row r="31" spans="1:21">
      <c r="C31" t="s">
        <v>2002</v>
      </c>
      <c r="D31" t="s">
        <v>2001</v>
      </c>
      <c r="F31" t="s">
        <v>2000</v>
      </c>
      <c r="G31" t="s">
        <v>1999</v>
      </c>
      <c r="H31" t="s">
        <v>1998</v>
      </c>
      <c r="I31" t="s">
        <v>1997</v>
      </c>
      <c r="J31" t="s">
        <v>1996</v>
      </c>
    </row>
    <row r="32" spans="1:21">
      <c r="B32" t="s">
        <v>1995</v>
      </c>
      <c r="C32" s="397">
        <v>0.25</v>
      </c>
      <c r="D32" s="394">
        <f>C32^2</f>
        <v>6.25E-2</v>
      </c>
      <c r="F32" s="395">
        <v>0.41370000000000001</v>
      </c>
      <c r="G32" s="395">
        <v>0.43680000000000002</v>
      </c>
      <c r="H32" s="395">
        <v>0.4698</v>
      </c>
      <c r="I32" s="395">
        <v>0.36620000000000003</v>
      </c>
      <c r="J32" s="395">
        <v>0.41830000000000001</v>
      </c>
      <c r="K32" t="s">
        <v>1994</v>
      </c>
      <c r="Q32" s="43">
        <v>0.36620000000000003</v>
      </c>
    </row>
    <row r="33" spans="2:17">
      <c r="B33" t="s">
        <v>1993</v>
      </c>
      <c r="C33" s="397">
        <v>0.122</v>
      </c>
      <c r="D33" s="394">
        <f>C33^2</f>
        <v>1.4884E-2</v>
      </c>
      <c r="E33">
        <f>200*1400</f>
        <v>280000</v>
      </c>
      <c r="F33" s="394">
        <f>F32*SQRT(22/252)</f>
        <v>0.12223528541300993</v>
      </c>
      <c r="G33" s="394">
        <f>G32*SQRT(22/252)</f>
        <v>0.1290606059183049</v>
      </c>
      <c r="H33" s="394">
        <f>H32*SQRT(22/252)</f>
        <v>0.138811063783012</v>
      </c>
      <c r="I33" s="394">
        <f>I32*SQRT(22/252)</f>
        <v>0.10820053545623456</v>
      </c>
      <c r="J33" s="394">
        <f>J32*SQRT(22/252)</f>
        <v>0.12359444014566606</v>
      </c>
      <c r="K33" t="s">
        <v>1992</v>
      </c>
    </row>
    <row r="34" spans="2:17">
      <c r="B34" t="s">
        <v>1991</v>
      </c>
      <c r="C34" s="392">
        <f>SQRT(D32+D33+2*C36)</f>
        <v>0.32780634527110669</v>
      </c>
      <c r="F34" s="394">
        <f>F33^2</f>
        <v>1.4941464999999998E-2</v>
      </c>
      <c r="G34" s="394">
        <f>G33^2</f>
        <v>1.6656639999999997E-2</v>
      </c>
      <c r="H34" s="394">
        <f>H33^2</f>
        <v>1.9268511428571427E-2</v>
      </c>
      <c r="I34" s="394">
        <f>I33^2</f>
        <v>1.1707355873015872E-2</v>
      </c>
      <c r="J34" s="394">
        <f>J33^2</f>
        <v>1.5275585634920631E-2</v>
      </c>
      <c r="K34" t="s">
        <v>1990</v>
      </c>
    </row>
    <row r="35" spans="2:17">
      <c r="B35" t="s">
        <v>1989</v>
      </c>
      <c r="C35" s="396">
        <v>0.49299999999999999</v>
      </c>
      <c r="F35" s="395">
        <v>0.32600000000000001</v>
      </c>
      <c r="G35" s="395">
        <v>0.30270000000000002</v>
      </c>
      <c r="H35" s="395">
        <v>0.35310000000000002</v>
      </c>
      <c r="I35" s="395">
        <v>0.27179999999999999</v>
      </c>
      <c r="J35" s="395">
        <v>0.36080000000000001</v>
      </c>
      <c r="K35" t="s">
        <v>1988</v>
      </c>
      <c r="Q35" s="43">
        <v>0.27179999999999999</v>
      </c>
    </row>
    <row r="36" spans="2:17">
      <c r="B36" t="s">
        <v>1987</v>
      </c>
      <c r="C36">
        <f>C35*C32*C33</f>
        <v>1.50365E-2</v>
      </c>
      <c r="F36" s="394">
        <f>F35*SQRT(1/252)</f>
        <v>2.0536069700168014E-2</v>
      </c>
      <c r="G36" s="394">
        <f>G35*SQRT(1/252)</f>
        <v>1.9068307663315517E-2</v>
      </c>
      <c r="H36" s="394">
        <f>H35*SQRT(1/252)</f>
        <v>2.2243209236593026E-2</v>
      </c>
      <c r="I36" s="394">
        <f>I35*SQRT(1/252)</f>
        <v>1.7121790627317994E-2</v>
      </c>
      <c r="J36" s="394">
        <f>J35*SQRT(1/252)</f>
        <v>2.2728263643621533E-2</v>
      </c>
      <c r="K36" t="s">
        <v>1986</v>
      </c>
    </row>
    <row r="37" spans="2:17">
      <c r="F37" s="394">
        <f>F36*SQRT(21/1)</f>
        <v>9.4108093877908999E-2</v>
      </c>
      <c r="G37" s="394">
        <f>G36*SQRT(21/1)</f>
        <v>8.7381963241849867E-2</v>
      </c>
      <c r="H37" s="394">
        <f>H36*SQRT(21/1)</f>
        <v>0.10193119002542844</v>
      </c>
      <c r="I37" s="394">
        <f>I36*SQRT(21/1)</f>
        <v>7.8461901582870142E-2</v>
      </c>
      <c r="J37" s="394">
        <f>J36*SQRT(21/1)</f>
        <v>0.10415398856180849</v>
      </c>
      <c r="K37" t="s">
        <v>1985</v>
      </c>
    </row>
    <row r="38" spans="2:17">
      <c r="F38" s="394">
        <f>F37^2</f>
        <v>8.8563333333333341E-3</v>
      </c>
      <c r="G38" s="394">
        <f>G37^2</f>
        <v>7.6356075000000015E-3</v>
      </c>
      <c r="H38" s="394">
        <f>H37^2</f>
        <v>1.0389967500000003E-2</v>
      </c>
      <c r="I38" s="394">
        <f>I37^2</f>
        <v>6.1562700000000001E-3</v>
      </c>
      <c r="J38" s="394">
        <f>J37^2</f>
        <v>1.0848053333333335E-2</v>
      </c>
      <c r="K38" t="s">
        <v>1984</v>
      </c>
    </row>
    <row r="39" spans="2:17">
      <c r="F39" s="394">
        <f>F34-F38</f>
        <v>6.0851316666666634E-3</v>
      </c>
      <c r="G39" s="394">
        <f>G34-G38</f>
        <v>9.0210324999999945E-3</v>
      </c>
      <c r="H39" s="394">
        <f>H34-H38</f>
        <v>8.8785439285714238E-3</v>
      </c>
      <c r="I39" s="394">
        <f>I34-I38</f>
        <v>5.5510858730158721E-3</v>
      </c>
      <c r="J39" s="394">
        <f>J34-J38</f>
        <v>4.4275323015872965E-3</v>
      </c>
      <c r="K39" t="s">
        <v>1983</v>
      </c>
    </row>
    <row r="40" spans="2:17">
      <c r="F40" s="393">
        <f>F39^0.5</f>
        <v>7.8007253936199186E-2</v>
      </c>
      <c r="G40" s="393">
        <f>G39^0.5</f>
        <v>9.4979116125598867E-2</v>
      </c>
      <c r="H40" s="393">
        <f>H39^0.5</f>
        <v>9.4226025749637898E-2</v>
      </c>
      <c r="I40" s="393">
        <f>I39^0.5</f>
        <v>7.4505609674814899E-2</v>
      </c>
      <c r="J40" s="393">
        <f>J39^0.5</f>
        <v>6.6539704700181057E-2</v>
      </c>
      <c r="K40" t="s">
        <v>1982</v>
      </c>
    </row>
    <row r="41" spans="2:17">
      <c r="F41" s="392">
        <f>F40*SQRT(252)</f>
        <v>1.2383267662454847</v>
      </c>
      <c r="G41" s="392">
        <f>G40*SQRT(252)</f>
        <v>1.5077467260783552</v>
      </c>
      <c r="H41" s="392">
        <f>H40*SQRT(252)</f>
        <v>1.4957917869810622</v>
      </c>
      <c r="I41" s="392">
        <f>I40*SQRT(252)</f>
        <v>1.1827398868728491</v>
      </c>
      <c r="J41" s="392">
        <f>J40*SQRT(252)</f>
        <v>1.0562850656901284</v>
      </c>
      <c r="K41" t="s">
        <v>1981</v>
      </c>
    </row>
    <row r="42" spans="2:17">
      <c r="F42" s="391">
        <f>F40/F36</f>
        <v>3.7985483627162102</v>
      </c>
      <c r="G42" s="391">
        <f>G40/G36</f>
        <v>4.9809934789506274</v>
      </c>
      <c r="H42" s="391">
        <f>H40/H36</f>
        <v>4.2361704530757907</v>
      </c>
      <c r="I42" s="391">
        <f>I40/I36</f>
        <v>4.3515080458898048</v>
      </c>
      <c r="J42" s="391">
        <f>J40/J36</f>
        <v>2.9276193616688699</v>
      </c>
      <c r="K42" s="59" t="s">
        <v>1980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F9" sqref="F9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>
        <f>C6/B6</f>
        <v>0.12712712712712745</v>
      </c>
      <c r="B6" s="145">
        <f>H6-J6</f>
        <v>9.9899999999999984</v>
      </c>
      <c r="C6" s="145">
        <f>L6-H6</f>
        <v>1.2700000000000031</v>
      </c>
      <c r="E6" t="s">
        <v>37</v>
      </c>
      <c r="F6" t="s">
        <v>38</v>
      </c>
      <c r="G6" t="s">
        <v>39</v>
      </c>
      <c r="H6" s="148" cm="1">
        <f t="array" ref="H6">IF(ISNUMBER(_xlfn.SINGLE(_xll.BDP($E6,H$2))),  _xll.BDP($E6,H$2), "nmf")</f>
        <v>33.08</v>
      </c>
      <c r="I6" s="153">
        <f>H6/J6-1</f>
        <v>0.43265482893027274</v>
      </c>
      <c r="J6" s="149" cm="1">
        <f t="array" ref="J6">IF(ISTEXT($E6),_xll.BDH($E6,"PX_LAST",J$2,J$2,"Fill=P","CDR=US"),"")</f>
        <v>23.09</v>
      </c>
      <c r="K6" s="153">
        <f t="shared" ref="K6:K20" si="0">H6/L6-1</f>
        <v>-3.6972343522561957E-2</v>
      </c>
      <c r="L6" s="149" cm="1">
        <f t="array" ref="L6">IF(ISNUMBER(_xlfn.SINGLE(_xll.BDP($E6,L$2))),  _xll.BDP($E6,L$2), "nmf")</f>
        <v>34.35</v>
      </c>
      <c r="M6" t="str" cm="1">
        <f t="array" ref="M6">_xll.BDP(E6,M$2)</f>
        <v>12/01/2026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-0.48910656571388245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cm="1">
        <f t="array" ref="H7">IF(ISNUMBER(_xlfn.SINGLE(_xll.BDP($E7,H$2))),  _xll.BDP($E7,H$2), "nmf")</f>
        <v>7802.25</v>
      </c>
      <c r="I7" s="153">
        <f t="shared" ref="I7:I20" si="1">H7/J7-1</f>
        <v>0.49858539761563159</v>
      </c>
      <c r="J7" s="143" cm="1">
        <f t="array" ref="J7">IF(ISTEXT($E7),_xll.BDH($E7,"PX_LAST",J$2,J$2,"Fill=P","CDR=US"),"")</f>
        <v>5206.41</v>
      </c>
      <c r="K7" s="153">
        <f t="shared" si="0"/>
        <v>-3.4059395644121304E-2</v>
      </c>
      <c r="L7" s="143" cm="1">
        <f t="array" ref="L7">IF(ISNUMBER(_xlfn.SINGLE(_xll.BDP($E7,L$2))),  _xll.BDP($E7,L$2), "nmf")</f>
        <v>8077.36</v>
      </c>
      <c r="M7" t="str" cm="1">
        <f t="array" ref="M7">_xll.BDP(E7,M$2)</f>
        <v>12/01/2026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16.687175857411759</v>
      </c>
      <c r="Q7" s="153">
        <f>$P7/T7-1</f>
        <v>0.23542820550608279</v>
      </c>
      <c r="R7" s="153">
        <f>$P7/U7-1</f>
        <v>0.10334512084318837</v>
      </c>
      <c r="S7" s="144" cm="1">
        <f t="array" ref="S7">_xll.BDP($E7,S$2)</f>
        <v>10.816368781619538</v>
      </c>
      <c r="T7" s="150">
        <f>MEDIAN(_xll.BDH($E7," best pe ratio","-7ay",""," be997=1gy","array=true"," dts=h"  ))</f>
        <v>13.507199999999999</v>
      </c>
      <c r="U7" s="151">
        <f>T7+W7</f>
        <v>15.124166991973679</v>
      </c>
      <c r="V7" s="151">
        <f>T7-W7</f>
        <v>11.890233008026319</v>
      </c>
      <c r="W7" s="150">
        <f>STDEV(_xll.BDH($E7," best pe ratio","-7ay",""," be997=1gy","array=true"," dts=h"  ))</f>
        <v>1.6169669919736791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cm="1">
        <f t="array" ref="H8">IF(ISNUMBER(_xlfn.SINGLE(_xll.BDP($E8,H$2))),  _xll.BDP($E8,H$2), "nmf")</f>
        <v>4605.9799999999996</v>
      </c>
      <c r="I8" s="154">
        <f t="shared" si="1"/>
        <v>0.43365206240117504</v>
      </c>
      <c r="J8" s="140" cm="1">
        <f t="array" ref="J8">IF(ISTEXT($E8),_xll.BDH($E8,"PX_LAST",J$2,J$2,"Fill=P","CDR=US"),"")</f>
        <v>3212.76</v>
      </c>
      <c r="K8" s="154">
        <f t="shared" si="0"/>
        <v>-4.7753134199993497E-2</v>
      </c>
      <c r="L8" s="140" cm="1">
        <f t="array" ref="L8">IF(ISNUMBER(_xlfn.SINGLE(_xll.BDP($E8,L$2))),  _xll.BDP($E8,L$2), "nmf")</f>
        <v>4836.96</v>
      </c>
      <c r="M8" s="138" t="str" cm="1">
        <f t="array" ref="M8">_xll.BDP(E8,M$2)</f>
        <v>13/01/2026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16.54353418528602</v>
      </c>
      <c r="Q8" s="154">
        <f>P8/T8-1</f>
        <v>0.21305583596345623</v>
      </c>
      <c r="R8" s="154">
        <f>$P8/U8-1</f>
        <v>7.9800467969552313E-2</v>
      </c>
      <c r="S8" s="141" cm="1">
        <f t="array" ref="S8">_xll.BDP($E8,S$2)</f>
        <v>10.78433709775358</v>
      </c>
      <c r="T8" s="146">
        <f>MEDIAN(_xll.BDH($E8," best pe ratio","-7ay",""," be997=1gy","array=true"," dts=h"  ))</f>
        <v>13.6379</v>
      </c>
      <c r="U8" s="147">
        <f>T8+W8</f>
        <v>15.320917776961462</v>
      </c>
      <c r="V8" s="147">
        <f>T8-W8</f>
        <v>11.954882223038538</v>
      </c>
      <c r="W8" s="146">
        <f>STDEV(_xll.BDH($E8," best pe ratio","-7ay",""," be997=1gy","array=true"," dts=h"  ))</f>
        <v>1.6830177769614618</v>
      </c>
    </row>
    <row r="9" spans="1:26">
      <c r="A9" s="2">
        <f>C9/B9</f>
        <v>0.2463011314186247</v>
      </c>
      <c r="B9" s="145">
        <f>H9-J9</f>
        <v>11.490000000000002</v>
      </c>
      <c r="C9" s="145">
        <f>L9-H9</f>
        <v>2.8299999999999983</v>
      </c>
      <c r="E9" t="s">
        <v>44</v>
      </c>
      <c r="F9" t="s">
        <v>45</v>
      </c>
      <c r="G9" t="s">
        <v>39</v>
      </c>
      <c r="H9" s="148" cm="1">
        <f t="array" ref="H9">IF(ISNUMBER(_xlfn.SINGLE(_xll.BDP($E9,H$2))),  _xll.BDP($E9,H$2), "nmf")</f>
        <v>39.17</v>
      </c>
      <c r="I9" s="153">
        <f t="shared" si="1"/>
        <v>0.41510115606936426</v>
      </c>
      <c r="J9" s="149" cm="1">
        <f t="array" ref="J9">IF(ISTEXT($E9),_xll.BDH($E9,"PX_LAST",J$2,J$2,"Fill=P","CDR=US"),"")</f>
        <v>27.68</v>
      </c>
      <c r="K9" s="153">
        <f t="shared" si="0"/>
        <v>-6.7380952380952319E-2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29.204999999999998</v>
      </c>
      <c r="O9" t="str" cm="1">
        <f t="array" ref="O9">_xll.BDP(E9,O$2)</f>
        <v>08/04/2025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cm="1">
        <f t="array" ref="H10">IF(ISNUMBER(_xlfn.SINGLE(_xll.BDP($E10,H$2))),  _xll.BDP($E10,H$2), "nmf")</f>
        <v>36658.57</v>
      </c>
      <c r="I10" s="153">
        <f t="shared" si="1"/>
        <v>0.49781978228875468</v>
      </c>
      <c r="J10" s="143" cm="1">
        <f t="array" ref="J10">IF(ISTEXT($E10),_xll.BDH($E10,"PX_LAST",J$2,J$2,"Fill=P","CDR=US"),"")</f>
        <v>24474.62</v>
      </c>
      <c r="K10" s="153">
        <f t="shared" si="0"/>
        <v>-5.6079461331479452E-2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27588.48</v>
      </c>
      <c r="O10" t="str" cm="1">
        <f t="array" ref="O10">_xll.BDP(E10,O$2)</f>
        <v>07/04/2025</v>
      </c>
      <c r="P10" s="144" cm="1">
        <f t="array" ref="P10">_xll.BDP($E10,P$2)</f>
        <v>11.177011130196417</v>
      </c>
      <c r="Q10" s="153">
        <f>P10/T10-1</f>
        <v>0.22470345377605572</v>
      </c>
      <c r="R10" s="153">
        <f>$P10/U10-1</f>
        <v>5.665347560290801E-2</v>
      </c>
      <c r="S10" s="144" cm="1">
        <f t="array" ref="S10">_xll.BDP($E10,S$2)</f>
        <v>11.22082407183421</v>
      </c>
      <c r="T10" s="150">
        <f>MEDIAN(_xll.BDH($E10," best pe ratio","-7ay",""," be997=1gy","array=true"," dts=h"  ))</f>
        <v>9.1263000000000005</v>
      </c>
      <c r="U10" s="151">
        <f>T10+W10</f>
        <v>10.577745105905235</v>
      </c>
      <c r="V10" s="151">
        <f>T10-W10</f>
        <v>7.674854894094767</v>
      </c>
      <c r="W10" s="150">
        <f>STDEV(_xll.BDH($E10," best pe ratio","-7ay",""," be997=1gy","array=true"," dts=h"  ))</f>
        <v>1.4514451059052338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cm="1">
        <f t="array" ref="H11">IF(ISNUMBER(_xlfn.SINGLE(_xll.BDP($E11,H$2))),  _xll.BDP($E11,H$2), "nmf")</f>
        <v>14764.19</v>
      </c>
      <c r="I11" s="154">
        <f t="shared" si="1"/>
        <v>0.30354311242958798</v>
      </c>
      <c r="J11" s="140" cm="1">
        <f t="array" ref="J11">IF(ISTEXT($E11),_xll.BDH($E11,"PX_LAST",J$2,J$2,"Fill=P","CDR=US"),"")</f>
        <v>11326.2</v>
      </c>
      <c r="K11" s="154">
        <f t="shared" si="0"/>
        <v>-6.3162730549804258E-2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13.284412447595342</v>
      </c>
      <c r="Q11" s="154">
        <f>P11/T11-1</f>
        <v>0.14931976014148396</v>
      </c>
      <c r="R11" s="154">
        <f>$P11/U11-1</f>
        <v>1.8673998828378835E-2</v>
      </c>
      <c r="S11" s="141" cm="1">
        <f t="array" ref="S11">_xll.BDP($E11,S$2)</f>
        <v>12.198028820746282</v>
      </c>
      <c r="T11" s="146">
        <f>MEDIAN(_xll.BDH($E11," best pe ratio","-7ay",""," be997=1gy","array=true"," dts=h"  ))</f>
        <v>11.5585</v>
      </c>
      <c r="U11" s="147">
        <f>T11+W11</f>
        <v>13.040886940153886</v>
      </c>
      <c r="V11" s="147">
        <f>T11-W11</f>
        <v>10.076113059846115</v>
      </c>
      <c r="W11" s="146">
        <f>STDEV(_xll.BDH($E11," best pe ratio","-7ay",""," be997=1gy","array=true"," dts=h"  ))</f>
        <v>1.4823869401538854</v>
      </c>
    </row>
    <row r="12" spans="1:26">
      <c r="A12" s="2">
        <f>C12/B12</f>
        <v>1.0580357142857144</v>
      </c>
      <c r="B12" s="145">
        <f>H12-J12</f>
        <v>7.84</v>
      </c>
      <c r="C12" s="145">
        <f>L12-H12</f>
        <v>8.2950000000000017</v>
      </c>
      <c r="E12" t="s">
        <v>49</v>
      </c>
      <c r="F12" t="s">
        <v>50</v>
      </c>
      <c r="G12" t="s">
        <v>39</v>
      </c>
      <c r="H12" s="148" cm="1">
        <f t="array" ref="H12">IF(ISNUMBER(_xlfn.SINGLE(_xll.BDP($E12,H$2))),  _xll.BDP($E12,H$2), "nmf")</f>
        <v>35.07</v>
      </c>
      <c r="I12" s="153">
        <f t="shared" si="1"/>
        <v>0.28791773778920304</v>
      </c>
      <c r="J12" s="149" cm="1">
        <f t="array" ref="J12">IF(ISTEXT($E12),_xll.BDH($E12,"PX_LAST",J$2,J$2,"Fill=P","CDR=US"),"")</f>
        <v>27.23</v>
      </c>
      <c r="K12" s="153">
        <f t="shared" si="0"/>
        <v>-0.19128329297820823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27.824999999999999</v>
      </c>
      <c r="O12" t="str" cm="1">
        <f t="array" ref="O12">_xll.BDP(E12,O$2)</f>
        <v>08/04/2025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cm="1">
        <f t="array" ref="H13">IF(ISNUMBER(_xlfn.SINGLE(_xll.BDP($E13,H$2))),  _xll.BDP($E13,H$2), "nmf")</f>
        <v>5941.3788999999997</v>
      </c>
      <c r="I13" s="153">
        <f t="shared" si="1"/>
        <v>0.42138217191814054</v>
      </c>
      <c r="J13" s="143" cm="1">
        <f t="array" ref="J13">IF(ISTEXT($E13),_xll.BDH($E13,"PX_LAST",J$2,J$2,"Fill=P","CDR=US"),"")</f>
        <v>4180.0010000000002</v>
      </c>
      <c r="K13" s="153">
        <f t="shared" si="0"/>
        <v>-0.13581212843273138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4656.3050000000003</v>
      </c>
      <c r="O13" t="str" cm="1">
        <f t="array" ref="O13">_xll.BDP(E13,O$2)</f>
        <v>07/04/2025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cm="1">
        <f t="array" ref="H14">IF(ISNUMBER(_xlfn.SINGLE(_xll.BDP($E14,H$2))),  _xll.BDP($E14,H$2), "nmf")</f>
        <v>5526.31</v>
      </c>
      <c r="I14" s="154">
        <f t="shared" si="1"/>
        <v>0.49429598163465638</v>
      </c>
      <c r="J14" s="140" cm="1">
        <f t="array" ref="J14">IF(ISTEXT($E14),_xll.BDH($E14,"PX_LAST",J$2,J$2,"Fill=P","CDR=US"),"")</f>
        <v>3698.27</v>
      </c>
      <c r="K14" s="154">
        <f t="shared" si="0"/>
        <v>-0.17707647726291265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4296.16</v>
      </c>
      <c r="O14" s="138" t="str" cm="1">
        <f t="array" ref="O14">_xll.BDP(E14,O$2)</f>
        <v>09/04/2025</v>
      </c>
      <c r="P14" s="141" cm="1">
        <f t="array" ref="P14">_xll.BDP($E14,P$2)</f>
        <v>26.709833105500579</v>
      </c>
      <c r="Q14" s="154">
        <f>P14/T14-1</f>
        <v>-1.4390028505724017E-2</v>
      </c>
      <c r="R14" s="154">
        <f>$P14/U14-1</f>
        <v>-0.30730849413733408</v>
      </c>
      <c r="S14" s="141" cm="1">
        <f t="array" ref="S14">_xll.BDP($E14,S$2)</f>
        <v>9.4665489923552784</v>
      </c>
      <c r="T14" s="146">
        <f>MEDIAN(_xll.BDH($E14," best pe ratio","-7ay",""," be997=1gy","array=true"," dts=h"  ))</f>
        <v>27.099799999999998</v>
      </c>
      <c r="U14" s="147">
        <f>T14+W14</f>
        <v>38.559492760397887</v>
      </c>
      <c r="V14" s="147">
        <f>T14-W14</f>
        <v>15.640107239602111</v>
      </c>
      <c r="W14" s="146">
        <f>STDEV(_xll.BDH($E14," best pe ratio","-7ay",""," be997=1gy","array=true"," dts=h"  ))</f>
        <v>11.459692760397887</v>
      </c>
    </row>
    <row r="15" spans="1:26">
      <c r="A15" s="2">
        <f>C15/B15</f>
        <v>0.31423910237763408</v>
      </c>
      <c r="B15" s="145">
        <f>H15-J15</f>
        <v>18.329999999999998</v>
      </c>
      <c r="C15" s="145">
        <f>L15-H15</f>
        <v>5.7600027465820318</v>
      </c>
      <c r="E15" t="s">
        <v>54</v>
      </c>
      <c r="F15" t="s">
        <v>55</v>
      </c>
      <c r="G15" t="s">
        <v>39</v>
      </c>
      <c r="H15" s="148" cm="1">
        <f t="array" ref="H15">IF(ISNUMBER(_xlfn.SINGLE(_xll.BDP($E15,H$2))),  _xll.BDP($E15,H$2), "nmf")</f>
        <v>61.61</v>
      </c>
      <c r="I15" s="153">
        <f t="shared" si="1"/>
        <v>0.42352125693160803</v>
      </c>
      <c r="J15" s="149" cm="1">
        <f t="array" ref="J15">IF(ISTEXT($E15),_xll.BDH($E15,"PX_LAST",J$2,J$2,"Fill=P","CDR=US"),"")</f>
        <v>43.28</v>
      </c>
      <c r="K15" s="153">
        <f t="shared" si="0"/>
        <v>-8.5498033423699993E-2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44.709999084472656</v>
      </c>
      <c r="O15" t="str" cm="1">
        <f t="array" ref="O15">_xll.BDP(E15,O$2)</f>
        <v>08/04/2025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cm="1">
        <f t="array" ref="H16">IF(ISNUMBER(_xlfn.SINGLE(_xll.BDP($E16,H$2))),  _xll.BDP($E16,H$2), "nmf")</f>
        <v>696.9008</v>
      </c>
      <c r="I16" s="153">
        <f t="shared" si="1"/>
        <v>0.54158059942176973</v>
      </c>
      <c r="J16" s="143" cm="1">
        <f t="array" ref="J16">IF(ISTEXT($E16),_xll.BDH($E16,"PX_LAST",J$2,J$2,"Fill=P","CDR=US"),"")</f>
        <v>452.06900000000002</v>
      </c>
      <c r="K16" s="153">
        <f t="shared" si="0"/>
        <v>-4.4231631137742866E-2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501.22379999999998</v>
      </c>
      <c r="O16" t="str" cm="1">
        <f t="array" ref="O16">_xll.BDP(E16,O$2)</f>
        <v>07/04/2025</v>
      </c>
      <c r="P16" s="144" cm="1">
        <f t="array" ref="P16">_xll.BDP($E16,P$2)</f>
        <v>14.363622942838731</v>
      </c>
      <c r="Q16" s="153">
        <f>P16/T16-1</f>
        <v>0.16873391507162228</v>
      </c>
      <c r="R16" s="153">
        <f>$P16/U16-1</f>
        <v>-3.2357032969244637E-2</v>
      </c>
      <c r="S16" s="144" cm="1">
        <f t="array" ref="S16">_xll.BDP($E16,S$2)</f>
        <v>11.445013627937994</v>
      </c>
      <c r="T16" s="150">
        <f>MEDIAN(_xll.BDH($E16," best pe ratio","-7ay",""," be997=1gy","array=true"," dts=h"  ))</f>
        <v>12.289899999999999</v>
      </c>
      <c r="U16" s="151">
        <f>T16+W16</f>
        <v>14.843928424255473</v>
      </c>
      <c r="V16" s="151">
        <f>T16-W16</f>
        <v>9.7358715757445253</v>
      </c>
      <c r="W16" s="150">
        <f>STDEV(_xll.BDH($E16," best pe ratio","-7ay",""," be997=1gy","array=true"," dts=h"  ))</f>
        <v>2.5540284242554745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cm="1">
        <f t="array" ref="H17">IF(ISNUMBER(_xlfn.SINGLE(_xll.BDP($E17,H$2))),  _xll.BDP($E17,H$2), "nmf")</f>
        <v>87.19</v>
      </c>
      <c r="I17" s="154">
        <f t="shared" si="1"/>
        <v>0.50639253628196257</v>
      </c>
      <c r="J17" s="140" cm="1">
        <f t="array" ref="J17">IF(ISTEXT($E17),_xll.BDH($E17,"PX_LAST",J$2,J$2,"Fill=P","CDR=US"),"")</f>
        <v>57.88</v>
      </c>
      <c r="K17" s="154">
        <f t="shared" si="0"/>
        <v>-4.8040179058849275E-2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62.12</v>
      </c>
      <c r="O17" s="138" t="str" cm="1">
        <f t="array" ref="O17">_xll.BDP(E17,O$2)</f>
        <v>09/04/2025</v>
      </c>
      <c r="P17" s="141" cm="1">
        <f t="array" ref="P17">_xll.BDP($E17,P$2)</f>
        <v>14.363622942838731</v>
      </c>
      <c r="Q17" s="154">
        <f>P17/T17-1</f>
        <v>0.16920007674714954</v>
      </c>
      <c r="R17" s="154">
        <f>$P17/U17-1</f>
        <v>-3.2042944231070014E-2</v>
      </c>
      <c r="S17" s="141" cm="1">
        <f t="array" ref="S17">_xll.BDP($E17,S$2)</f>
        <v>11.445013627937994</v>
      </c>
      <c r="T17" s="146">
        <f>MEDIAN(_xll.BDH($E17," best pe ratio","-7ay",""," be997=1gy","array=true"," dts=h"  ))</f>
        <v>12.285</v>
      </c>
      <c r="U17" s="147">
        <f>T17+W17</f>
        <v>14.839111773846716</v>
      </c>
      <c r="V17" s="147">
        <f>T17-W17</f>
        <v>9.7308882261532847</v>
      </c>
      <c r="W17" s="146">
        <f>STDEV(_xll.BDH($E17," best pe ratio","-7ay",""," be997=1gy","array=true"," dts=h"  ))</f>
        <v>2.554111773846715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cm="1">
        <f t="array" ref="H18">IF(ISNUMBER(_xlfn.SINGLE(_xll.BDP($E18,H$2))),  _xll.BDP($E18,H$2), "nmf")</f>
        <v>26775.57</v>
      </c>
      <c r="I18" s="153">
        <f t="shared" si="1"/>
        <v>0.46738689030756086</v>
      </c>
      <c r="J18" s="143" cm="1">
        <f t="array" ref="J18">IF(ISTEXT($E18),_xll.BDH($E18,"PX_LAST",J$2,J$2,"Fill=P","CDR=US"),"")</f>
        <v>18247.11</v>
      </c>
      <c r="K18" s="153">
        <f t="shared" si="0"/>
        <v>-4.5641767743913042E-2</v>
      </c>
      <c r="L18" s="143" cm="1">
        <f t="array" ref="L18">IF(ISNUMBER(_xlfn.SINGLE(_xll.BDP($E18,L$2))),  _xll.BDP($E18,L$2), "nmf")</f>
        <v>28056.1</v>
      </c>
      <c r="M18" t="str" cm="1">
        <f t="array" ref="M18">_xll.BDP(E18,M$2)</f>
        <v>29/01/2026</v>
      </c>
      <c r="N18" s="143" cm="1">
        <f t="array" ref="N18">IF(ISNUMBER(_xlfn.SINGLE(_xll.BDP($E18,N$2))),  _xll.BDP($E18,N$2), "nmf")</f>
        <v>19260.21</v>
      </c>
      <c r="O18" t="str" cm="1">
        <f t="array" ref="O18">_xll.BDP(E18,O$2)</f>
        <v>09/04/2025</v>
      </c>
      <c r="P18" s="144" cm="1">
        <f t="array" ref="P18">_xll.BDP($E18,P$2)</f>
        <v>13.039970749230436</v>
      </c>
      <c r="Q18" s="153">
        <f>P18/T18-1</f>
        <v>0.19938657762278433</v>
      </c>
      <c r="R18" s="153">
        <f>$P18/U18-1</f>
        <v>4.1152265615888695E-2</v>
      </c>
      <c r="S18" s="144" cm="1">
        <f t="array" ref="S18">_xll.BDP($E18,S$2)</f>
        <v>10.509736100859806</v>
      </c>
      <c r="T18" s="150">
        <f>MEDIAN(_xll.BDH($E18," best pe ratio","-7ay",""," be997=1gy","array=true"," dts=h"  ))</f>
        <v>10.872199999999999</v>
      </c>
      <c r="U18" s="151">
        <f>T18+W18</f>
        <v>12.524556858661498</v>
      </c>
      <c r="V18" s="151">
        <f>T18-W18</f>
        <v>9.2198431413385009</v>
      </c>
      <c r="W18" s="150">
        <f>STDEV(_xll.BDH($E18," best pe ratio","-7ay",""," be997=1gy","array=true"," dts=h"  ))</f>
        <v>1.6523568586614978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cm="1">
        <f t="array" ref="H19">IF(ISNUMBER(_xlfn.SINGLE(_xll.BDP($E19,H$2))),  _xll.BDP($E19,H$2), "nmf")</f>
        <v>9080.19</v>
      </c>
      <c r="I19" s="153">
        <f t="shared" si="1"/>
        <v>0.42120461787925656</v>
      </c>
      <c r="J19" s="143" cm="1">
        <f t="array" ref="J19">IF(ISTEXT($E19),_xll.BDH($E19,"PX_LAST",J$2,J$2,"Fill=P","CDR=US"),"")</f>
        <v>6389.08</v>
      </c>
      <c r="K19" s="153">
        <f t="shared" si="0"/>
        <v>-7.0624889331958984E-2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7100.61</v>
      </c>
      <c r="O19" t="str" cm="1">
        <f t="array" ref="O19">_xll.BDP(E19,O$2)</f>
        <v>09/04/2025</v>
      </c>
      <c r="P19" s="144" cm="1">
        <f t="array" ref="P19">_xll.BDP($E19,P$2)</f>
        <v>11.71490936589362</v>
      </c>
      <c r="Q19" s="153">
        <f>P19/T19-1</f>
        <v>0.31511460230734745</v>
      </c>
      <c r="R19" s="153">
        <f>$P19/U19-1</f>
        <v>0.15486685483403129</v>
      </c>
      <c r="S19" s="144" cm="1">
        <f t="array" ref="S19">_xll.BDP($E19,S$2)</f>
        <v>11.011452843933929</v>
      </c>
      <c r="T19" s="150">
        <f>MEDIAN(_xll.BDH($E19," best pe ratio","-7ay",""," be997=1gy","array=true"," dts=h"  ))</f>
        <v>8.9078999999999997</v>
      </c>
      <c r="U19" s="151">
        <f>T19+W19</f>
        <v>10.143948037695825</v>
      </c>
      <c r="V19" s="151">
        <f>T19-W19</f>
        <v>7.6718519623041743</v>
      </c>
      <c r="W19" s="150">
        <f>STDEV(_xll.BDH($E19," best pe ratio","-7ay",""," be997=1gy","array=true"," dts=h"  ))</f>
        <v>1.2360480376958252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cm="1">
        <f t="array" ref="H20">IF(ISNUMBER(_xlfn.SINGLE(_xll.BDP($E20,H$2))),  _xll.BDP($E20,H$2), "nmf")</f>
        <v>4015.7460000000001</v>
      </c>
      <c r="I20" s="153">
        <f t="shared" si="1"/>
        <v>0.46084604924555772</v>
      </c>
      <c r="J20" s="143" cm="1">
        <f t="array" ref="J20">IF(ISTEXT($E20),_xll.BDH($E20,"PX_LAST",J$2,J$2,"Fill=P","CDR=US"),"")</f>
        <v>2748.9180000000001</v>
      </c>
      <c r="K20" s="153">
        <f t="shared" si="0"/>
        <v>-4.1786112941812004E-2</v>
      </c>
      <c r="L20" s="143" cm="1">
        <f t="array" ref="L20">IF(ISNUMBER(_xlfn.SINGLE(_xll.BDP($E20,L$2))),  _xll.BDP($E20,L$2), "nmf")</f>
        <v>4190.866</v>
      </c>
      <c r="M20" t="str" cm="1">
        <f t="array" ref="M20">_xll.BDP(E20,M$2)</f>
        <v>14/01/2026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15.361893863902377</v>
      </c>
      <c r="Q20" s="153">
        <f>P20/T20-1</f>
        <v>0.2562164305202006</v>
      </c>
      <c r="R20" s="153">
        <f>$P20/U20-1</f>
        <v>0.12771111162430127</v>
      </c>
      <c r="S20" s="144" cm="1">
        <f t="array" ref="S20">_xll.BDP($E20,S$2)</f>
        <v>9.6381293076999768</v>
      </c>
      <c r="T20" s="150">
        <f>MEDIAN(_xll.BDH($E20," best pe ratio","-7ay",""," be997=1gy","array=true"," dts=h"  ))</f>
        <v>12.2287</v>
      </c>
      <c r="U20" s="151">
        <f>T20+W20</f>
        <v>13.622188968037957</v>
      </c>
      <c r="V20" s="151">
        <f>T20-W20</f>
        <v>10.835211031962043</v>
      </c>
      <c r="W20" s="150">
        <f>STDEV(_xll.BDH($E20," best pe ratio","-7ay",""," be997=1gy","array=true"," dts=h"  ))</f>
        <v>1.393488968037957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>
        <f>D4-E4</f>
        <v>8.4259630009446175E-3</v>
      </c>
      <c r="AP1" s="23"/>
    </row>
    <row r="2" spans="1:47" outlineLevel="1">
      <c r="D2" s="7" t="s">
        <v>66</v>
      </c>
      <c r="E2" s="265">
        <f>D4+E4</f>
        <v>8.8046131110151825E-3</v>
      </c>
      <c r="Q2" s="179">
        <f ca="1">WORKDAY(Q3,-126)</f>
        <v>45877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46055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46023</v>
      </c>
      <c r="AN3" s="180">
        <f ca="1">WORKDAY($Q$3,-66)</f>
        <v>45961</v>
      </c>
      <c r="AO3" s="180"/>
      <c r="AR3" s="180"/>
      <c r="AS3" s="180"/>
      <c r="AT3" s="180"/>
    </row>
    <row r="4" spans="1:47" outlineLevel="1">
      <c r="C4" s="7" t="s">
        <v>70</v>
      </c>
      <c r="D4" s="265">
        <f>SUM(D8:D21)</f>
        <v>8.6152880559799E-3</v>
      </c>
      <c r="E4" s="265">
        <f>SUM(E8:E24)</f>
        <v>1.8932505503528206E-4</v>
      </c>
      <c r="Q4" s="181" t="str">
        <f ca="1">YEAR($Q$2)&amp;TEXT(MONTH($Q$2),"00")&amp;TEXT(DAY($Q$2),"00")</f>
        <v>20250808</v>
      </c>
      <c r="X4" s="182"/>
    </row>
    <row r="5" spans="1:47" outlineLevel="1">
      <c r="C5" s="7" t="s">
        <v>91</v>
      </c>
      <c r="D5" s="265">
        <f>SUM(D22:D23)</f>
        <v>0</v>
      </c>
      <c r="Q5" s="181" t="str">
        <f ca="1">YEAR(TODAY())&amp;TEXT(MONTH(TODAY()),"00")&amp;TEXT(DAY(TODAY()),"00")</f>
        <v>20260202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2.8019783716766856E-4</v>
      </c>
      <c r="E8" s="255">
        <f>SUMIF(Tabelad[Ticker],PAIR_Monitor!C8,Tabelad[Exp %])</f>
        <v>-2.8019783716766856E-4</v>
      </c>
      <c r="F8" s="254"/>
      <c r="G8" s="187" cm="1">
        <f t="array" ref="G8">_xll.BDP(B8&amp;" Equity","LAST PRICE")</f>
        <v>423.37</v>
      </c>
      <c r="H8" s="188" cm="1">
        <f t="array" ref="H8">G8/_xll.BDP(B8&amp;" Equity", "PREV_CLOSE_VAL")-1</f>
        <v>-1.6082177136349962E-2</v>
      </c>
      <c r="I8" s="187" cm="1">
        <f t="array" ref="I8">_xll.BDP(C8&amp;" Equity","LAST PRICE")</f>
        <v>89.52</v>
      </c>
      <c r="J8" s="188" cm="1">
        <f t="array" ref="J8">I8/_xll.BDP(C8&amp;" Equity", "PREV_CLOSE_VAL")-1</f>
        <v>-8.7476469936884627E-3</v>
      </c>
      <c r="K8" s="189">
        <f t="shared" ref="K8:K18" si="1">G8/I8</f>
        <v>4.7293342269883825</v>
      </c>
      <c r="L8" s="188" cm="1">
        <f t="array" ref="L8">K8/(_xll.BDP(B8&amp;" Equity", "PREV_CLOSE_VAL")/_xll.BDP(C8&amp;" Equity", "PREV_CLOSE_VAL"))-1</f>
        <v>-7.3992562241259607E-3</v>
      </c>
      <c r="M8" s="188"/>
      <c r="N8" s="190">
        <f t="shared" ref="N8:N18" si="2">ABS(L8/O8)</f>
        <v>0.46746897449629504</v>
      </c>
      <c r="O8" s="191">
        <f t="shared" ref="O8:O18" si="3">P8/15.87/100</f>
        <v>1.5828336483931948E-2</v>
      </c>
      <c r="P8" s="192" cm="1">
        <f t="array" ref="P8">_xll.BDP($A8&amp;" Index","VOLATILITY_30D")</f>
        <v>25.11957</v>
      </c>
      <c r="Q8" s="192" cm="1">
        <f t="array" aca="1" ref="Q8" ca="1">(_xll.BDP(($B8&amp; " Equity"),"CORR_COEF", "BETA_OVERRIDE_REL_INDEX",($C8&amp; " Equity"),"BETA_OVERRIDE_END_DT",$Q$5,"BETA_OVERRIDE_START_DT",$Q$4))*100</f>
        <v>77.446209245575801</v>
      </c>
      <c r="R8" s="188"/>
      <c r="S8" s="188" cm="1">
        <f t="array" ref="S8">_xll.BDP($A8&amp;" Index","CHG_PCT_2D")/100</f>
        <v>2.9973389999999999E-3</v>
      </c>
      <c r="T8" s="188" cm="1">
        <f t="array" ref="T8">_xll.BDP($A8&amp;" Index","CHG_PCT_5D")/100</f>
        <v>-9.9144079999999996E-3</v>
      </c>
      <c r="U8" s="188" cm="1">
        <f t="array" ref="U8">K8/_xll.BDP($A8&amp;" Index","HIGH_52WEEK")-1</f>
        <v>-4.6926009083009146E-2</v>
      </c>
      <c r="V8" s="188" cm="1">
        <f t="array" ref="V8">K8/_xll.BDP($A8&amp;" Index","LOW_52WEEK")-1</f>
        <v>0.24490890274349741</v>
      </c>
      <c r="W8" s="188"/>
      <c r="X8" s="192" cm="1">
        <f t="array" ref="X8">_xll.BDP($A8&amp;" Index","RSI_14D")</f>
        <v>55.9666</v>
      </c>
      <c r="Y8" s="193"/>
      <c r="Z8" s="194">
        <f t="shared" ref="Z8:Z18" si="4">Y8/K8-1</f>
        <v>-1</v>
      </c>
      <c r="AA8" s="193"/>
      <c r="AB8" s="194">
        <f t="shared" ref="AB8:AB18" si="5">AA8/K8-1</f>
        <v>-1</v>
      </c>
      <c r="AC8" s="193">
        <v>4.37</v>
      </c>
      <c r="AD8" s="188">
        <f t="shared" ref="AD8:AD18" si="6">K8/AC8-1</f>
        <v>8.2227511896654892E-2</v>
      </c>
      <c r="AE8" s="188"/>
      <c r="AF8" s="195">
        <f>IF(ISTEXT(B8),_xll.BDP(B8 &amp; " Equity","EXPECTED_REPORT_DT")*1,"")</f>
        <v>46142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2.2044638427326873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0.73625307037913335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3.7972498705483027E-2</v>
      </c>
      <c r="AN8" s="194">
        <f ca="1">IF(ISTEXT(B8),AP8/_xll.BDH(B8 &amp;  " Equity","BEST_EPS",$AN$3,$AN$3,"BEST_FPERIOD_OVERRIDE=1BF","CDR=US","Fill=p")-1,"")</f>
        <v>6.6063936654257693E-2</v>
      </c>
      <c r="AO8" s="196">
        <f t="shared" ref="AO8:AO18" ca="1" si="7">G8/AP8</f>
        <v>23.467102710492767</v>
      </c>
      <c r="AP8" s="196" cm="1">
        <f t="array" aca="1" ref="AP8" ca="1">IF(ISTEXT(B8),_xll.BDH(B8 &amp;  " Equity","BEST_EPS",$Q$3,$Q$3,"BEST_FPERIOD_OVERRIDE=1BF","CDR=US","Fill=p"),"")</f>
        <v>18.041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9.697791541828563E-4</v>
      </c>
      <c r="E9" s="255">
        <f>SUMIF(Tabelad[Ticker],PAIR_Monitor!C9,Tabelad[Exp %])</f>
        <v>-9.697791541828563E-4</v>
      </c>
      <c r="F9" s="254"/>
      <c r="G9" s="187" cm="1">
        <f t="array" ref="G9">_xll.BDP(B9&amp;" Equity","LAST PRICE")</f>
        <v>423.37</v>
      </c>
      <c r="H9" s="188" cm="1">
        <f t="array" ref="H9">G9/_xll.BDP(B9&amp;" Equity", "PREV_CLOSE_VAL")-1</f>
        <v>-1.6082177136349962E-2</v>
      </c>
      <c r="I9" s="187" cm="1">
        <f t="array" ref="I9">_xll.BDP(C9&amp;" Equity","LAST PRICE")</f>
        <v>84.5</v>
      </c>
      <c r="J9" s="188" cm="1">
        <f t="array" ref="J9">I9/_xll.BDP(C9&amp;" Equity", "PREV_CLOSE_VAL")-1</f>
        <v>1.1854867680517245E-2</v>
      </c>
      <c r="K9" s="189">
        <f t="shared" si="1"/>
        <v>5.010295857988166</v>
      </c>
      <c r="L9" s="188" cm="1">
        <f t="array" ref="L9">K9/(_xll.BDP(B9&amp;" Equity", "PREV_CLOSE_VAL")/_xll.BDP(C9&amp;" Equity", "PREV_CLOSE_VAL"))-1</f>
        <v>-2.7609735061024598E-2</v>
      </c>
      <c r="M9" s="188"/>
      <c r="N9" s="190">
        <f t="shared" si="2"/>
        <v>1.0772667181946864</v>
      </c>
      <c r="O9" s="191">
        <f t="shared" si="3"/>
        <v>2.5629432892249525E-2</v>
      </c>
      <c r="P9" s="192" cm="1">
        <f t="array" ref="P9">_xll.BDP($A9&amp;" Index","VOLATILITY_30D")</f>
        <v>40.673909999999999</v>
      </c>
      <c r="Q9" s="192" cm="1">
        <f t="array" aca="1" ref="Q9" ca="1">(_xll.BDP(($B9&amp; " Equity"),"CORR_COEF", "BETA_OVERRIDE_REL_INDEX",($C9&amp; " Equity"),"BETA_OVERRIDE_END_DT",$Q$5,"BETA_OVERRIDE_START_DT",$Q$4))*100</f>
        <v>-10.733222087782519</v>
      </c>
      <c r="R9" s="188"/>
      <c r="S9" s="188" cm="1">
        <f t="array" ref="S9">_xll.BDP($A9&amp;" Index","CHG_PCT_2D")/100</f>
        <v>-4.5259029999999999E-2</v>
      </c>
      <c r="T9" s="188" cm="1">
        <f t="array" ref="T9">_xll.BDP($A9&amp;" Index","CHG_PCT_5D")/100</f>
        <v>-0.11296300000000001</v>
      </c>
      <c r="U9" s="188" cm="1">
        <f t="array" ref="U9">K9/_xll.BDP($A9&amp;" Index","HIGH_52WEEK")-1</f>
        <v>-0.29149950606033836</v>
      </c>
      <c r="V9" s="188" cm="1">
        <f t="array" ref="V9">K9/_xll.BDP($A9&amp;" Index","LOW_52WEEK")-1</f>
        <v>0.13133450253308365</v>
      </c>
      <c r="W9" s="188"/>
      <c r="X9" s="192" cm="1">
        <f t="array" ref="X9">_xll.BDP($A9&amp;" Index","RSI_14D")</f>
        <v>30.444469999999999</v>
      </c>
      <c r="Y9" s="193"/>
      <c r="Z9" s="194">
        <f t="shared" si="4"/>
        <v>-1</v>
      </c>
      <c r="AA9" s="193"/>
      <c r="AB9" s="194">
        <f t="shared" si="5"/>
        <v>-1</v>
      </c>
      <c r="AC9" s="193">
        <v>5.54</v>
      </c>
      <c r="AD9" s="188">
        <f t="shared" si="6"/>
        <v>-9.5614466067118098E-2</v>
      </c>
      <c r="AE9" s="188"/>
      <c r="AF9" s="195">
        <f>IF(ISTEXT(B9),_xll.BDP(B9 &amp; " Equity","EXPECTED_REPORT_DT")*1,"")</f>
        <v>46142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2.2044638427326873</v>
      </c>
      <c r="AI9" s="196" cm="1">
        <f t="array" ref="AI9">(_xll.BDP(C9&amp;" Equity","SHORT_INT")/_xll.BDP(C9&amp;" Equity","VOLUME_AVG_90D"))</f>
        <v>2.3203643926784276</v>
      </c>
      <c r="AJ9" s="196" cm="1">
        <f t="array" ref="AJ9">(_xll.BDP(B9&amp;" Equity","SHORT_INT"))/((_xll.BDP(B9&amp;" Equity","EQY_FREE_FLOAT_PCT"))*(_xll.BDP(B9&amp;" Equity","EQY_SH_OUT_TOT_MULT_SH")))/100</f>
        <v>0.73625307037913335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3.7972498705483027E-2</v>
      </c>
      <c r="AN9" s="194">
        <f ca="1">IF(ISTEXT(B9),AP9/_xll.BDH(B9 &amp;  " Equity","BEST_EPS",$AN$3,$AN$3,"BEST_FPERIOD_OVERRIDE=1BF","CDR=US","Fill=p")-1,"")</f>
        <v>6.6063936654257693E-2</v>
      </c>
      <c r="AO9" s="196">
        <f t="shared" ca="1" si="7"/>
        <v>23.467102710492767</v>
      </c>
      <c r="AP9" s="196" cm="1">
        <f t="array" aca="1" ref="AP9" ca="1">IF(ISTEXT(B9),_xll.BDH(B9 &amp;  " Equity","BEST_EPS",$Q$3,$Q$3,"BEST_FPERIOD_OVERRIDE=1BF","CDR=US","Fill=p"),"")</f>
        <v>18.041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cm="1">
        <f t="array" ref="G10">_xll.BDP(B10&amp;" Equity","LAST PRICE")</f>
        <v>706.41</v>
      </c>
      <c r="H10" s="257" cm="1">
        <f t="array" ref="H10">G10/_xll.BDP(B10&amp;" Equity", "PREV_CLOSE_VAL")-1</f>
        <v>-1.4082344731332963E-2</v>
      </c>
      <c r="I10" s="256" cm="1">
        <f t="array" ref="I10">_xll.BDP(C10&amp;" Equity","LAST PRICE")</f>
        <v>695.41</v>
      </c>
      <c r="J10" s="257" cm="1">
        <f t="array" ref="J10">I10/_xll.BDP(C10&amp;" Equity", "PREV_CLOSE_VAL")-1</f>
        <v>4.9713137852795963E-3</v>
      </c>
      <c r="K10" s="258">
        <f t="shared" si="1"/>
        <v>1.0158180066435627</v>
      </c>
      <c r="L10" s="257" cm="1">
        <f t="array" ref="L10">K10/(_xll.BDP(B10&amp;" Equity", "PREV_CLOSE_VAL")/_xll.BDP(C10&amp;" Equity", "PREV_CLOSE_VAL"))-1</f>
        <v>-1.8959405363369042E-2</v>
      </c>
      <c r="M10" s="257"/>
      <c r="N10" s="190">
        <f t="shared" si="2"/>
        <v>0.77685909736698844</v>
      </c>
      <c r="O10" s="191">
        <f t="shared" si="3"/>
        <v>2.4405204788909892E-2</v>
      </c>
      <c r="P10" s="259" cm="1">
        <f t="array" ref="P10">_xll.BDP($A10&amp;" Index","VOLATILITY_30D")</f>
        <v>38.731059999999999</v>
      </c>
      <c r="Q10" s="259" cm="1">
        <f t="array" aca="1" ref="Q10" ca="1">(_xll.BDP(($B10&amp; " Equity"),"CORR_COEF", "BETA_OVERRIDE_REL_INDEX",($C10&amp; " Equity"),"BETA_OVERRIDE_END_DT",$Q$5,"BETA_OVERRIDE_START_DT",$Q$4))*100</f>
        <v>39.541583151225041</v>
      </c>
      <c r="R10" s="257"/>
      <c r="S10" s="257" cm="1">
        <f t="array" ref="S10">_xll.BDP($A10&amp;" Index","CHG_PCT_2D")/100</f>
        <v>-3.9665869999999999E-2</v>
      </c>
      <c r="T10" s="257" cm="1">
        <f t="array" ref="T10">_xll.BDP($A10&amp;" Index","CHG_PCT_5D")/100</f>
        <v>5.2540370000000003E-2</v>
      </c>
      <c r="U10" s="257" cm="1">
        <f t="array" ref="U10">K10/_xll.BDP($A10&amp;" Index","HIGH_52WEEK")-1</f>
        <v>-0.17416527243318347</v>
      </c>
      <c r="V10" s="257" cm="1">
        <f t="array" ref="V10">K10/_xll.BDP($A10&amp;" Index","LOW_52WEEK")-1</f>
        <v>0.14025391655748054</v>
      </c>
      <c r="W10" s="257"/>
      <c r="X10" s="259" cm="1">
        <f t="array" ref="X10">_xll.BDP($A10&amp;" Index","RSI_14D")</f>
        <v>67.092600000000004</v>
      </c>
      <c r="Y10" s="258"/>
      <c r="Z10" s="260">
        <f t="shared" si="4"/>
        <v>-1</v>
      </c>
      <c r="AA10" s="258"/>
      <c r="AB10" s="260">
        <f t="shared" si="5"/>
        <v>-1</v>
      </c>
      <c r="AC10" s="193">
        <v>1.1000000000000001</v>
      </c>
      <c r="AD10" s="257">
        <f t="shared" si="6"/>
        <v>-7.6529084869488506E-2</v>
      </c>
      <c r="AE10" s="257"/>
      <c r="AF10" s="261">
        <f>IF(ISTEXT(B10),_xll.BDP(B10 &amp; " Equity","EXPECTED_REPORT_DT")*1,"")</f>
        <v>46142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1.8390989457370295</v>
      </c>
      <c r="AI10" s="262" cm="1">
        <f t="array" ref="AI10">(_xll.BDP(C10&amp;" Equity","SHORT_INT")/_xll.BDP(C10&amp;" Equity","VOLUME_AVG_90D"))</f>
        <v>1.3478003953964059</v>
      </c>
      <c r="AJ10" s="262" cm="1">
        <f t="array" ref="AJ10">(_xll.BDP(B10&amp;" Equity","SHORT_INT"))/((_xll.BDP(B10&amp;" Equity","EQY_FREE_FLOAT_PCT"))*(_xll.BDP(B10&amp;" Equity","EQY_SH_OUT_TOT_MULT_SH")))/100</f>
        <v>1.2886696817530352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-8.4164495162787345E-3</v>
      </c>
      <c r="AN10" s="260">
        <f ca="1">IF(ISTEXT(B10),AP10/_xll.BDH(B10 &amp;  " Equity","BEST_EPS",$AN$3,$AN$3,"BEST_FPERIOD_OVERRIDE=1BF","CDR=US","Fill=p")-1,"")</f>
        <v>4.7649397553797268E-3</v>
      </c>
      <c r="AO10" s="262">
        <f t="shared" ca="1" si="7"/>
        <v>21.337823959403128</v>
      </c>
      <c r="AP10" s="262" cm="1">
        <f t="array" aca="1" ref="AP10" ca="1">IF(ISTEXT(B10),_xll.BDH(B10 &amp;  " Equity","BEST_EPS",$Q$3,$Q$3,"BEST_FPERIOD_OVERRIDE=1BF","CDR=US","Fill=p"),"")</f>
        <v>33.106000000000002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-1.439302046385807E-3</v>
      </c>
      <c r="E11" s="255">
        <f>SUMIF(Tabelad[Ticker],PAIR_Monitor!C11,Tabelad[Exp %])</f>
        <v>1.439302046385807E-3</v>
      </c>
      <c r="F11" s="254"/>
      <c r="G11" s="256" cm="1">
        <f t="array" ref="G11">_xll.BDP(B11&amp;" Equity","LAST PRICE")</f>
        <v>706.41</v>
      </c>
      <c r="H11" s="257" cm="1">
        <f t="array" ref="H11">G11/_xll.BDP(B11&amp;" Equity", "PREV_CLOSE_VAL")-1</f>
        <v>-1.4082344731332963E-2</v>
      </c>
      <c r="I11" s="256" cm="1">
        <f t="array" ref="I11">_xll.BDP(C11&amp;" Equity","LAST PRICE")</f>
        <v>270.01</v>
      </c>
      <c r="J11" s="257" cm="1">
        <f t="array" ref="J11">I11/_xll.BDP(C11&amp;" Equity", "PREV_CLOSE_VAL")-1</f>
        <v>4.0581162324649256E-2</v>
      </c>
      <c r="K11" s="258">
        <f t="shared" si="1"/>
        <v>2.6162364356875671</v>
      </c>
      <c r="L11" s="257" cm="1">
        <f t="array" ref="L11">K11/(_xll.BDP(B11&amp;" Equity", "PREV_CLOSE_VAL")/_xll.BDP(C11&amp;" Equity", "PREV_CLOSE_VAL"))-1</f>
        <v>-5.2531709236273594E-2</v>
      </c>
      <c r="M11" s="257"/>
      <c r="N11" s="190">
        <f t="shared" si="2"/>
        <v>2.0735499584624084</v>
      </c>
      <c r="O11" s="191">
        <f t="shared" si="3"/>
        <v>2.5334190296156273E-2</v>
      </c>
      <c r="P11" s="259" cm="1">
        <f t="array" ref="P11">_xll.BDP($A11&amp;" Index","VOLATILITY_30D")</f>
        <v>40.205359999999999</v>
      </c>
      <c r="Q11" s="259" cm="1">
        <f t="array" aca="1" ref="Q11" ca="1">(_xll.BDP(($B11&amp; " Equity"),"CORR_COEF", "BETA_OVERRIDE_REL_INDEX",($C11&amp; " Equity"),"BETA_OVERRIDE_END_DT",$Q$5,"BETA_OVERRIDE_START_DT",$Q$4))*100</f>
        <v>13.478810901682497</v>
      </c>
      <c r="R11" s="257"/>
      <c r="S11" s="257" cm="1">
        <f t="array" ref="S11">_xll.BDP($A11&amp;" Index","CHG_PCT_2D")/100</f>
        <v>-6.2078019999999998E-2</v>
      </c>
      <c r="T11" s="257" cm="1">
        <f t="array" ref="T11">_xll.BDP($A11&amp;" Index","CHG_PCT_5D")/100</f>
        <v>1.8475780000000001E-2</v>
      </c>
      <c r="U11" s="257" cm="1">
        <f t="array" ref="U11">K11/_xll.BDP($A11&amp;" Index","HIGH_52WEEK")-1</f>
        <v>-0.31474464085293818</v>
      </c>
      <c r="V11" s="257" cm="1">
        <f t="array" ref="V11">K11/_xll.BDP($A11&amp;" Index","LOW_52WEEK")-1</f>
        <v>0.19525615537271501</v>
      </c>
      <c r="W11" s="257"/>
      <c r="X11" s="259" cm="1">
        <f t="array" ref="X11">_xll.BDP($A11&amp;" Index","RSI_14D")</f>
        <v>66.327979999999997</v>
      </c>
      <c r="Y11" s="258"/>
      <c r="Z11" s="260">
        <f t="shared" si="4"/>
        <v>-1</v>
      </c>
      <c r="AA11" s="258"/>
      <c r="AB11" s="260">
        <f t="shared" si="5"/>
        <v>-1</v>
      </c>
      <c r="AC11" s="193">
        <v>3.04</v>
      </c>
      <c r="AD11" s="257">
        <f t="shared" si="6"/>
        <v>-0.13939590931330026</v>
      </c>
      <c r="AE11" s="257"/>
      <c r="AF11" s="261">
        <f>IF(ISTEXT(B11),_xll.BDP(B11 &amp; " Equity","EXPECTED_REPORT_DT")*1,"")</f>
        <v>46142</v>
      </c>
      <c r="AG11" s="261">
        <f>IF(ISTEXT(C11),_xll.BDP(C11 &amp; " Equity","EXPECTED_REPORT_DT")*1,"")</f>
        <v>46143</v>
      </c>
      <c r="AH11" s="262" cm="1">
        <f t="array" ref="AH11">(_xll.BDP(B11&amp;" Equity","SHORT_INT")/_xll.BDP(B11&amp;" Equity","VOLUME_AVG_90D"))</f>
        <v>1.8390989457370295</v>
      </c>
      <c r="AI11" s="262" cm="1">
        <f t="array" ref="AI11">(_xll.BDP(C11&amp;" Equity","SHORT_INT")/_xll.BDP(C11&amp;" Equity","VOLUME_AVG_90D"))</f>
        <v>2.4216889932671366</v>
      </c>
      <c r="AJ11" s="262" cm="1">
        <f t="array" ref="AJ11">(_xll.BDP(B11&amp;" Equity","SHORT_INT"))/((_xll.BDP(B11&amp;" Equity","EQY_FREE_FLOAT_PCT"))*(_xll.BDP(B11&amp;" Equity","EQY_SH_OUT_TOT_MULT_SH")))/100</f>
        <v>1.2886696817530352</v>
      </c>
      <c r="AK11" s="262" cm="1">
        <f t="array" ref="AK11">(_xll.BDP(C11&amp;" Equity","SHORT_INT"))/((_xll.BDP(C11&amp;" Equity","EQY_FREE_FLOAT_PCT"))*(_xll.BDP(C11&amp;" Equity","EQY_SH_OUT_TOT_MULT_SH")))/100</f>
        <v>0.78724295695842439</v>
      </c>
      <c r="AM11" s="260">
        <f ca="1">IF(ISTEXT(B11),AP11/_xll.BDH(B11 &amp;  " Equity","BEST_EPS",$AM$3,$AM$3,"BEST_FPERIOD_OVERRIDE=1BF","CDR=US","Fill=p")-1,"")</f>
        <v>-8.4164495162787345E-3</v>
      </c>
      <c r="AN11" s="260">
        <f ca="1">IF(ISTEXT(B11),AP11/_xll.BDH(B11 &amp;  " Equity","BEST_EPS",$AN$3,$AN$3,"BEST_FPERIOD_OVERRIDE=1BF","CDR=US","Fill=p")-1,"")</f>
        <v>4.7649397553797268E-3</v>
      </c>
      <c r="AO11" s="262">
        <f t="shared" ca="1" si="7"/>
        <v>21.337823959403128</v>
      </c>
      <c r="AP11" s="262" cm="1">
        <f t="array" aca="1" ref="AP11" ca="1">IF(ISTEXT(B11),_xll.BDH(B11 &amp;  " Equity","BEST_EPS",$Q$3,$Q$3,"BEST_FPERIOD_OVERRIDE=1BF","CDR=US","Fill=p"),"")</f>
        <v>33.106000000000002</v>
      </c>
      <c r="AR11" s="260">
        <f ca="1">IF(ISTEXT(C11),AU11/_xll.BDH(C11 &amp;  " Equity","BEST_EPS",$AM$3,$AM$3,"BEST_FPERIOD_OVERRIDE=1BF","CDR=US","Fill=p")-1,"")</f>
        <v>2.9963430458888718E-2</v>
      </c>
      <c r="AS11" s="260">
        <f ca="1">IF(ISTEXT(C11),AU11/_xll.BDH(C11 &amp;  " Equity","BEST_EPS",$AN$3,$AN$3,"BEST_FPERIOD_OVERRIDE=1BF","CDR=US","Fill=p")-1,"")</f>
        <v>5.4468599033816512E-2</v>
      </c>
      <c r="AT11" s="262">
        <f t="shared" ca="1" si="8"/>
        <v>30.925438094147292</v>
      </c>
      <c r="AU11" s="262" cm="1">
        <f t="array" aca="1" ref="AU11" ca="1">IF(ISTEXT(C11),_xll.BDH(C11 &amp;  " Equity","BEST_EPS",$Q$3,$Q$3,"BEST_FPERIOD_OVERRIDE=1BF","CDR=US","Fill=p"),"")</f>
        <v>8.7309999999999999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cm="1">
        <f t="array" ref="G12">_xll.BDP(B12&amp;" Equity","LAST PRICE")</f>
        <v>5122.25</v>
      </c>
      <c r="H12" s="188" cm="1">
        <f t="array" ref="H12">G12/_xll.BDP(B12&amp;" Equity", "PREV_CLOSE_VAL")-1</f>
        <v>2.4073141084081096E-2</v>
      </c>
      <c r="I12" s="187" cm="1">
        <f t="array" ref="I12">_xll.BDP(C12&amp;" Equity","LAST PRICE")</f>
        <v>131.31</v>
      </c>
      <c r="J12" s="188" cm="1">
        <f t="array" ref="J12">I12/_xll.BDP(C12&amp;" Equity", "PREV_CLOSE_VAL")-1</f>
        <v>1.4995748627966377E-2</v>
      </c>
      <c r="K12" s="189">
        <f t="shared" si="1"/>
        <v>39.008834056812127</v>
      </c>
      <c r="L12" s="188" cm="1">
        <f t="array" ref="L12">K12/(_xll.BDP(B12&amp;" Equity", "PREV_CLOSE_VAL")/_xll.BDP(C12&amp;" Equity", "PREV_CLOSE_VAL"))-1</f>
        <v>8.9432812584540056E-3</v>
      </c>
      <c r="M12" s="188"/>
      <c r="N12" s="190">
        <f t="shared" si="2"/>
        <v>0.71323229026848911</v>
      </c>
      <c r="O12" s="191">
        <f t="shared" si="3"/>
        <v>1.2539086326402016E-2</v>
      </c>
      <c r="P12" s="192" cm="1">
        <f t="array" ref="P12">_xll.BDP($A12&amp;" Index","VOLATILITY_30D")</f>
        <v>19.899529999999999</v>
      </c>
      <c r="Q12" s="192" cm="1">
        <f t="array" aca="1" ref="Q12" ca="1">(_xll.BDP(($B12&amp; " Equity"),"CORR_COEF", "BETA_OVERRIDE_REL_INDEX",($C12&amp; " Equity"),"BETA_OVERRIDE_END_DT",$Q$5,"BETA_OVERRIDE_START_DT",$Q$4))*100</f>
        <v>74.24082373598408</v>
      </c>
      <c r="R12" s="188"/>
      <c r="S12" s="188" cm="1">
        <f t="array" ref="S12">_xll.BDP($A12&amp;" Index","CHG_PCT_2D")/100</f>
        <v>-6.0043979999999998E-4</v>
      </c>
      <c r="T12" s="188" cm="1">
        <f t="array" ref="T12">_xll.BDP($A12&amp;" Index","CHG_PCT_5D")/100</f>
        <v>1.288278E-2</v>
      </c>
      <c r="U12" s="188" cm="1">
        <f t="array" ref="U12">K12/_xll.BDP($A12&amp;" Index","HIGH_52WEEK")-1</f>
        <v>-0.15546100181183764</v>
      </c>
      <c r="V12" s="188" cm="1">
        <f t="array" ref="V12">K12/_xll.BDP($A12&amp;" Index","LOW_52WEEK")-1</f>
        <v>0.24827669808983721</v>
      </c>
      <c r="W12" s="188"/>
      <c r="X12" s="192" cm="1">
        <f t="array" ref="X12">_xll.BDP($A12&amp;" Index","RSI_14D")</f>
        <v>44.291649999999997</v>
      </c>
      <c r="Y12" s="193"/>
      <c r="Z12" s="194">
        <f t="shared" si="4"/>
        <v>-1</v>
      </c>
      <c r="AA12" s="193"/>
      <c r="AB12" s="194">
        <f t="shared" si="5"/>
        <v>-1</v>
      </c>
      <c r="AC12" s="193">
        <v>38.71</v>
      </c>
      <c r="AD12" s="188">
        <f t="shared" si="6"/>
        <v>7.7198154691844323E-3</v>
      </c>
      <c r="AE12" s="188"/>
      <c r="AF12" s="195">
        <f>IF(ISTEXT(B12),_xll.BDP(B12 &amp; " Equity","EXPECTED_REPORT_DT")*1,"")</f>
        <v>46071</v>
      </c>
      <c r="AG12" s="195">
        <f>IF(ISTEXT(C12),_xll.BDP(C12 &amp; " Equity","EXPECTED_REPORT_DT")*1,"")</f>
        <v>46065</v>
      </c>
      <c r="AH12" s="196" cm="1">
        <f t="array" ref="AH12">(_xll.BDP(B12&amp;" Equity","SHORT_INT")/_xll.BDP(B12&amp;" Equity","VOLUME_AVG_90D"))</f>
        <v>2.9155454874195703</v>
      </c>
      <c r="AI12" s="196" cm="1">
        <f t="array" ref="AI12">(_xll.BDP(C12&amp;" Equity","SHORT_INT")/_xll.BDP(C12&amp;" Equity","VOLUME_AVG_90D"))</f>
        <v>3.6903104809861116</v>
      </c>
      <c r="AJ12" s="196" cm="1">
        <f t="array" ref="AJ12">(_xll.BDP(B12&amp;" Equity","SHORT_INT"))/((_xll.BDP(B12&amp;" Equity","EQY_FREE_FLOAT_PCT"))*(_xll.BDP(B12&amp;" Equity","EQY_SH_OUT_TOT_MULT_SH")))/100</f>
        <v>2.2681119591180829</v>
      </c>
      <c r="AK12" s="196" cm="1">
        <f t="array" ref="AK12">(_xll.BDP(C12&amp;" Equity","SHORT_INT"))/((_xll.BDP(C12&amp;" Equity","EQY_FREE_FLOAT_PCT"))*(_xll.BDP(C12&amp;" Equity","EQY_SH_OUT_TOT_MULT_SH")))/100</f>
        <v>3.1314491967447604</v>
      </c>
      <c r="AM12" s="194">
        <f ca="1">IF(ISTEXT(B12),AP12/_xll.BDH(B12 &amp;  " Equity","BEST_EPS",$AM$3,$AM$3,"BEST_FPERIOD_OVERRIDE=1BF","CDR=US","Fill=p")-1,"")</f>
        <v>1.6127635379129091E-2</v>
      </c>
      <c r="AN12" s="194">
        <f ca="1">IF(ISTEXT(B12),AP12/_xll.BDH(B12 &amp;  " Equity","BEST_EPS",$AN$3,$AN$3,"BEST_FPERIOD_OVERRIDE=1BF","CDR=US","Fill=p")-1,"")</f>
        <v>4.4258266741481478E-2</v>
      </c>
      <c r="AO12" s="196">
        <f t="shared" ca="1" si="7"/>
        <v>18.981701080592327</v>
      </c>
      <c r="AP12" s="196" cm="1">
        <f t="array" aca="1" ref="AP12" ca="1">IF(ISTEXT(B12),_xll.BDH(B12 &amp;  " Equity","BEST_EPS",$Q$3,$Q$3,"BEST_FPERIOD_OVERRIDE=1BF","CDR=US","Fill=p"),"")</f>
        <v>269.85199999999998</v>
      </c>
      <c r="AR12" s="194">
        <f ca="1">IF(ISTEXT(C12),AU12/_xll.BDH(C12 &amp;  " Equity","BEST_EPS",$AM$3,$AM$3,"BEST_FPERIOD_OVERRIDE=1BF","CDR=US","Fill=p")-1,"")</f>
        <v>1.7187823565955718E-2</v>
      </c>
      <c r="AS12" s="194">
        <f ca="1">IF(ISTEXT(C12),AU12/_xll.BDH(C12 &amp;  " Equity","BEST_EPS",$AN$3,$AN$3,"BEST_FPERIOD_OVERRIDE=1BF","CDR=US","Fill=p")-1,"")</f>
        <v>4.5996592844974593E-2</v>
      </c>
      <c r="AT12" s="196">
        <f t="shared" ca="1" si="8"/>
        <v>26.732491856677527</v>
      </c>
      <c r="AU12" s="196" cm="1">
        <f t="array" aca="1" ref="AU12" ca="1">IF(ISTEXT(C12),_xll.BDH(C12 &amp;  " Equity","BEST_EPS",$Q$3,$Q$3,"BEST_FPERIOD_OVERRIDE=1BF","CDR=US","Fill=p"),"")</f>
        <v>4.9119999999999999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>
        <f>SUMIF(Tabelad[Ticker],PAIR_Monitor!B13,Tabelad[Exp %])</f>
        <v>5.7189961451821567E-3</v>
      </c>
      <c r="E13" s="255">
        <f>SUMIF(Tabelad[Ticker],PAIR_Monitor!C13,Tabelad[Exp %])</f>
        <v>0</v>
      </c>
      <c r="F13" s="254"/>
      <c r="G13" s="256" cm="1">
        <f t="array" ref="G13">_xll.BDP(B13&amp;" Equity","LAST PRICE")</f>
        <v>341.36</v>
      </c>
      <c r="H13" s="257" cm="1">
        <f t="array" ref="H13">G13/_xll.BDP(B13&amp;" Equity", "PREV_CLOSE_VAL")-1</f>
        <v>3.2671829622458848E-2</v>
      </c>
      <c r="I13" s="256" cm="1">
        <f t="array" ref="I13">_xll.BDP(C13&amp;" Equity","LAST PRICE")</f>
        <v>352.69</v>
      </c>
      <c r="J13" s="257" cm="1">
        <f t="array" ref="J13">I13/_xll.BDP(C13&amp;" Equity", "PREV_CLOSE_VAL")-1</f>
        <v>1.8452209067282732E-2</v>
      </c>
      <c r="K13" s="258">
        <f t="shared" si="1"/>
        <v>0.96787547137713015</v>
      </c>
      <c r="L13" s="257" cm="1">
        <f t="array" ref="L13">K13/(_xll.BDP(B13&amp;" Equity", "PREV_CLOSE_VAL")/_xll.BDP(C13&amp;" Equity", "PREV_CLOSE_VAL"))-1</f>
        <v>1.3961990978642813E-2</v>
      </c>
      <c r="M13" s="257"/>
      <c r="N13" s="190">
        <f t="shared" si="2"/>
        <v>0.83309413269263621</v>
      </c>
      <c r="O13" s="191">
        <f t="shared" si="3"/>
        <v>1.6759199747952112E-2</v>
      </c>
      <c r="P13" s="259" cm="1">
        <f t="array" ref="P13">_xll.BDP($A13&amp;" Index","VOLATILITY_30D")</f>
        <v>26.59685</v>
      </c>
      <c r="Q13" s="259" cm="1">
        <f t="array" aca="1" ref="Q13" ca="1">(_xll.BDP(($B13&amp; " Equity"),"CORR_COEF", "BETA_OVERRIDE_REL_INDEX",($C13&amp; " Equity"),"BETA_OVERRIDE_END_DT",$Q$5,"BETA_OVERRIDE_START_DT",$Q$4))*100</f>
        <v>73.384220743262446</v>
      </c>
      <c r="R13" s="257"/>
      <c r="S13" s="257" cm="1">
        <f t="array" ref="S13">_xll.BDP($A13&amp;" Index","CHG_PCT_2D")/100</f>
        <v>2.5681550000000001E-2</v>
      </c>
      <c r="T13" s="257" cm="1">
        <f t="array" ref="T13">_xll.BDP($A13&amp;" Index","CHG_PCT_5D")/100</f>
        <v>-5.5806229999999998E-3</v>
      </c>
      <c r="U13" s="257" cm="1">
        <f t="array" ref="U13">K13/_xll.BDP($A13&amp;" Index","HIGH_52WEEK")-1</f>
        <v>-8.9709505316545313E-2</v>
      </c>
      <c r="V13" s="257" cm="1">
        <f t="array" ref="V13">K13/_xll.BDP($A13&amp;" Index","LOW_52WEEK")-1</f>
        <v>0.1313564831994507</v>
      </c>
      <c r="W13" s="257"/>
      <c r="X13" s="259" cm="1">
        <f t="array" ref="X13">_xll.BDP($A13&amp;" Index","RSI_14D")</f>
        <v>44.652560000000001</v>
      </c>
      <c r="Y13" s="258"/>
      <c r="Z13" s="260">
        <f t="shared" si="4"/>
        <v>-1</v>
      </c>
      <c r="AA13" s="258"/>
      <c r="AB13" s="260">
        <f t="shared" si="5"/>
        <v>-1</v>
      </c>
      <c r="AC13" s="193">
        <v>0.9</v>
      </c>
      <c r="AD13" s="257">
        <f t="shared" si="6"/>
        <v>7.5417190419033497E-2</v>
      </c>
      <c r="AE13" s="257"/>
      <c r="AF13" s="261">
        <f>IF(ISTEXT(B13),_xll.BDP(B13 &amp; " Equity","EXPECTED_REPORT_DT")*1,"")</f>
        <v>46129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1.7545572011115163</v>
      </c>
      <c r="AI13" s="262" cm="1">
        <f t="array" ref="AI13">(_xll.BDP(C13&amp;" Equity","SHORT_INT")/_xll.BDP(C13&amp;" Equity","VOLUME_AVG_90D"))</f>
        <v>1.165622324738564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0.18975476353415299</v>
      </c>
      <c r="AN13" s="260">
        <f ca="1">IF(ISTEXT(B13),AP13/_xll.BDH(B13 &amp;  " Equity","BEST_EPS",$AN$3,$AN$3,"BEST_FPERIOD_OVERRIDE=1BF","CDR=US","Fill=p")-1,"")</f>
        <v>0.22766761631886667</v>
      </c>
      <c r="AO13" s="262">
        <f t="shared" ca="1" si="7"/>
        <v>0.75229693426217115</v>
      </c>
      <c r="AP13" s="262" cm="1">
        <f t="array" aca="1" ref="AP13" ca="1">IF(ISTEXT(B13),_xll.BDH(B13 &amp;  " Equity","BEST_EPS",$Q$3,$Q$3,"BEST_FPERIOD_OVERRIDE=1BF","CDR=US","Fill=p"),"")</f>
        <v>453.75700000000001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>
        <f>SUMIF(Tabelad[Ticker],PAIR_Monitor!B14,Tabelad[Exp %])</f>
        <v>2.0540213026601964E-3</v>
      </c>
      <c r="E14" s="263"/>
      <c r="F14" s="254"/>
      <c r="G14" s="256" cm="1">
        <f t="array" ref="G14">_xll.BDP(B14&amp;" Equity","LAST PRICE")</f>
        <v>185.61</v>
      </c>
      <c r="H14" s="257" cm="1">
        <f t="array" ref="H14">G14/_xll.BDP(B14&amp;" Equity", "PREV_CLOSE_VAL")-1</f>
        <v>-2.8880866425992635E-2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46078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1.4529178593852488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1.1202678799294328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4.1381163509337737E-2</v>
      </c>
      <c r="AN14" s="260">
        <f ca="1">IF(ISTEXT(B14),AP14/_xll.BDH(B14 &amp;  " Equity","BEST_EPS",$AN$3,$AN$3,"BEST_FPERIOD_OVERRIDE=1BF","CDR=US","Fill=p")-1,"")</f>
        <v>0.26940714051752379</v>
      </c>
      <c r="AO14" s="262">
        <f t="shared" ca="1" si="7"/>
        <v>23.94658753709199</v>
      </c>
      <c r="AP14" s="262" cm="1">
        <f t="array" aca="1" ref="AP14" ca="1">IF(ISTEXT(B14),_xll.BDH(B14 &amp;  " Equity","BEST_EPS",$Q$3,$Q$3,"BEST_FPERIOD_OVERRIDE=1BF","CDR=US","Fill=p"),"")</f>
        <v>7.7510000000000003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0</v>
      </c>
      <c r="E15" s="255">
        <f>-D15</f>
        <v>0</v>
      </c>
      <c r="F15" s="254"/>
      <c r="G15" s="187" cm="1">
        <f t="array" ref="G15">_xll.BDP(B15&amp;" Equity","LAST PRICE")</f>
        <v>333.84</v>
      </c>
      <c r="H15" s="188" cm="1">
        <f t="array" ref="H15">G15/_xll.BDP(B15&amp;" Equity", "PREV_CLOSE_VAL")-1</f>
        <v>3.7317838610446463E-2</v>
      </c>
      <c r="I15" s="187" cm="1">
        <f t="array" ref="I15">_xll.BDP(C15&amp;" Equity","LAST PRICE")</f>
        <v>199.1</v>
      </c>
      <c r="J15" s="188" cm="1">
        <f t="array" ref="J15">I15/_xll.BDP(C15&amp;" Equity", "PREV_CLOSE_VAL")-1</f>
        <v>5.1494345718900991E-3</v>
      </c>
      <c r="K15" s="189">
        <f t="shared" si="1"/>
        <v>1.6767453540934203</v>
      </c>
      <c r="L15" s="188" cm="1">
        <f t="array" ref="L15">K15/(_xll.BDP(B15&amp;" Equity", "PREV_CLOSE_VAL")/_xll.BDP(C15&amp;" Equity", "PREV_CLOSE_VAL"))-1</f>
        <v>3.2003603575877726E-2</v>
      </c>
      <c r="M15" s="188"/>
      <c r="N15" s="190">
        <f t="shared" si="2"/>
        <v>2.2141797604329665</v>
      </c>
      <c r="O15" s="191">
        <f t="shared" si="3"/>
        <v>1.4453931947069943E-2</v>
      </c>
      <c r="P15" s="192" cm="1">
        <f t="array" ref="P15">_xll.BDP($A15&amp;" Index","VOLATILITY_30D")</f>
        <v>22.938389999999998</v>
      </c>
      <c r="Q15" s="192" cm="1">
        <f t="array" aca="1" ref="Q15" ca="1">(_xll.BDP(($B15&amp; " Equity"),"CORR_COEF", "BETA_OVERRIDE_REL_INDEX",($C15&amp; " Equity"),"BETA_OVERRIDE_END_DT",$Q$5,"BETA_OVERRIDE_START_DT",$Q$4))*100</f>
        <v>48.086906010834653</v>
      </c>
      <c r="R15" s="188"/>
      <c r="S15" s="188" cm="1">
        <f t="array" ref="S15">_xll.BDP($A15&amp;" Index","CHG_PCT_2D")/100</f>
        <v>-3.9416809999999998E-3</v>
      </c>
      <c r="T15" s="188" cm="1">
        <f t="array" ref="T15">_xll.BDP($A15&amp;" Index","CHG_PCT_5D")/100</f>
        <v>9.7439520000000002E-3</v>
      </c>
      <c r="U15" s="188" cm="1">
        <f t="array" ref="U15">K15/_xll.BDP($A15&amp;" Index","HIGH_52WEEK")-1</f>
        <v>-0.19556251812613867</v>
      </c>
      <c r="V15" s="188" cm="1">
        <f t="array" ref="V15">K15/_xll.BDP($A15&amp;" Index","LOW_52WEEK")-1</f>
        <v>3.200206437508557E-2</v>
      </c>
      <c r="W15" s="188"/>
      <c r="X15" s="192" cm="1">
        <f t="array" ref="X15">_xll.BDP($A15&amp;" Index","RSI_14D")</f>
        <v>33.607300000000002</v>
      </c>
      <c r="Y15" s="193"/>
      <c r="Z15" s="194">
        <f t="shared" si="4"/>
        <v>-1</v>
      </c>
      <c r="AA15" s="193"/>
      <c r="AB15" s="194">
        <f t="shared" si="5"/>
        <v>-1</v>
      </c>
      <c r="AC15" s="193">
        <v>2</v>
      </c>
      <c r="AD15" s="188">
        <f t="shared" si="6"/>
        <v>-0.16162732295328985</v>
      </c>
      <c r="AE15" s="188"/>
      <c r="AF15" s="195">
        <f>IF(ISTEXT(B15),_xll.BDP(B15 &amp; " Equity","EXPECTED_REPORT_DT")*1,"")</f>
        <v>46141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3.2954845203891079</v>
      </c>
      <c r="AI15" s="196" cm="1">
        <f t="array" ref="AI15">(_xll.BDP(C15&amp;" Equity","SHORT_INT")/_xll.BDP(C15&amp;" Equity","VOLUME_AVG_90D"))</f>
        <v>2.2263534874285078</v>
      </c>
      <c r="AJ15" s="196" cm="1">
        <f t="array" ref="AJ15">(_xll.BDP(B15&amp;" Equity","SHORT_INT"))/((_xll.BDP(B15&amp;" Equity","EQY_FREE_FLOAT_PCT"))*(_xll.BDP(B15&amp;" Equity","EQY_SH_OUT_TOT_MULT_SH")))/100</f>
        <v>1.2231172169110915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1.5899454875832664E-2</v>
      </c>
      <c r="AN15" s="194">
        <f ca="1">IF(ISTEXT(B15),AP15/_xll.BDH(B15 &amp;  " Equity","BEST_EPS",$AN$3,$AN$3,"BEST_FPERIOD_OVERRIDE=1BF","CDR=US","Fill=p")-1,"")</f>
        <v>3.7260358688929962E-2</v>
      </c>
      <c r="AO15" s="196">
        <f t="shared" ca="1" si="7"/>
        <v>24.880011924280815</v>
      </c>
      <c r="AP15" s="196" cm="1">
        <f t="array" aca="1" ref="AP15" ca="1">IF(ISTEXT(B15),_xll.BDH(B15 &amp;  " Equity","BEST_EPS",$Q$3,$Q$3,"BEST_FPERIOD_OVERRIDE=1BF","CDR=US","Fill=p"),"")</f>
        <v>13.417999999999999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0</v>
      </c>
      <c r="E16" s="255">
        <f>-D16</f>
        <v>0</v>
      </c>
      <c r="F16" s="254"/>
      <c r="G16" s="187" cm="1">
        <f t="array" ref="G16">_xll.BDP(B16&amp;" Equity","LAST PRICE")</f>
        <v>555.37</v>
      </c>
      <c r="H16" s="188" cm="1">
        <f t="array" ref="H16">G16/_xll.BDP(B16&amp;" Equity", "PREV_CLOSE_VAL")-1</f>
        <v>3.0772657250505819E-2</v>
      </c>
      <c r="I16" s="187" cm="1">
        <f t="array" ref="I16">_xll.BDP(C16&amp;" Equity","LAST PRICE")</f>
        <v>199.1</v>
      </c>
      <c r="J16" s="188" cm="1">
        <f t="array" ref="J16">I16/_xll.BDP(C16&amp;" Equity", "PREV_CLOSE_VAL")-1</f>
        <v>5.1494345718900991E-3</v>
      </c>
      <c r="K16" s="189">
        <f t="shared" si="1"/>
        <v>2.7894023103967855</v>
      </c>
      <c r="L16" s="188" cm="1">
        <f t="array" ref="L16">K16/(_xll.BDP(B16&amp;" Equity", "PREV_CLOSE_VAL")/_xll.BDP(C16&amp;" Equity", "PREV_CLOSE_VAL"))-1</f>
        <v>2.549195353179412E-2</v>
      </c>
      <c r="M16" s="188"/>
      <c r="N16" s="190">
        <f t="shared" si="2"/>
        <v>1.7668881080578458</v>
      </c>
      <c r="O16" s="191">
        <f t="shared" si="3"/>
        <v>1.4427599243856332E-2</v>
      </c>
      <c r="P16" s="192" cm="1">
        <f t="array" ref="P16">_xll.BDP($A16&amp;" Index","VOLATILITY_30D")</f>
        <v>22.896599999999999</v>
      </c>
      <c r="Q16" s="192" cm="1">
        <f t="array" aca="1" ref="Q16" ca="1">(_xll.BDP(($B16&amp; " Equity"),"CORR_COEF", "BETA_OVERRIDE_REL_INDEX",($C16&amp; " Equity"),"BETA_OVERRIDE_END_DT",$Q$5,"BETA_OVERRIDE_START_DT",$Q$4))*100</f>
        <v>60.964597129622334</v>
      </c>
      <c r="R16" s="188"/>
      <c r="S16" s="188" cm="1">
        <f t="array" ref="S16">_xll.BDP($A16&amp;" Index","CHG_PCT_2D")/100</f>
        <v>9.0955629999999992E-3</v>
      </c>
      <c r="T16" s="188" cm="1">
        <f t="array" ref="T16">_xll.BDP($A16&amp;" Index","CHG_PCT_5D")/100</f>
        <v>4.4192769999999999E-2</v>
      </c>
      <c r="U16" s="188" cm="1">
        <f t="array" ref="U16">K16/_xll.BDP($A16&amp;" Index","HIGH_52WEEK")-1</f>
        <v>-0.15960595138625877</v>
      </c>
      <c r="V16" s="188" cm="1">
        <f t="array" ref="V16">K16/_xll.BDP($A16&amp;" Index","LOW_52WEEK")-1</f>
        <v>6.6264907167976839E-2</v>
      </c>
      <c r="W16" s="188"/>
      <c r="X16" s="192" cm="1">
        <f t="array" ref="X16">_xll.BDP($A16&amp;" Index","RSI_14D")</f>
        <v>42.488129999999998</v>
      </c>
      <c r="Y16" s="193"/>
      <c r="Z16" s="194">
        <f t="shared" si="4"/>
        <v>-1</v>
      </c>
      <c r="AA16" s="193"/>
      <c r="AB16" s="194">
        <f t="shared" si="5"/>
        <v>-1</v>
      </c>
      <c r="AC16" s="193">
        <v>3.26</v>
      </c>
      <c r="AD16" s="188">
        <f t="shared" si="6"/>
        <v>-0.14435511951018842</v>
      </c>
      <c r="AE16" s="188"/>
      <c r="AF16" s="195">
        <f>IF(ISTEXT(B16),_xll.BDP(B16 &amp; " Equity","EXPECTED_REPORT_DT")*1,"")</f>
        <v>46143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2.3458732704110981</v>
      </c>
      <c r="AI16" s="196" cm="1">
        <f t="array" ref="AI16">(_xll.BDP(C16&amp;" Equity","SHORT_INT")/_xll.BDP(C16&amp;" Equity","VOLUME_AVG_90D"))</f>
        <v>2.2263534874285078</v>
      </c>
      <c r="AJ16" s="196" cm="1">
        <f t="array" ref="AJ16">(_xll.BDP(B16&amp;" Equity","SHORT_INT"))/((_xll.BDP(B16&amp;" Equity","EQY_FREE_FLOAT_PCT"))*(_xll.BDP(B16&amp;" Equity","EQY_SH_OUT_TOT_MULT_SH")))/100</f>
        <v>0.87130229232761147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2.8602802760928636E-2</v>
      </c>
      <c r="AN16" s="194">
        <f ca="1">IF(ISTEXT(B16),AP16/_xll.BDH(B16 &amp;  " Equity","BEST_EPS",$AN$3,$AN$3,"BEST_FPERIOD_OVERRIDE=1BF","CDR=US","Fill=p")-1,"")</f>
        <v>5.468875663503292E-2</v>
      </c>
      <c r="AO16" s="196">
        <f t="shared" ca="1" si="7"/>
        <v>28.232931726907633</v>
      </c>
      <c r="AP16" s="196" cm="1">
        <f t="array" aca="1" ref="AP16" ca="1">IF(ISTEXT(B16),_xll.BDH(B16 &amp;  " Equity","BEST_EPS",$Q$3,$Q$3,"BEST_FPERIOD_OVERRIDE=1BF","CDR=US","Fill=p"),"")</f>
        <v>19.670999999999999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>
        <f>-E17</f>
        <v>0</v>
      </c>
      <c r="E17" s="255">
        <f>SUMIF(Tabelad[Ticker],PAIR_Monitor!C17,Tabelad[Exp %])-E16-E15</f>
        <v>0</v>
      </c>
      <c r="F17" s="254"/>
      <c r="G17" s="187" cm="1">
        <f t="array" ref="G17">_xll.BDP(B17&amp;" Equity","LAST PRICE")</f>
        <v>54.03</v>
      </c>
      <c r="H17" s="188" cm="1">
        <f t="array" ref="H17">G17/_xll.BDP(B17&amp;" Equity", "PREV_CLOSE_VAL")-1</f>
        <v>1.104041916167664E-2</v>
      </c>
      <c r="I17" s="187" cm="1">
        <f t="array" ref="I17">_xll.BDP(C17&amp;" Equity","LAST PRICE")</f>
        <v>199.1</v>
      </c>
      <c r="J17" s="188" cm="1">
        <f t="array" ref="J17">I17/_xll.BDP(C17&amp;" Equity", "PREV_CLOSE_VAL")-1</f>
        <v>5.1494345718900991E-3</v>
      </c>
      <c r="K17" s="189">
        <f t="shared" si="1"/>
        <v>0.27137117026619789</v>
      </c>
      <c r="L17" s="188" cm="1">
        <f t="array" ref="L17">K17/(_xll.BDP(B17&amp;" Equity", "PREV_CLOSE_VAL")/_xll.BDP(C17&amp;" Equity", "PREV_CLOSE_VAL"))-1</f>
        <v>5.8608047591408585E-3</v>
      </c>
      <c r="M17" s="188"/>
      <c r="N17" s="190">
        <f t="shared" si="2"/>
        <v>0.84490908331424575</v>
      </c>
      <c r="O17" s="191">
        <f t="shared" si="3"/>
        <v>6.9366099558916192E-3</v>
      </c>
      <c r="P17" s="192" cm="1">
        <f t="array" ref="P17">_xll.BDP($A17&amp;" Index","VOLATILITY_30D")</f>
        <v>11.0084</v>
      </c>
      <c r="Q17" s="192" cm="1">
        <f t="array" aca="1" ref="Q17" ca="1">(_xll.BDP(($B17&amp; " Equity"),"CORR_COEF", "BETA_OVERRIDE_REL_INDEX",($C17&amp; " Equity"),"BETA_OVERRIDE_END_DT",$Q$5,"BETA_OVERRIDE_START_DT",$Q$4))*100</f>
        <v>69.710933000229716</v>
      </c>
      <c r="R17" s="188"/>
      <c r="S17" s="188" cm="1">
        <f t="array" ref="S17">_xll.BDP($A17&amp;" Index","CHG_PCT_2D")/100</f>
        <v>4.0552949999999996E-3</v>
      </c>
      <c r="T17" s="188" cm="1">
        <f t="array" ref="T17">_xll.BDP($A17&amp;" Index","CHG_PCT_5D")/100</f>
        <v>1.0338020000000002E-2</v>
      </c>
      <c r="U17" s="188" cm="1">
        <f t="array" ref="U17">K17/_xll.BDP($A17&amp;" Index","HIGH_52WEEK")-1</f>
        <v>-6.504334102946463E-2</v>
      </c>
      <c r="V17" s="188" cm="1">
        <f t="array" ref="V17">K17/_xll.BDP($A17&amp;" Index","LOW_52WEEK")-1</f>
        <v>1.8545847938287396E-2</v>
      </c>
      <c r="W17" s="188"/>
      <c r="X17" s="192" cm="1">
        <f t="array" ref="X17">_xll.BDP($A17&amp;" Index","RSI_14D")</f>
        <v>37.064869999999999</v>
      </c>
      <c r="Y17" s="193"/>
      <c r="Z17" s="194">
        <f t="shared" si="4"/>
        <v>-1</v>
      </c>
      <c r="AA17" s="193"/>
      <c r="AB17" s="194">
        <f t="shared" si="5"/>
        <v>-1</v>
      </c>
      <c r="AC17" s="193">
        <v>0.28999999999999998</v>
      </c>
      <c r="AD17" s="188">
        <f t="shared" si="6"/>
        <v>-6.4237343909662403E-2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1.4828917178060239</v>
      </c>
      <c r="AI17" s="196" cm="1">
        <f t="array" ref="AI17">(_xll.BDP(C17&amp;" Equity","SHORT_INT")/_xll.BDP(C17&amp;" Equity","VOLUME_AVG_90D"))</f>
        <v>2.2263534874285078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cm="1">
        <f t="array" ref="G18">_xll.BDP(B18&amp;" Equity","LAST PRICE")</f>
        <v>54.03</v>
      </c>
      <c r="H18" s="188" cm="1">
        <f t="array" ref="H18">G18/_xll.BDP(B18&amp;" Equity", "PREV_CLOSE_VAL")-1</f>
        <v>1.104041916167664E-2</v>
      </c>
      <c r="I18" s="187" cm="1">
        <f t="array" ref="I18">_xll.BDP(C18&amp;" Equity","LAST PRICE")</f>
        <v>487.29</v>
      </c>
      <c r="J18" s="188" cm="1">
        <f t="array" ref="J18">I18/_xll.BDP(C18&amp;" Equity", "PREV_CLOSE_VAL")-1</f>
        <v>1.406780013734843E-2</v>
      </c>
      <c r="K18" s="189">
        <f t="shared" si="1"/>
        <v>0.11087853229083297</v>
      </c>
      <c r="L18" s="188" cm="1">
        <f t="array" ref="L18">K18/(_xll.BDP(B18&amp;" Equity", "PREV_CLOSE_VAL")/_xll.BDP(C18&amp;" Equity", "PREV_CLOSE_VAL"))-1</f>
        <v>-2.9853832014602455E-3</v>
      </c>
      <c r="M18" s="188"/>
      <c r="N18" s="190">
        <f t="shared" si="2"/>
        <v>0.34620916204236885</v>
      </c>
      <c r="O18" s="191">
        <f t="shared" si="3"/>
        <v>8.6230623818525521E-3</v>
      </c>
      <c r="P18" s="192" cm="1">
        <f t="array" ref="P18">_xll.BDP($A18&amp;" Index","VOLATILITY_30D")</f>
        <v>13.684799999999999</v>
      </c>
      <c r="Q18" s="192" cm="1">
        <f t="array" aca="1" ref="Q18" ca="1">(_xll.BDP(($B18&amp; " Equity"),"CORR_COEF", "BETA_OVERRIDE_REL_INDEX",($C18&amp; " Equity"),"BETA_OVERRIDE_END_DT",$Q$5,"BETA_OVERRIDE_START_DT",$Q$4))*100</f>
        <v>51.249207862117515</v>
      </c>
      <c r="R18" s="188"/>
      <c r="S18" s="188" cm="1">
        <f t="array" ref="S18">_xll.BDP($A18&amp;" Index","CHG_PCT_2D")/100</f>
        <v>-9.2028040000000002E-3</v>
      </c>
      <c r="T18" s="188" cm="1">
        <f t="array" ref="T18">_xll.BDP($A18&amp;" Index","CHG_PCT_5D")/100</f>
        <v>7.3122469999999992E-3</v>
      </c>
      <c r="U18" s="188" cm="1">
        <f t="array" ref="U18">K18/_xll.BDP($A18&amp;" Index","HIGH_52WEEK")-1</f>
        <v>-1.9381513302971887E-2</v>
      </c>
      <c r="V18" s="188" cm="1">
        <f t="array" ref="V18">K18/_xll.BDP($A18&amp;" Index","LOW_52WEEK")-1</f>
        <v>0.24568624076882339</v>
      </c>
      <c r="W18" s="188"/>
      <c r="X18" s="192" cm="1">
        <f t="array" ref="X18">_xll.BDP($A18&amp;" Index","RSI_14D")</f>
        <v>53.894919999999999</v>
      </c>
      <c r="Y18" s="193"/>
      <c r="Z18" s="194">
        <f t="shared" si="4"/>
        <v>-1</v>
      </c>
      <c r="AA18" s="193"/>
      <c r="AB18" s="194">
        <f t="shared" si="5"/>
        <v>-1</v>
      </c>
      <c r="AC18" s="193">
        <v>0.1</v>
      </c>
      <c r="AD18" s="188">
        <f t="shared" si="6"/>
        <v>0.10878532290832954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1.4828917178060239</v>
      </c>
      <c r="AI18" s="196" cm="1">
        <f t="array" ref="AI18">(_xll.BDP(C18&amp;" Equity","SHORT_INT")/_xll.BDP(C18&amp;" Equity","VOLUME_AVG_90D"))</f>
        <v>2.2860770044066463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0.77685170658873726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3.8243626062322011E-3</v>
      </c>
      <c r="AS18" s="194">
        <f ca="1">IF(ISTEXT(C18),AU18/_xll.BDH(C18 &amp;  " Equity","BEST_EPS",$AN$3,$AN$3,"BEST_FPERIOD_OVERRIDE=1BF","CDR=US","Fill=p")-1,"")</f>
        <v>-1.4599555061179159E-2</v>
      </c>
      <c r="AT18" s="196">
        <f t="shared" ca="1" si="8"/>
        <v>22.919429942147595</v>
      </c>
      <c r="AU18" s="196" cm="1">
        <f t="array" aca="1" ref="AU18" ca="1">IF(ISTEXT(C18),_xll.BDH(C18 &amp;  " Equity","BEST_EPS",$Q$3,$Q$3,"BEST_FPERIOD_OVERRIDE=1BF","CDR=US","Fill=p"),"")</f>
        <v>21.260999999999999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>
        <f>SUMIF(Tabelad[Ticker],PAIR_Monitor!B19,Tabelad[Exp %])-D17-D18</f>
        <v>1.0315956631728295E-3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0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1678</v>
      </c>
      <c r="C29" s="186" t="s">
        <v>1680</v>
      </c>
      <c r="D29" s="186"/>
      <c r="E29" s="186"/>
      <c r="F29" s="186"/>
      <c r="G29" s="187" cm="1">
        <f t="array" ref="G29">_xll.BDP(B29&amp;" Equity","LAST PRICE")</f>
        <v>37.700000000000003</v>
      </c>
      <c r="H29" s="188" cm="1">
        <f t="array" ref="H29">G29/_xll.BDP(B29&amp;" Equity", "PREV_CLOSE_VAL")-1</f>
        <v>-4.7518479408659164E-3</v>
      </c>
      <c r="I29" s="187" cm="1">
        <f t="array" ref="I29">_xll.BDP(C29&amp;" Equity","LAST PRICE")</f>
        <v>71.88</v>
      </c>
      <c r="J29" s="188" cm="1">
        <f t="array" ref="J29">I29/_xll.BDP(C29&amp;" Equity", "PREV_CLOSE_VAL")-1</f>
        <v>-7.1823204419890763E-3</v>
      </c>
      <c r="K29" s="189">
        <f t="shared" ref="K29:K41" si="9">G29/I29</f>
        <v>0.52448525319977746</v>
      </c>
      <c r="L29" s="188" cm="1">
        <f t="array" ref="L29">K29/(_xll.BDP(B29&amp;" Equity", "PREV_CLOSE_VAL")/_xll.BDP(C29&amp;" Equity", "PREV_CLOSE_VAL"))-1</f>
        <v>2.4480552181598281E-3</v>
      </c>
      <c r="M29" s="188"/>
      <c r="N29" s="190">
        <f t="shared" ref="N29:N41" si="10">ABS(L29/O29)</f>
        <v>0.29448876384356093</v>
      </c>
      <c r="O29" s="191">
        <f>P29/15.87/100</f>
        <v>8.3128985507246386E-3</v>
      </c>
      <c r="P29" s="192" cm="1">
        <f t="array" ref="P29">_xll.BDP($A29&amp;" Index","VOLATILITY_30D")</f>
        <v>13.19257</v>
      </c>
      <c r="Q29" s="192" cm="1">
        <f t="array" aca="1" ref="Q29" ca="1">(_xll.BDP(($B29&amp; " Equity"),"CORR_COEF", "BETA_OVERRIDE_REL_INDEX",($C29&amp; " Equity"),"BETA_OVERRIDE_END_DT",$Q$5,"BETA_OVERRIDE_START_DT",$Q$4))*100</f>
        <v>56.772245939904977</v>
      </c>
      <c r="R29" s="188"/>
      <c r="S29" s="188" cm="1">
        <f t="array" ref="S29">_xll.BDP($A29&amp;" Index","CHG_PCT_2D")/100</f>
        <v>4.5050079999999996E-3</v>
      </c>
      <c r="T29" s="188" cm="1">
        <f t="array" ref="T29">_xll.BDP($A29&amp;" Index","CHG_PCT_5D")/100</f>
        <v>7.5664679999999998E-3</v>
      </c>
      <c r="U29" s="188" cm="1">
        <f t="array" ref="U29">K29/_xll.BDP($A29&amp;" Index","HIGH_52WEEK")-1</f>
        <v>-0.11555411679435856</v>
      </c>
      <c r="V29" s="188" cm="1">
        <f t="array" ref="V29">K29/_xll.BDP($A29&amp;" Index","LOW_52WEEK")-1</f>
        <v>0.11173930771303264</v>
      </c>
      <c r="W29" s="188"/>
      <c r="X29" s="192" cm="1">
        <f t="array" ref="X29">_xll.BDP($A29&amp;" Index","RSI_14D")</f>
        <v>41.799709999999997</v>
      </c>
      <c r="Y29" s="193"/>
      <c r="Z29" s="194">
        <f t="shared" ref="Z29:Z41" si="11">Y29/K29-1</f>
        <v>-1</v>
      </c>
      <c r="AA29" s="193"/>
      <c r="AB29" s="194">
        <f t="shared" ref="AB29:AB41" si="12">AA29/K29-1</f>
        <v>-1</v>
      </c>
      <c r="AC29" s="193"/>
      <c r="AD29" s="188" t="e">
        <f t="shared" ref="AD29:AD41" si="13">K29/AC29-1</f>
        <v>#DIV/0!</v>
      </c>
      <c r="AE29" s="188"/>
      <c r="AF29" s="195">
        <f>IF(ISTEXT(B29),_xll.BDP(B29 &amp; " Equity","EXPECTED_REPORT_DT")*1,"")</f>
        <v>46063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1.6532514000477017</v>
      </c>
      <c r="AI29" s="196" cm="1">
        <f t="array" ref="AI29">(_xll.BDP(C29&amp;" Equity","SHORT_INT")/_xll.BDP(C29&amp;" Equity","VOLUME_AVG_90D"))</f>
        <v>10.597940669903618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0.27300859541145506</v>
      </c>
      <c r="AM29" s="194">
        <f ca="1">IF(ISTEXT(B29),AP29/_xll.BDH(B29 &amp;  " Equity","BEST_EPS",$AM$3,$AM$3,"BEST_FPERIOD_OVERRIDE=1BF","CDR=US","Fill=p")-1,"")</f>
        <v>-5.2319497732822295E-3</v>
      </c>
      <c r="AN29" s="194">
        <f ca="1">IF(ISTEXT(B29),AP29/_xll.BDH(B29 &amp;  " Equity","BEST_EPS",$AN$3,$AN$3,"BEST_FPERIOD_OVERRIDE=1BF","CDR=US","Fill=p")-1,"")</f>
        <v>-4.1899441340782495E-3</v>
      </c>
      <c r="AO29" s="196">
        <f t="shared" ref="AO29:AO41" ca="1" si="14">G29/AP29</f>
        <v>13.218793828892007</v>
      </c>
      <c r="AP29" s="196" cm="1">
        <f t="array" aca="1" ref="AP29" ca="1">IF(ISTEXT(B29),_xll.BDH(B29 &amp;  " Equity","BEST_EPS",$Q$3,$Q$3,"BEST_FPERIOD_OVERRIDE=1BF","CDR=US","Fill=p"),"")</f>
        <v>2.8519999999999999</v>
      </c>
      <c r="AR29" s="194">
        <f ca="1">IF(ISTEXT(C29),AU29/_xll.BDH(C29 &amp;  " Equity","BEST_EPS",$AM$3,$AM$3,"BEST_FPERIOD_OVERRIDE=1BF","CDR=US","Fill=p")-1,"")</f>
        <v>-8.7355641101568571E-3</v>
      </c>
      <c r="AS29" s="194">
        <f ca="1">IF(ISTEXT(C29),AU29/_xll.BDH(C29 &amp;  " Equity","BEST_EPS",$AN$3,$AN$3,"BEST_FPERIOD_OVERRIDE=1BF","CDR=US","Fill=p")-1,"")</f>
        <v>-3.7383177570093462E-2</v>
      </c>
      <c r="AT29" s="196">
        <f t="shared" ref="AT29:AT41" ca="1" si="15">I29/AU29</f>
        <v>10.736370425690813</v>
      </c>
      <c r="AU29" s="196" cm="1">
        <f t="array" aca="1" ref="AU29" ca="1">IF(ISTEXT(C29),_xll.BDH(C29 &amp;  " Equity","BEST_EPS",$Q$3,$Q$3,"BEST_FPERIOD_OVERRIDE=1BF","CDR=US","Fill=p"),"")</f>
        <v>6.6950000000000003</v>
      </c>
    </row>
    <row r="30" spans="1:47">
      <c r="A30" t="str">
        <f>"."&amp;B30&amp;C30</f>
        <v>.BPSHEL</v>
      </c>
      <c r="B30" s="186" t="s">
        <v>1678</v>
      </c>
      <c r="C30" s="186" t="s">
        <v>1679</v>
      </c>
      <c r="D30" s="186"/>
      <c r="E30" s="186"/>
      <c r="F30" s="186"/>
      <c r="G30" s="187" cm="1">
        <f t="array" ref="G30">_xll.BDP(B30&amp;" Equity","LAST PRICE")</f>
        <v>37.700000000000003</v>
      </c>
      <c r="H30" s="188" cm="1">
        <f t="array" ref="H30">G30/_xll.BDP(B30&amp;" Equity", "PREV_CLOSE_VAL")-1</f>
        <v>-4.7518479408659164E-3</v>
      </c>
      <c r="I30" s="187" cm="1">
        <f t="array" ref="I30">_xll.BDP(C30&amp;" Equity","LAST PRICE")</f>
        <v>75.73</v>
      </c>
      <c r="J30" s="188" cm="1">
        <f t="array" ref="J30">I30/_xll.BDP(C30&amp;" Equity", "PREV_CLOSE_VAL")-1</f>
        <v>-1.6876541607166007E-2</v>
      </c>
      <c r="K30" s="189">
        <f t="shared" si="9"/>
        <v>0.49782120691931864</v>
      </c>
      <c r="L30" s="188" cm="1">
        <f t="array" ref="L30">K30/(_xll.BDP(B30&amp;" Equity", "PREV_CLOSE_VAL")/_xll.BDP(C30&amp;" Equity", "PREV_CLOSE_VAL"))-1</f>
        <v>1.2332829170937476E-2</v>
      </c>
      <c r="M30" s="188"/>
      <c r="N30" s="190">
        <f>ABS(L30/O30)</f>
        <v>1.228853006538984</v>
      </c>
      <c r="O30" s="191">
        <f>P30/15.87/100</f>
        <v>1.0036049149338375E-2</v>
      </c>
      <c r="P30" s="192" cm="1">
        <f t="array" ref="P30">_xll.BDP($A30&amp;" Index","VOLATILITY_30D")</f>
        <v>15.927210000000001</v>
      </c>
      <c r="Q30" s="192" cm="1">
        <f t="array" aca="1" ref="Q30" ca="1">(_xll.BDP(($B30&amp; " Equity"),"CORR_COEF", "BETA_OVERRIDE_REL_INDEX",($C30&amp; " Equity"),"BETA_OVERRIDE_END_DT",$Q$5,"BETA_OVERRIDE_START_DT",$Q$4))*100</f>
        <v>76.274957127352195</v>
      </c>
      <c r="R30" s="188"/>
      <c r="S30" s="188" cm="1">
        <f t="array" ref="S30">_xll.BDP($A30&amp;" Index","CHG_PCT_2D")/100</f>
        <v>1.2180960000000001E-2</v>
      </c>
      <c r="T30" s="188" cm="1">
        <f t="array" ref="T30">_xll.BDP($A30&amp;" Index","CHG_PCT_5D")/100</f>
        <v>-9.6305019999999991E-3</v>
      </c>
      <c r="U30" s="188" cm="1">
        <f t="array" ref="U30">K30/_xll.BDP($A30&amp;" Index","HIGH_52WEEK")-1</f>
        <v>-4.518545606022728E-2</v>
      </c>
      <c r="V30" s="188" cm="1">
        <f t="array" ref="V30">K30/_xll.BDP($A30&amp;" Index","LOW_52WEEK")-1</f>
        <v>0.17975497528098838</v>
      </c>
      <c r="W30" s="188"/>
      <c r="X30" s="192" cm="1">
        <f t="array" ref="X30">_xll.BDP($A30&amp;" Index","RSI_14D")</f>
        <v>56.146210000000004</v>
      </c>
      <c r="Y30" s="193"/>
      <c r="Z30" s="194">
        <f t="shared" si="11"/>
        <v>-1</v>
      </c>
      <c r="AA30" s="193"/>
      <c r="AB30" s="194">
        <f t="shared" si="12"/>
        <v>-1</v>
      </c>
      <c r="AC30" s="193"/>
      <c r="AD30" s="188" t="e">
        <f t="shared" si="13"/>
        <v>#DIV/0!</v>
      </c>
      <c r="AE30" s="188"/>
      <c r="AF30" s="195">
        <f>IF(ISTEXT(B30),_xll.BDP(B30 &amp; " Equity","EXPECTED_REPORT_DT")*1,"")</f>
        <v>46063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1.6532514000477017</v>
      </c>
      <c r="AI30" s="196" cm="1">
        <f t="array" ref="AI30">(_xll.BDP(C30&amp;" Equity","SHORT_INT")/_xll.BDP(C30&amp;" Equity","VOLUME_AVG_90D"))</f>
        <v>2.8232838918765411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-5.2319497732822295E-3</v>
      </c>
      <c r="AN30" s="194">
        <f ca="1">IF(ISTEXT(B30),AP30/_xll.BDH(B30 &amp;  " Equity","BEST_EPS",$AN$3,$AN$3,"BEST_FPERIOD_OVERRIDE=1BF","CDR=US","Fill=p")-1,"")</f>
        <v>-4.1899441340782495E-3</v>
      </c>
      <c r="AO30" s="196">
        <f t="shared" ca="1" si="14"/>
        <v>13.218793828892007</v>
      </c>
      <c r="AP30" s="196" cm="1">
        <f t="array" aca="1" ref="AP30" ca="1">IF(ISTEXT(B30),_xll.BDH(B30 &amp;  " Equity","BEST_EPS",$Q$3,$Q$3,"BEST_FPERIOD_OVERRIDE=1BF","CDR=US","Fill=p"),"")</f>
        <v>2.8519999999999999</v>
      </c>
      <c r="AR30" s="194">
        <f ca="1">IF(ISTEXT(C30),AU30/_xll.BDH(C30 &amp;  " Equity","BEST_EPS",$AM$3,$AM$3,"BEST_FPERIOD_OVERRIDE=1BF","CDR=US","Fill=p")-1,"")</f>
        <v>2.2898318654923866E-2</v>
      </c>
      <c r="AS30" s="194">
        <f ca="1">IF(ISTEXT(C30),AU30/_xll.BDH(C30 &amp;  " Equity","BEST_EPS",$AN$3,$AN$3,"BEST_FPERIOD_OVERRIDE=1BF","CDR=US","Fill=p")-1,"")</f>
        <v>-2.6961157654227019E-2</v>
      </c>
      <c r="AT30" s="196">
        <f t="shared" ca="1" si="15"/>
        <v>11.855040701314966</v>
      </c>
      <c r="AU30" s="196" cm="1">
        <f t="array" aca="1" ref="AU30" ca="1">IF(ISTEXT(C30),_xll.BDH(C30 &amp;  " Equity","BEST_EPS",$Q$3,$Q$3,"BEST_FPERIOD_OVERRIDE=1BF","CDR=US","Fill=p"),"")</f>
        <v>6.3879999999999999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cm="1">
        <f t="array" ref="G31">_xll.BDP(B31&amp;" Equity","LAST PRICE")</f>
        <v>210.81</v>
      </c>
      <c r="H31" s="188" cm="1">
        <f t="array" ref="H31">G31/_xll.BDP(B31&amp;" Equity", "PREV_CLOSE_VAL")-1</f>
        <v>-6.9715954590418017E-3</v>
      </c>
      <c r="I31" s="187" cm="1">
        <f t="array" ref="I31">_xll.BDP(C31&amp;" Equity","LAST PRICE")</f>
        <v>626.14</v>
      </c>
      <c r="J31" s="188" cm="1">
        <f t="array" ref="J31">I31/_xll.BDP(C31&amp;" Equity", "PREV_CLOSE_VAL")-1</f>
        <v>6.8663868654219584E-3</v>
      </c>
      <c r="K31" s="189">
        <f t="shared" si="9"/>
        <v>0.33668189222857509</v>
      </c>
      <c r="L31" s="188" cm="1">
        <f t="array" ref="L31">K31/(_xll.BDP(B31&amp;" Equity", "PREV_CLOSE_VAL")/_xll.BDP(C31&amp;" Equity", "PREV_CLOSE_VAL"))-1</f>
        <v>-1.3743613358217499E-2</v>
      </c>
      <c r="M31" s="188"/>
      <c r="N31" s="190">
        <f t="shared" si="10"/>
        <v>0.64917721214185586</v>
      </c>
      <c r="O31" s="191">
        <f>P31/15.87/100</f>
        <v>2.1170819155639575E-2</v>
      </c>
      <c r="P31" s="192" cm="1">
        <f t="array" ref="P31">_xll.BDP($A31&amp;" Index","VOLATILITY_30D")</f>
        <v>33.598089999999999</v>
      </c>
      <c r="Q31" s="192" cm="1">
        <f t="array" aca="1" ref="Q31" ca="1">(_xll.BDP(($B31&amp; " Equity"),"CORR_COEF", "BETA_OVERRIDE_REL_INDEX",($C31&amp; " Equity"),"BETA_OVERRIDE_END_DT",$Q$5,"BETA_OVERRIDE_START_DT",$Q$4))*100</f>
        <v>45.262411406026487</v>
      </c>
      <c r="R31" s="188"/>
      <c r="S31" s="188" cm="1">
        <f t="array" ref="S31">_xll.BDP($A31&amp;" Index","CHG_PCT_2D")/100</f>
        <v>-1.0282340000000001E-2</v>
      </c>
      <c r="T31" s="188" cm="1">
        <f t="array" ref="T31">_xll.BDP($A31&amp;" Index","CHG_PCT_5D")/100</f>
        <v>-8.220435999999999E-2</v>
      </c>
      <c r="U31" s="188" cm="1">
        <f t="array" ref="U31">K31/_xll.BDP($A31&amp;" Index","HIGH_52WEEK")-1</f>
        <v>-0.49018489971445323</v>
      </c>
      <c r="V31" s="188" cm="1">
        <f t="array" ref="V31">K31/_xll.BDP($A31&amp;" Index","LOW_52WEEK")-1</f>
        <v>-1.0108513969848576E-2</v>
      </c>
      <c r="W31" s="188"/>
      <c r="X31" s="192" cm="1">
        <f t="array" ref="X31">_xll.BDP($A31&amp;" Index","RSI_14D")</f>
        <v>24.041899999999998</v>
      </c>
      <c r="Y31" s="193"/>
      <c r="Z31" s="194">
        <f t="shared" si="11"/>
        <v>-1</v>
      </c>
      <c r="AA31" s="193"/>
      <c r="AB31" s="194">
        <f t="shared" si="12"/>
        <v>-1</v>
      </c>
      <c r="AC31" s="193"/>
      <c r="AD31" s="188" t="e">
        <f t="shared" si="13"/>
        <v>#DIV/0!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2.1427067044704664</v>
      </c>
      <c r="AI31" s="196" cm="1">
        <f t="array" ref="AI31">(_xll.BDP(C31&amp;" Equity","SHORT_INT")/_xll.BDP(C31&amp;" Equity","VOLUME_AVG_90D"))</f>
        <v>0.8060751828250744</v>
      </c>
      <c r="AJ31" s="196" cm="1">
        <f t="array" ref="AJ31">(_xll.BDP(B31&amp;" Equity","SHORT_INT"))/((_xll.BDP(B31&amp;" Equity","EQY_FREE_FLOAT_PCT"))*(_xll.BDP(B31&amp;" Equity","EQY_SH_OUT_TOT_MULT_SH")))/100</f>
        <v>1.9956927649943825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1.2779308233853648E-2</v>
      </c>
      <c r="AN31" s="194">
        <f ca="1">IF(ISTEXT(B31),AP31/_xll.BDH(B31 &amp;  " Equity","BEST_EPS",$AN$3,$AN$3,"BEST_FPERIOD_OVERRIDE=1BF","CDR=US","Fill=p")-1,"")</f>
        <v>6.794157992415073E-2</v>
      </c>
      <c r="AO31" s="196">
        <f t="shared" ca="1" si="14"/>
        <v>15.928220627125048</v>
      </c>
      <c r="AP31" s="196" cm="1">
        <f t="array" aca="1" ref="AP31" ca="1">IF(ISTEXT(B31),_xll.BDH(B31 &amp;  " Equity","BEST_EPS",$Q$3,$Q$3,"BEST_FPERIOD_OVERRIDE=1BF","CDR=US","Fill=p"),"")</f>
        <v>13.234999999999999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cm="1">
        <f t="array" ref="G32">_xll.BDP(B32&amp;" Equity","LAST PRICE")</f>
        <v>210.81</v>
      </c>
      <c r="H32" s="188" cm="1">
        <f t="array" ref="H32">G32/_xll.BDP(B32&amp;" Equity", "PREV_CLOSE_VAL")-1</f>
        <v>-6.9715954590418017E-3</v>
      </c>
      <c r="I32" s="187" cm="1">
        <f t="array" ref="I32">_xll.BDP(C32&amp;" Equity","LAST PRICE")</f>
        <v>89.52</v>
      </c>
      <c r="J32" s="188" cm="1">
        <f t="array" ref="J32">I32/_xll.BDP(C32&amp;" Equity", "PREV_CLOSE_VAL")-1</f>
        <v>-8.7476469936884627E-3</v>
      </c>
      <c r="K32" s="189">
        <f t="shared" si="9"/>
        <v>2.354892761394102</v>
      </c>
      <c r="L32" s="188" cm="1">
        <f t="array" ref="L32">K32/(_xll.BDP(B32&amp;" Equity", "PREV_CLOSE_VAL")/_xll.BDP(C32&amp;" Equity", "PREV_CLOSE_VAL"))-1</f>
        <v>1.7917249116838896E-3</v>
      </c>
      <c r="M32" s="188"/>
      <c r="N32" s="190">
        <f t="shared" si="10"/>
        <v>0.13065027848067781</v>
      </c>
      <c r="O32" s="191">
        <f t="shared" ref="O32:O55" si="17">P32/15.87/100</f>
        <v>1.3713900441083806E-2</v>
      </c>
      <c r="P32" s="192" cm="1">
        <f t="array" ref="P32">_xll.BDP($A32&amp;" Index","VOLATILITY_30D")</f>
        <v>21.763960000000001</v>
      </c>
      <c r="Q32" s="192" cm="1">
        <f t="array" aca="1" ref="Q32" ca="1">(_xll.BDP(($B32&amp; " Equity"),"CORR_COEF", "BETA_OVERRIDE_REL_INDEX",($C32&amp; " Equity"),"BETA_OVERRIDE_END_DT",$Q$5,"BETA_OVERRIDE_START_DT",$Q$4))*100</f>
        <v>78.508663972394018</v>
      </c>
      <c r="R32" s="188"/>
      <c r="S32" s="188" cm="1">
        <f t="array" ref="S32">_xll.BDP($A32&amp;" Index","CHG_PCT_2D")/100</f>
        <v>1.1168689999999998E-2</v>
      </c>
      <c r="T32" s="188" cm="1">
        <f t="array" ref="T32">_xll.BDP($A32&amp;" Index","CHG_PCT_5D")/100</f>
        <v>1.052409E-2</v>
      </c>
      <c r="U32" s="188" cm="1">
        <f t="array" ref="U32">K32/_xll.BDP($A32&amp;" Index","HIGH_52WEEK")-1</f>
        <v>-0.28953295257179601</v>
      </c>
      <c r="V32" s="188" cm="1">
        <f t="array" ref="V32">K32/_xll.BDP($A32&amp;" Index","LOW_52WEEK")-1</f>
        <v>0.14972086210733249</v>
      </c>
      <c r="W32" s="188"/>
      <c r="X32" s="192" cm="1">
        <f t="array" ref="X32">_xll.BDP($A32&amp;" Index","RSI_14D")</f>
        <v>47.233739999999997</v>
      </c>
      <c r="Y32" s="193"/>
      <c r="Z32" s="194">
        <f t="shared" si="11"/>
        <v>-1</v>
      </c>
      <c r="AA32" s="193"/>
      <c r="AB32" s="194">
        <f t="shared" si="12"/>
        <v>-1</v>
      </c>
      <c r="AC32" s="193"/>
      <c r="AD32" s="188" t="e">
        <f t="shared" si="13"/>
        <v>#DIV/0!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2.1427067044704664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1.9956927649943825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1.2779308233853648E-2</v>
      </c>
      <c r="AN32" s="194">
        <f ca="1">IF(ISTEXT(B32),AP32/_xll.BDH(B32 &amp;  " Equity","BEST_EPS",$AN$3,$AN$3,"BEST_FPERIOD_OVERRIDE=1BF","CDR=US","Fill=p")-1,"")</f>
        <v>6.794157992415073E-2</v>
      </c>
      <c r="AO32" s="196">
        <f t="shared" ca="1" si="14"/>
        <v>15.928220627125048</v>
      </c>
      <c r="AP32" s="196" cm="1">
        <f t="array" aca="1" ref="AP32" ca="1">IF(ISTEXT(B32),_xll.BDH(B32 &amp;  " Equity","BEST_EPS",$Q$3,$Q$3,"BEST_FPERIOD_OVERRIDE=1BF","CDR=US","Fill=p"),"")</f>
        <v>13.234999999999999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cm="1">
        <f t="array" ref="G33">_xll.BDP(B33&amp;" Equity","LAST PRICE")</f>
        <v>706.41</v>
      </c>
      <c r="H33" s="188" cm="1">
        <f t="array" ref="H33">G33/_xll.BDP(B33&amp;" Equity", "PREV_CLOSE_VAL")-1</f>
        <v>-1.4082344731332963E-2</v>
      </c>
      <c r="I33" s="187" cm="1">
        <f t="array" ref="I33">_xll.BDP(C33&amp;" Equity","LAST PRICE")</f>
        <v>626.14</v>
      </c>
      <c r="J33" s="188" cm="1">
        <f t="array" ref="J33">I33/_xll.BDP(C33&amp;" Equity", "PREV_CLOSE_VAL")-1</f>
        <v>6.8663868654219584E-3</v>
      </c>
      <c r="K33" s="189">
        <f t="shared" si="9"/>
        <v>1.1281981665442233</v>
      </c>
      <c r="L33" s="188" cm="1">
        <f t="array" ref="L33">K33/(_xll.BDP(B33&amp;" Equity", "PREV_CLOSE_VAL")/_xll.BDP(C33&amp;" Equity", "PREV_CLOSE_VAL"))-1</f>
        <v>-2.0805870441233498E-2</v>
      </c>
      <c r="M33" s="188"/>
      <c r="N33" s="190">
        <f t="shared" si="10"/>
        <v>0.84188589624620691</v>
      </c>
      <c r="O33" s="191">
        <f t="shared" si="17"/>
        <v>2.4713408947700063E-2</v>
      </c>
      <c r="P33" s="192" cm="1">
        <f t="array" ref="P33">_xll.BDP($A33&amp;" Index","VOLATILITY_30D")</f>
        <v>39.220179999999999</v>
      </c>
      <c r="Q33" s="192" cm="1">
        <f t="array" aca="1" ref="Q33" ca="1">(_xll.BDP(($B33&amp; " Equity"),"CORR_COEF", "BETA_OVERRIDE_REL_INDEX",($C33&amp; " Equity"),"BETA_OVERRIDE_END_DT",$Q$5,"BETA_OVERRIDE_START_DT",$Q$4))*100</f>
        <v>41.837853333113763</v>
      </c>
      <c r="R33" s="188"/>
      <c r="S33" s="188" cm="1">
        <f t="array" ref="S33">_xll.BDP($A33&amp;" Index","CHG_PCT_2D")/100</f>
        <v>-3.4043150000000001E-2</v>
      </c>
      <c r="T33" s="188" cm="1">
        <f t="array" ref="T33">_xll.BDP($A33&amp;" Index","CHG_PCT_5D")/100</f>
        <v>5.4014710000000001E-2</v>
      </c>
      <c r="U33" s="188" cm="1">
        <f t="array" ref="U33">K33/_xll.BDP($A33&amp;" Index","HIGH_52WEEK")-1</f>
        <v>-0.18026726255596648</v>
      </c>
      <c r="V33" s="188" cm="1">
        <f t="array" ref="V33">K33/_xll.BDP($A33&amp;" Index","LOW_52WEEK")-1</f>
        <v>0.15055341948481327</v>
      </c>
      <c r="W33" s="188"/>
      <c r="X33" s="192" cm="1">
        <f t="array" ref="X33">_xll.BDP($A33&amp;" Index","RSI_14D")</f>
        <v>68.615049999999997</v>
      </c>
      <c r="Y33" s="193"/>
      <c r="Z33" s="194">
        <f t="shared" si="11"/>
        <v>-1</v>
      </c>
      <c r="AA33" s="193"/>
      <c r="AB33" s="194">
        <f t="shared" si="12"/>
        <v>-1</v>
      </c>
      <c r="AC33" s="193"/>
      <c r="AD33" s="188" t="e">
        <f t="shared" si="13"/>
        <v>#DIV/0!</v>
      </c>
      <c r="AE33" s="188"/>
      <c r="AF33" s="195">
        <f>IF(ISTEXT(B33),_xll.BDP(B33 &amp; " Equity","EXPECTED_REPORT_DT")*1,"")</f>
        <v>46142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1.8390989457370295</v>
      </c>
      <c r="AI33" s="196" cm="1">
        <f t="array" ref="AI33">(_xll.BDP(C33&amp;" Equity","SHORT_INT")/_xll.BDP(C33&amp;" Equity","VOLUME_AVG_90D"))</f>
        <v>0.8060751828250744</v>
      </c>
      <c r="AJ33" s="196" cm="1">
        <f t="array" ref="AJ33">(_xll.BDP(B33&amp;" Equity","SHORT_INT"))/((_xll.BDP(B33&amp;" Equity","EQY_FREE_FLOAT_PCT"))*(_xll.BDP(B33&amp;" Equity","EQY_SH_OUT_TOT_MULT_SH")))/100</f>
        <v>1.2886696817530352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-8.4164495162787345E-3</v>
      </c>
      <c r="AN33" s="194">
        <f ca="1">IF(ISTEXT(B33),AP33/_xll.BDH(B33 &amp;  " Equity","BEST_EPS",$AN$3,$AN$3,"BEST_FPERIOD_OVERRIDE=1BF","CDR=US","Fill=p")-1,"")</f>
        <v>4.7649397553797268E-3</v>
      </c>
      <c r="AO33" s="196">
        <f t="shared" ca="1" si="14"/>
        <v>21.337823959403128</v>
      </c>
      <c r="AP33" s="196" cm="1">
        <f t="array" aca="1" ref="AP33" ca="1">IF(ISTEXT(B33),_xll.BDH(B33 &amp;  " Equity","BEST_EPS",$Q$3,$Q$3,"BEST_FPERIOD_OVERRIDE=1BF","CDR=US","Fill=p"),"")</f>
        <v>33.106000000000002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cm="1">
        <f t="array" ref="G34">_xll.BDP(B34&amp;" Equity","LAST PRICE")</f>
        <v>341.36</v>
      </c>
      <c r="H34" s="188" cm="1">
        <f t="array" ref="H34">G34/_xll.BDP(B34&amp;" Equity", "PREV_CLOSE_VAL")-1</f>
        <v>3.2671829622458848E-2</v>
      </c>
      <c r="I34" s="187" cm="1">
        <f t="array" ref="I34">_xll.BDP(C34&amp;" Equity","LAST PRICE")</f>
        <v>407.97</v>
      </c>
      <c r="J34" s="188" cm="1">
        <f t="array" ref="J34">I34/_xll.BDP(C34&amp;" Equity", "PREV_CLOSE_VAL")-1</f>
        <v>1.1178307638923357E-2</v>
      </c>
      <c r="K34" s="189">
        <f t="shared" si="9"/>
        <v>0.83672819079834304</v>
      </c>
      <c r="L34" s="188" cm="1">
        <f t="array" ref="L34">K34/(_xll.BDP(B34&amp;" Equity", "PREV_CLOSE_VAL")/_xll.BDP(C34&amp;" Equity", "PREV_CLOSE_VAL"))-1</f>
        <v>2.1255916806327102E-2</v>
      </c>
      <c r="M34" s="188"/>
      <c r="N34" s="190">
        <f t="shared" si="10"/>
        <v>1.4570952799622092</v>
      </c>
      <c r="O34" s="191">
        <f t="shared" si="17"/>
        <v>1.4587870195337116E-2</v>
      </c>
      <c r="P34" s="192" cm="1">
        <f t="array" ref="P34">_xll.BDP($A34&amp;" Index","VOLATILITY_30D")</f>
        <v>23.150950000000002</v>
      </c>
      <c r="Q34" s="192" cm="1">
        <f t="array" aca="1" ref="Q34" ca="1">(_xll.BDP(($B34&amp; " Equity"),"CORR_COEF", "BETA_OVERRIDE_REL_INDEX",($C34&amp; " Equity"),"BETA_OVERRIDE_END_DT",$Q$5,"BETA_OVERRIDE_START_DT",$Q$4))*100</f>
        <v>79.682738271430836</v>
      </c>
      <c r="R34" s="188"/>
      <c r="S34" s="188" cm="1">
        <f t="array" ref="S34">_xll.BDP($A34&amp;" Index","CHG_PCT_2D")/100</f>
        <v>2.4746869999999997E-2</v>
      </c>
      <c r="T34" s="188" cm="1">
        <f t="array" ref="T34">_xll.BDP($A34&amp;" Index","CHG_PCT_5D")/100</f>
        <v>-1.026089E-3</v>
      </c>
      <c r="U34" s="188" cm="1">
        <f t="array" ref="U34">K34/_xll.BDP($A34&amp;" Index","HIGH_52WEEK")-1</f>
        <v>-6.1479921486031985E-2</v>
      </c>
      <c r="V34" s="188" cm="1">
        <f t="array" ref="V34">K34/_xll.BDP($A34&amp;" Index","LOW_52WEEK")-1</f>
        <v>0.11122233100260703</v>
      </c>
      <c r="W34" s="188"/>
      <c r="X34" s="192" cm="1">
        <f t="array" ref="X34">_xll.BDP($A34&amp;" Index","RSI_14D")</f>
        <v>45.281820000000003</v>
      </c>
      <c r="Y34" s="193"/>
      <c r="Z34" s="194">
        <f t="shared" si="11"/>
        <v>-1</v>
      </c>
      <c r="AA34" s="193"/>
      <c r="AB34" s="194">
        <f t="shared" si="12"/>
        <v>-1</v>
      </c>
      <c r="AC34" s="193"/>
      <c r="AD34" s="188" t="e">
        <f t="shared" si="13"/>
        <v>#DIV/0!</v>
      </c>
      <c r="AE34" s="188"/>
      <c r="AF34" s="195">
        <f>IF(ISTEXT(B34),_xll.BDP(B34 &amp; " Equity","EXPECTED_REPORT_DT")*1,"")</f>
        <v>46129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1.7545572011115163</v>
      </c>
      <c r="AI34" s="196" cm="1">
        <f t="array" ref="AI34">(_xll.BDP(C34&amp;" Equity","SHORT_INT")/_xll.BDP(C34&amp;" Equity","VOLUME_AVG_90D"))</f>
        <v>1.1569450803484966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0.18975476353415299</v>
      </c>
      <c r="AN34" s="194">
        <f ca="1">IF(ISTEXT(B34),AP34/_xll.BDH(B34 &amp;  " Equity","BEST_EPS",$AN$3,$AN$3,"BEST_FPERIOD_OVERRIDE=1BF","CDR=US","Fill=p")-1,"")</f>
        <v>0.22766761631886667</v>
      </c>
      <c r="AO34" s="196">
        <f t="shared" ca="1" si="14"/>
        <v>0.75229693426217115</v>
      </c>
      <c r="AP34" s="196" cm="1">
        <f t="array" aca="1" ref="AP34" ca="1">IF(ISTEXT(B34),_xll.BDH(B34 &amp;  " Equity","BEST_EPS",$Q$3,$Q$3,"BEST_FPERIOD_OVERRIDE=1BF","CDR=US","Fill=p"),"")</f>
        <v>453.75700000000001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cm="1">
        <f t="array" ref="G35">_xll.BDP(B35&amp;" Equity","LAST PRICE")</f>
        <v>185.61</v>
      </c>
      <c r="H35" s="188" cm="1">
        <f t="array" ref="H35">G35/_xll.BDP(B35&amp;" Equity", "PREV_CLOSE_VAL")-1</f>
        <v>-2.8880866425992635E-2</v>
      </c>
      <c r="I35" s="187" cm="1">
        <f t="array" ref="I35">_xll.BDP(C35&amp;" Equity","LAST PRICE")</f>
        <v>407.97</v>
      </c>
      <c r="J35" s="188" cm="1">
        <f t="array" ref="J35">I35/_xll.BDP(C35&amp;" Equity", "PREV_CLOSE_VAL")-1</f>
        <v>1.1178307638923357E-2</v>
      </c>
      <c r="K35" s="189">
        <f t="shared" si="9"/>
        <v>0.4549599235237885</v>
      </c>
      <c r="L35" s="188" cm="1">
        <f t="array" ref="L35">K35/(_xll.BDP(B35&amp;" Equity", "PREV_CLOSE_VAL")/_xll.BDP(C35&amp;" Equity", "PREV_CLOSE_VAL"))-1</f>
        <v>-3.9616330534674282E-2</v>
      </c>
      <c r="M35" s="188"/>
      <c r="N35" s="190">
        <f t="shared" si="10"/>
        <v>2.6362271030751137</v>
      </c>
      <c r="O35" s="191">
        <f t="shared" si="17"/>
        <v>1.5027662255828609E-2</v>
      </c>
      <c r="P35" s="192" cm="1">
        <f t="array" ref="P35">_xll.BDP($A35&amp;" Index","VOLATILITY_30D")</f>
        <v>23.8489</v>
      </c>
      <c r="Q35" s="192" cm="1">
        <f t="array" aca="1" ref="Q35" ca="1">(_xll.BDP(($B35&amp; " Equity"),"CORR_COEF", "BETA_OVERRIDE_REL_INDEX",($C35&amp; " Equity"),"BETA_OVERRIDE_END_DT",$Q$5,"BETA_OVERRIDE_START_DT",$Q$4))*100</f>
        <v>56.844741142703192</v>
      </c>
      <c r="R35" s="188"/>
      <c r="S35" s="188" cm="1">
        <f t="array" ref="S35">_xll.BDP($A35&amp;" Index","CHG_PCT_2D")/100</f>
        <v>-4.7649030000000003E-4</v>
      </c>
      <c r="T35" s="188" cm="1">
        <f t="array" ref="T35">_xll.BDP($A35&amp;" Index","CHG_PCT_5D")/100</f>
        <v>-1.4317699999999999E-2</v>
      </c>
      <c r="U35" s="188" cm="1">
        <f t="array" ref="U35">K35/_xll.BDP($A35&amp;" Index","HIGH_52WEEK")-1</f>
        <v>-0.27321534924872848</v>
      </c>
      <c r="V35" s="188" cm="1">
        <f t="array" ref="V35">K35/_xll.BDP($A35&amp;" Index","LOW_52WEEK")-1</f>
        <v>-2.4996195488083961E-3</v>
      </c>
      <c r="W35" s="188"/>
      <c r="X35" s="192" cm="1">
        <f t="array" ref="X35">_xll.BDP($A35&amp;" Index","RSI_14D")</f>
        <v>45.679859999999998</v>
      </c>
      <c r="Y35" s="193"/>
      <c r="Z35" s="194">
        <f t="shared" si="11"/>
        <v>-1</v>
      </c>
      <c r="AA35" s="193"/>
      <c r="AB35" s="194">
        <f t="shared" si="12"/>
        <v>-1</v>
      </c>
      <c r="AC35" s="193"/>
      <c r="AD35" s="188" t="e">
        <f t="shared" si="13"/>
        <v>#DIV/0!</v>
      </c>
      <c r="AE35" s="188"/>
      <c r="AF35" s="195">
        <f>IF(ISTEXT(B35),_xll.BDP(B35 &amp; " Equity","EXPECTED_REPORT_DT")*1,"")</f>
        <v>46078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1.4529178593852488</v>
      </c>
      <c r="AI35" s="196" cm="1">
        <f t="array" ref="AI35">(_xll.BDP(C35&amp;" Equity","SHORT_INT")/_xll.BDP(C35&amp;" Equity","VOLUME_AVG_90D"))</f>
        <v>1.1569450803484966</v>
      </c>
      <c r="AJ35" s="196" cm="1">
        <f t="array" ref="AJ35">(_xll.BDP(B35&amp;" Equity","SHORT_INT"))/((_xll.BDP(B35&amp;" Equity","EQY_FREE_FLOAT_PCT"))*(_xll.BDP(B35&amp;" Equity","EQY_SH_OUT_TOT_MULT_SH")))/100</f>
        <v>1.1202678799294328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4.1381163509337737E-2</v>
      </c>
      <c r="AN35" s="194">
        <f ca="1">IF(ISTEXT(B35),AP35/_xll.BDH(B35 &amp;  " Equity","BEST_EPS",$AN$3,$AN$3,"BEST_FPERIOD_OVERRIDE=1BF","CDR=US","Fill=p")-1,"")</f>
        <v>0.26940714051752379</v>
      </c>
      <c r="AO35" s="196">
        <f t="shared" ca="1" si="14"/>
        <v>23.94658753709199</v>
      </c>
      <c r="AP35" s="196" cm="1">
        <f t="array" aca="1" ref="AP35" ca="1">IF(ISTEXT(B35),_xll.BDH(B35 &amp;  " Equity","BEST_EPS",$Q$3,$Q$3,"BEST_FPERIOD_OVERRIDE=1BF","CDR=US","Fill=p"),"")</f>
        <v>7.7510000000000003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cm="1">
        <f t="array" ref="G36">_xll.BDP(B36&amp;" Equity","LAST PRICE")</f>
        <v>331.11</v>
      </c>
      <c r="H36" s="188" cm="1">
        <f t="array" ref="H36">G36/_xll.BDP(B36&amp;" Equity", "PREV_CLOSE_VAL")-1</f>
        <v>-5.7349833987319077E-4</v>
      </c>
      <c r="I36" s="187" cm="1">
        <f t="array" ref="I36">_xll.BDP(C36&amp;" Equity","LAST PRICE")</f>
        <v>407.97</v>
      </c>
      <c r="J36" s="188" cm="1">
        <f t="array" ref="J36">I36/_xll.BDP(C36&amp;" Equity", "PREV_CLOSE_VAL")-1</f>
        <v>1.1178307638923357E-2</v>
      </c>
      <c r="K36" s="189">
        <f t="shared" si="9"/>
        <v>0.81160379439664676</v>
      </c>
      <c r="L36" s="188" cm="1">
        <f t="array" ref="L36">K36/(_xll.BDP(B36&amp;" Equity", "PREV_CLOSE_VAL")/_xll.BDP(C36&amp;" Equity", "PREV_CLOSE_VAL"))-1</f>
        <v>-1.1621892884783991E-2</v>
      </c>
      <c r="M36" s="188"/>
      <c r="N36" s="190">
        <f t="shared" si="10"/>
        <v>0.63734550555509561</v>
      </c>
      <c r="O36" s="191">
        <f t="shared" si="17"/>
        <v>1.8234839319470703E-2</v>
      </c>
      <c r="P36" s="192" cm="1">
        <f t="array" ref="P36">_xll.BDP($A36&amp;" Index","VOLATILITY_30D")</f>
        <v>28.938690000000001</v>
      </c>
      <c r="Q36" s="192" cm="1">
        <f t="array" aca="1" ref="Q36" ca="1">(_xll.BDP(($B36&amp; " Equity"),"CORR_COEF", "BETA_OVERRIDE_REL_INDEX",($C36&amp; " Equity"),"BETA_OVERRIDE_END_DT",$Q$5,"BETA_OVERRIDE_START_DT",$Q$4))*100</f>
        <v>58.786515925134644</v>
      </c>
      <c r="R36" s="188"/>
      <c r="S36" s="188" cm="1">
        <f t="array" ref="S36">_xll.BDP($A36&amp;" Index","CHG_PCT_2D")/100</f>
        <v>2.5703239999999999E-2</v>
      </c>
      <c r="T36" s="188" cm="1">
        <f t="array" ref="T36">_xll.BDP($A36&amp;" Index","CHG_PCT_5D")/100</f>
        <v>-2.5019400000000002E-3</v>
      </c>
      <c r="U36" s="188" cm="1">
        <f t="array" ref="U36">K36/_xll.BDP($A36&amp;" Index","HIGH_52WEEK")-1</f>
        <v>-0.33935385071498025</v>
      </c>
      <c r="V36" s="188" cm="1">
        <f t="array" ref="V36">K36/_xll.BDP($A36&amp;" Index","LOW_52WEEK")-1</f>
        <v>3.0621080136441936E-2</v>
      </c>
      <c r="W36" s="188"/>
      <c r="X36" s="192" cm="1">
        <f t="array" ref="X36">_xll.BDP($A36&amp;" Index","RSI_14D")</f>
        <v>35.891849999999998</v>
      </c>
      <c r="Y36" s="193"/>
      <c r="Z36" s="194">
        <f t="shared" si="11"/>
        <v>-1</v>
      </c>
      <c r="AA36" s="193"/>
      <c r="AB36" s="194">
        <f t="shared" si="12"/>
        <v>-1</v>
      </c>
      <c r="AC36" s="193"/>
      <c r="AD36" s="188" t="e">
        <f t="shared" si="13"/>
        <v>#DIV/0!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2.1492852792738248</v>
      </c>
      <c r="AI36" s="196" cm="1">
        <f t="array" ref="AI36">(_xll.BDP(C36&amp;" Equity","SHORT_INT")/_xll.BDP(C36&amp;" Equity","VOLUME_AVG_90D"))</f>
        <v>1.1569450803484966</v>
      </c>
      <c r="AJ36" s="196" cm="1">
        <f t="array" ref="AJ36">(_xll.BDP(B36&amp;" Equity","SHORT_INT"))/((_xll.BDP(B36&amp;" Equity","EQY_FREE_FLOAT_PCT"))*(_xll.BDP(B36&amp;" Equity","EQY_SH_OUT_TOT_MULT_SH")))/100</f>
        <v>1.2477590154715748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5.1447555766492625E-2</v>
      </c>
      <c r="AN36" s="194">
        <f ca="1">IF(ISTEXT(B36),AP36/_xll.BDH(B36 &amp;  " Equity","BEST_EPS",$AN$3,$AN$3,"BEST_FPERIOD_OVERRIDE=1BF","CDR=US","Fill=p")-1,"")</f>
        <v>0.18597430406852244</v>
      </c>
      <c r="AO36" s="196">
        <f t="shared" ca="1" si="14"/>
        <v>29.891667418976258</v>
      </c>
      <c r="AP36" s="196" cm="1">
        <f t="array" aca="1" ref="AP36" ca="1">IF(ISTEXT(B36),_xll.BDH(B36 &amp;  " Equity","BEST_EPS",$Q$3,$Q$3,"BEST_FPERIOD_OVERRIDE=1BF","CDR=US","Fill=p"),"")</f>
        <v>11.077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cm="1">
        <f t="array" ref="G37">_xll.BDP(B37&amp;" Equity","LAST PRICE")</f>
        <v>78.66</v>
      </c>
      <c r="H37" s="188" cm="1">
        <f t="array" ref="H37">G37/_xll.BDP(B37&amp;" Equity", "PREV_CLOSE_VAL")-1</f>
        <v>-3.294475418144982E-3</v>
      </c>
      <c r="I37" s="187" cm="1">
        <f t="array" ref="I37">_xll.BDP(C37&amp;" Equity","LAST PRICE")</f>
        <v>407.97</v>
      </c>
      <c r="J37" s="188" cm="1">
        <f t="array" ref="J37">I37/_xll.BDP(C37&amp;" Equity", "PREV_CLOSE_VAL")-1</f>
        <v>1.1178307638923357E-2</v>
      </c>
      <c r="K37" s="189">
        <f t="shared" si="9"/>
        <v>0.19280829472755348</v>
      </c>
      <c r="L37" s="188" cm="1">
        <f t="array" ref="L37">K37/(_xll.BDP(B37&amp;" Equity", "PREV_CLOSE_VAL")/_xll.BDP(C37&amp;" Equity", "PREV_CLOSE_VAL"))-1</f>
        <v>-1.4312790284101373E-2</v>
      </c>
      <c r="M37" s="188"/>
      <c r="N37" s="190">
        <f t="shared" si="10"/>
        <v>0.77252894486955692</v>
      </c>
      <c r="O37" s="191">
        <f t="shared" si="17"/>
        <v>1.8527189666036548E-2</v>
      </c>
      <c r="P37" s="192" cm="1">
        <f t="array" ref="P37">_xll.BDP($A37&amp;" Index","VOLATILITY_30D")</f>
        <v>29.402650000000001</v>
      </c>
      <c r="Q37" s="192" cm="1">
        <f t="array" aca="1" ref="Q37" ca="1">(_xll.BDP(($B37&amp; " Equity"),"CORR_COEF", "BETA_OVERRIDE_REL_INDEX",($C37&amp; " Equity"),"BETA_OVERRIDE_END_DT",$Q$5,"BETA_OVERRIDE_START_DT",$Q$4))*100</f>
        <v>68.016774243498929</v>
      </c>
      <c r="R37" s="188"/>
      <c r="S37" s="188" cm="1">
        <f t="array" ref="S37">_xll.BDP($A37&amp;" Index","CHG_PCT_2D")/100</f>
        <v>-1.538367E-2</v>
      </c>
      <c r="T37" s="188" cm="1">
        <f t="array" ref="T37">_xll.BDP($A37&amp;" Index","CHG_PCT_5D")/100</f>
        <v>-6.4428680000000002E-2</v>
      </c>
      <c r="U37" s="188" cm="1">
        <f t="array" ref="U37">K37/_xll.BDP($A37&amp;" Index","HIGH_52WEEK")-1</f>
        <v>-0.59842481259751845</v>
      </c>
      <c r="V37" s="188" cm="1">
        <f t="array" ref="V37">K37/_xll.BDP($A37&amp;" Index","LOW_52WEEK")-1</f>
        <v>-1.0325968958251219E-2</v>
      </c>
      <c r="W37" s="188"/>
      <c r="X37" s="192" cm="1">
        <f t="array" ref="X37">_xll.BDP($A37&amp;" Index","RSI_14D")</f>
        <v>28.397970000000001</v>
      </c>
      <c r="Y37" s="193"/>
      <c r="Z37" s="194">
        <f t="shared" si="11"/>
        <v>-1</v>
      </c>
      <c r="AA37" s="193"/>
      <c r="AB37" s="194">
        <f t="shared" si="12"/>
        <v>-1</v>
      </c>
      <c r="AC37" s="193"/>
      <c r="AD37" s="188" t="e">
        <f t="shared" si="13"/>
        <v>#DIV/0!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2.1194372840924123</v>
      </c>
      <c r="AI37" s="196" cm="1">
        <f t="array" ref="AI37">(_xll.BDP(C37&amp;" Equity","SHORT_INT")/_xll.BDP(C37&amp;" Equity","VOLUME_AVG_90D"))</f>
        <v>1.1569450803484966</v>
      </c>
      <c r="AJ37" s="196" cm="1">
        <f t="array" ref="AJ37">(_xll.BDP(B37&amp;" Equity","SHORT_INT"))/((_xll.BDP(B37&amp;" Equity","EQY_FREE_FLOAT_PCT"))*(_xll.BDP(B37&amp;" Equity","EQY_SH_OUT_TOT_MULT_SH")))/100</f>
        <v>4.4445304442427469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2.1609326130224593E-2</v>
      </c>
      <c r="AN37" s="194">
        <f ca="1">IF(ISTEXT(B37),AP37/_xll.BDH(B37 &amp;  " Equity","BEST_EPS",$AN$3,$AN$3,"BEST_FPERIOD_OVERRIDE=1BF","CDR=US","Fill=p")-1,"")</f>
        <v>0.10860845418080833</v>
      </c>
      <c r="AO37" s="196">
        <f t="shared" ca="1" si="14"/>
        <v>21.892568883940996</v>
      </c>
      <c r="AP37" s="196" cm="1">
        <f t="array" aca="1" ref="AP37" ca="1">IF(ISTEXT(B37),_xll.BDH(B37 &amp;  " Equity","BEST_EPS",$Q$3,$Q$3,"BEST_FPERIOD_OVERRIDE=1BF","CDR=US","Fill=p"),"")</f>
        <v>3.593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cm="1">
        <f t="array" ref="G38">_xll.BDP(B38&amp;" Equity","LAST PRICE")</f>
        <v>555.37</v>
      </c>
      <c r="H38" s="188" cm="1">
        <f t="array" ref="H38">G38/_xll.BDP(B38&amp;" Equity", "PREV_CLOSE_VAL")-1</f>
        <v>3.0772657250505819E-2</v>
      </c>
      <c r="I38" s="187" cm="1">
        <f t="array" ref="I38">_xll.BDP(C38&amp;" Equity","LAST PRICE")</f>
        <v>199.1</v>
      </c>
      <c r="J38" s="188" cm="1">
        <f t="array" ref="J38">I38/_xll.BDP(C38&amp;" Equity", "PREV_CLOSE_VAL")-1</f>
        <v>5.1494345718900991E-3</v>
      </c>
      <c r="K38" s="189">
        <f t="shared" si="9"/>
        <v>2.7894023103967855</v>
      </c>
      <c r="L38" s="188" cm="1">
        <f t="array" ref="L38">K38/(_xll.BDP(B38&amp;" Equity", "PREV_CLOSE_VAL")/_xll.BDP(C38&amp;" Equity", "PREV_CLOSE_VAL"))-1</f>
        <v>2.549195353179412E-2</v>
      </c>
      <c r="M38" s="188"/>
      <c r="N38" s="190">
        <f t="shared" si="10"/>
        <v>1.7668881080578458</v>
      </c>
      <c r="O38" s="191">
        <f t="shared" si="17"/>
        <v>1.4427599243856332E-2</v>
      </c>
      <c r="P38" s="192" cm="1">
        <f t="array" ref="P38">_xll.BDP($A38&amp;" Index","VOLATILITY_30D")</f>
        <v>22.896599999999999</v>
      </c>
      <c r="Q38" s="192" cm="1">
        <f t="array" aca="1" ref="Q38" ca="1">(_xll.BDP(($B38&amp; " Equity"),"CORR_COEF", "BETA_OVERRIDE_REL_INDEX",($C38&amp; " Equity"),"BETA_OVERRIDE_END_DT",$Q$5,"BETA_OVERRIDE_START_DT",$Q$4))*100</f>
        <v>60.964597129622334</v>
      </c>
      <c r="R38" s="188"/>
      <c r="S38" s="188" cm="1">
        <f t="array" ref="S38">_xll.BDP($A38&amp;" Index","CHG_PCT_2D")/100</f>
        <v>9.0955629999999992E-3</v>
      </c>
      <c r="T38" s="188" cm="1">
        <f t="array" ref="T38">_xll.BDP($A38&amp;" Index","CHG_PCT_5D")/100</f>
        <v>4.4192769999999999E-2</v>
      </c>
      <c r="U38" s="188" cm="1">
        <f t="array" ref="U38">K38/_xll.BDP($A38&amp;" Index","HIGH_52WEEK")-1</f>
        <v>-0.15960595138625877</v>
      </c>
      <c r="V38" s="188" cm="1">
        <f t="array" ref="V38">K38/_xll.BDP($A38&amp;" Index","LOW_52WEEK")-1</f>
        <v>6.6264907167976839E-2</v>
      </c>
      <c r="W38" s="188"/>
      <c r="X38" s="192" cm="1">
        <f t="array" ref="X38">_xll.BDP($A38&amp;" Index","RSI_14D")</f>
        <v>42.488129999999998</v>
      </c>
      <c r="Y38" s="193"/>
      <c r="Z38" s="194">
        <f t="shared" si="11"/>
        <v>-1</v>
      </c>
      <c r="AA38" s="193"/>
      <c r="AB38" s="194">
        <f t="shared" si="12"/>
        <v>-1</v>
      </c>
      <c r="AC38" s="193"/>
      <c r="AD38" s="188" t="e">
        <f t="shared" si="13"/>
        <v>#DIV/0!</v>
      </c>
      <c r="AE38" s="188"/>
      <c r="AF38" s="195">
        <f>IF(ISTEXT(B38),_xll.BDP(B38 &amp; " Equity","EXPECTED_REPORT_DT")*1,"")</f>
        <v>46143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2.3458732704110981</v>
      </c>
      <c r="AI38" s="196" cm="1">
        <f t="array" ref="AI38">(_xll.BDP(C38&amp;" Equity","SHORT_INT")/_xll.BDP(C38&amp;" Equity","VOLUME_AVG_90D"))</f>
        <v>2.2263534874285078</v>
      </c>
      <c r="AJ38" s="196" cm="1">
        <f t="array" ref="AJ38">(_xll.BDP(B38&amp;" Equity","SHORT_INT"))/((_xll.BDP(B38&amp;" Equity","EQY_FREE_FLOAT_PCT"))*(_xll.BDP(B38&amp;" Equity","EQY_SH_OUT_TOT_MULT_SH")))/100</f>
        <v>0.87130229232761147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2.8602802760928636E-2</v>
      </c>
      <c r="AN38" s="194">
        <f ca="1">IF(ISTEXT(B38),AP38/_xll.BDH(B38 &amp;  " Equity","BEST_EPS",$AN$3,$AN$3,"BEST_FPERIOD_OVERRIDE=1BF","CDR=US","Fill=p")-1,"")</f>
        <v>5.468875663503292E-2</v>
      </c>
      <c r="AO38" s="196">
        <f t="shared" ca="1" si="14"/>
        <v>28.232931726907633</v>
      </c>
      <c r="AP38" s="196" cm="1">
        <f t="array" aca="1" ref="AP38" ca="1">IF(ISTEXT(B38),_xll.BDH(B38 &amp;  " Equity","BEST_EPS",$Q$3,$Q$3,"BEST_FPERIOD_OVERRIDE=1BF","CDR=US","Fill=p"),"")</f>
        <v>19.670999999999999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cm="1">
        <f t="array" ref="G39">_xll.BDP(B39&amp;" Equity","LAST PRICE")</f>
        <v>333.84</v>
      </c>
      <c r="H39" s="188" cm="1">
        <f t="array" ref="H39">G39/_xll.BDP(B39&amp;" Equity", "PREV_CLOSE_VAL")-1</f>
        <v>3.7317838610446463E-2</v>
      </c>
      <c r="I39" s="187" cm="1">
        <f t="array" ref="I39">_xll.BDP(C39&amp;" Equity","LAST PRICE")</f>
        <v>199.1</v>
      </c>
      <c r="J39" s="188" cm="1">
        <f t="array" ref="J39">I39/_xll.BDP(C39&amp;" Equity", "PREV_CLOSE_VAL")-1</f>
        <v>5.1494345718900991E-3</v>
      </c>
      <c r="K39" s="189">
        <f t="shared" si="9"/>
        <v>1.6767453540934203</v>
      </c>
      <c r="L39" s="188" cm="1">
        <f t="array" ref="L39">K39/(_xll.BDP(B39&amp;" Equity", "PREV_CLOSE_VAL")/_xll.BDP(C39&amp;" Equity", "PREV_CLOSE_VAL"))-1</f>
        <v>3.2003603575877726E-2</v>
      </c>
      <c r="M39" s="188"/>
      <c r="N39" s="190">
        <f t="shared" si="10"/>
        <v>2.2141797604329665</v>
      </c>
      <c r="O39" s="191">
        <f>P39/15.87/100</f>
        <v>1.4453931947069943E-2</v>
      </c>
      <c r="P39" s="192" cm="1">
        <f t="array" ref="P39">_xll.BDP($A39&amp;" Index","VOLATILITY_30D")</f>
        <v>22.938389999999998</v>
      </c>
      <c r="Q39" s="192" cm="1">
        <f t="array" aca="1" ref="Q39" ca="1">(_xll.BDP(($B39&amp; " Equity"),"CORR_COEF", "BETA_OVERRIDE_REL_INDEX",($C39&amp; " Equity"),"BETA_OVERRIDE_END_DT",$Q$5,"BETA_OVERRIDE_START_DT",$Q$4))*100</f>
        <v>48.086906010834653</v>
      </c>
      <c r="R39" s="188"/>
      <c r="S39" s="188" cm="1">
        <f t="array" ref="S39">_xll.BDP($A39&amp;" Index","CHG_PCT_2D")/100</f>
        <v>-3.9416809999999998E-3</v>
      </c>
      <c r="T39" s="188" cm="1">
        <f t="array" ref="T39">_xll.BDP($A39&amp;" Index","CHG_PCT_5D")/100</f>
        <v>9.7439520000000002E-3</v>
      </c>
      <c r="U39" s="188" cm="1">
        <f t="array" ref="U39">K39/_xll.BDP($A39&amp;" Index","HIGH_52WEEK")-1</f>
        <v>-0.19556251812613867</v>
      </c>
      <c r="V39" s="188" cm="1">
        <f t="array" ref="V39">K39/_xll.BDP($A39&amp;" Index","LOW_52WEEK")-1</f>
        <v>3.200206437508557E-2</v>
      </c>
      <c r="W39" s="188"/>
      <c r="X39" s="192" cm="1">
        <f t="array" ref="X39">_xll.BDP($A39&amp;" Index","RSI_14D")</f>
        <v>33.607300000000002</v>
      </c>
      <c r="Y39" s="193"/>
      <c r="Z39" s="194">
        <f t="shared" si="11"/>
        <v>-1</v>
      </c>
      <c r="AA39" s="193"/>
      <c r="AB39" s="194">
        <f t="shared" si="12"/>
        <v>-1</v>
      </c>
      <c r="AC39" s="193"/>
      <c r="AD39" s="188" t="e">
        <f t="shared" si="13"/>
        <v>#DIV/0!</v>
      </c>
      <c r="AE39" s="188"/>
      <c r="AF39" s="195">
        <f>IF(ISTEXT(B39),_xll.BDP(B39 &amp; " Equity","EXPECTED_REPORT_DT")*1,"")</f>
        <v>46141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3.2954845203891079</v>
      </c>
      <c r="AI39" s="196" cm="1">
        <f t="array" ref="AI39">(_xll.BDP(C39&amp;" Equity","SHORT_INT")/_xll.BDP(C39&amp;" Equity","VOLUME_AVG_90D"))</f>
        <v>2.2263534874285078</v>
      </c>
      <c r="AJ39" s="196" cm="1">
        <f t="array" ref="AJ39">(_xll.BDP(B39&amp;" Equity","SHORT_INT"))/((_xll.BDP(B39&amp;" Equity","EQY_FREE_FLOAT_PCT"))*(_xll.BDP(B39&amp;" Equity","EQY_SH_OUT_TOT_MULT_SH")))/100</f>
        <v>1.2231172169110915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1.5899454875832664E-2</v>
      </c>
      <c r="AN39" s="194">
        <f ca="1">IF(ISTEXT(B39),AP39/_xll.BDH(B39 &amp;  " Equity","BEST_EPS",$AN$3,$AN$3,"BEST_FPERIOD_OVERRIDE=1BF","CDR=US","Fill=p")-1,"")</f>
        <v>3.7260358688929962E-2</v>
      </c>
      <c r="AO39" s="196">
        <f t="shared" ca="1" si="14"/>
        <v>24.880011924280815</v>
      </c>
      <c r="AP39" s="196" cm="1">
        <f t="array" aca="1" ref="AP39" ca="1">IF(ISTEXT(B39),_xll.BDH(B39 &amp;  " Equity","BEST_EPS",$Q$3,$Q$3,"BEST_FPERIOD_OVERRIDE=1BF","CDR=US","Fill=p"),"")</f>
        <v>13.417999999999999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cm="1">
        <f t="array" ref="G40">_xll.BDP(B40&amp;" Equity","LAST PRICE")</f>
        <v>555.37</v>
      </c>
      <c r="H40" s="188" cm="1">
        <f t="array" ref="H40">G40/_xll.BDP(B40&amp;" Equity", "PREV_CLOSE_VAL")-1</f>
        <v>3.0772657250505819E-2</v>
      </c>
      <c r="I40" s="187" cm="1">
        <f t="array" ref="I40">_xll.BDP(C40&amp;" Equity","LAST PRICE")</f>
        <v>333.84</v>
      </c>
      <c r="J40" s="188" cm="1">
        <f t="array" ref="J40">I40/_xll.BDP(C40&amp;" Equity", "PREV_CLOSE_VAL")-1</f>
        <v>3.7317838610446463E-2</v>
      </c>
      <c r="K40" s="189">
        <f t="shared" si="9"/>
        <v>1.6635813563383659</v>
      </c>
      <c r="L40" s="188" cm="1">
        <f t="array" ref="L40">K40/(_xll.BDP(B40&amp;" Equity", "PREV_CLOSE_VAL")/_xll.BDP(C40&amp;" Equity", "PREV_CLOSE_VAL"))-1</f>
        <v>-6.3097163823079283E-3</v>
      </c>
      <c r="M40" s="188"/>
      <c r="N40" s="190">
        <f t="shared" si="10"/>
        <v>0.70680410259122273</v>
      </c>
      <c r="O40" s="191">
        <f>P40/15.87/100</f>
        <v>8.9271077504725904E-3</v>
      </c>
      <c r="P40" s="192" cm="1">
        <f t="array" ref="P40">_xll.BDP($A40&amp;" Index","VOLATILITY_30D")</f>
        <v>14.16732</v>
      </c>
      <c r="Q40" s="192" cm="1">
        <f t="array" aca="1" ref="Q40" ca="1">(_xll.BDP(($B40&amp; " Equity"),"CORR_COEF", "BETA_OVERRIDE_REL_INDEX",($C40&amp; " Equity"),"BETA_OVERRIDE_END_DT",$Q$5,"BETA_OVERRIDE_START_DT",$Q$4))*100</f>
        <v>85.537203005056512</v>
      </c>
      <c r="R40" s="188"/>
      <c r="S40" s="188" cm="1">
        <f t="array" ref="S40">_xll.BDP($A40&amp;" Index","CHG_PCT_2D")/100</f>
        <v>1.3090640000000001E-2</v>
      </c>
      <c r="T40" s="188" cm="1">
        <f t="array" ref="T40">_xll.BDP($A40&amp;" Index","CHG_PCT_5D")/100</f>
        <v>3.4117829999999995E-2</v>
      </c>
      <c r="U40" s="188" cm="1">
        <f t="array" ref="U40">K40/_xll.BDP($A40&amp;" Index","HIGH_52WEEK")-1</f>
        <v>-4.002922396008779E-2</v>
      </c>
      <c r="V40" s="188" cm="1">
        <f t="array" ref="V40">K40/_xll.BDP($A40&amp;" Index","LOW_52WEEK")-1</f>
        <v>8.8083246455557207E-2</v>
      </c>
      <c r="W40" s="188"/>
      <c r="X40" s="192" cm="1">
        <f t="array" ref="X40">_xll.BDP($A40&amp;" Index","RSI_14D")</f>
        <v>62.410969999999999</v>
      </c>
      <c r="Y40" s="193">
        <v>1.67</v>
      </c>
      <c r="Z40" s="188">
        <f t="shared" si="11"/>
        <v>3.8583286817794882E-3</v>
      </c>
      <c r="AA40" s="193"/>
      <c r="AB40" s="194">
        <f t="shared" si="12"/>
        <v>-1</v>
      </c>
      <c r="AC40" s="193"/>
      <c r="AD40" s="188" t="e">
        <f t="shared" si="13"/>
        <v>#DIV/0!</v>
      </c>
      <c r="AE40" s="188"/>
      <c r="AF40" s="195">
        <f>IF(ISTEXT(B40),_xll.BDP(B40 &amp; " Equity","EXPECTED_REPORT_DT")*1,"")</f>
        <v>46143</v>
      </c>
      <c r="AG40" s="195">
        <f>IF(ISTEXT(C40),_xll.BDP(C40 &amp; " Equity","EXPECTED_REPORT_DT")*1,"")</f>
        <v>46141</v>
      </c>
      <c r="AH40" s="196" cm="1">
        <f t="array" ref="AH40">(_xll.BDP(B40&amp;" Equity","SHORT_INT")/_xll.BDP(B40&amp;" Equity","VOLUME_AVG_90D"))</f>
        <v>2.3458732704110981</v>
      </c>
      <c r="AI40" s="196" cm="1">
        <f t="array" ref="AI40">(_xll.BDP(C40&amp;" Equity","SHORT_INT")/_xll.BDP(C40&amp;" Equity","VOLUME_AVG_90D"))</f>
        <v>3.2954845203891079</v>
      </c>
      <c r="AJ40" s="196" cm="1">
        <f t="array" ref="AJ40">(_xll.BDP(B40&amp;" Equity","SHORT_INT"))/((_xll.BDP(B40&amp;" Equity","EQY_FREE_FLOAT_PCT"))*(_xll.BDP(B40&amp;" Equity","EQY_SH_OUT_TOT_MULT_SH")))/100</f>
        <v>0.87130229232761147</v>
      </c>
      <c r="AK40" s="196" cm="1">
        <f t="array" ref="AK40">(_xll.BDP(C40&amp;" Equity","SHORT_INT"))/((_xll.BDP(C40&amp;" Equity","EQY_FREE_FLOAT_PCT"))*(_xll.BDP(C40&amp;" Equity","EQY_SH_OUT_TOT_MULT_SH")))/100</f>
        <v>1.2231172169110915</v>
      </c>
      <c r="AM40" s="194">
        <f ca="1">IF(ISTEXT(B40),AP40/_xll.BDH(B40 &amp;  " Equity","BEST_EPS",$AM$3,$AM$3,"BEST_FPERIOD_OVERRIDE=1BF","CDR=US","Fill=p")-1,"")</f>
        <v>2.8602802760928636E-2</v>
      </c>
      <c r="AN40" s="194">
        <f ca="1">IF(ISTEXT(B40),AP40/_xll.BDH(B40 &amp;  " Equity","BEST_EPS",$AN$3,$AN$3,"BEST_FPERIOD_OVERRIDE=1BF","CDR=US","Fill=p")-1,"")</f>
        <v>5.468875663503292E-2</v>
      </c>
      <c r="AO40" s="196">
        <f t="shared" ca="1" si="14"/>
        <v>28.232931726907633</v>
      </c>
      <c r="AP40" s="196" cm="1">
        <f t="array" aca="1" ref="AP40" ca="1">IF(ISTEXT(B40),_xll.BDH(B40 &amp;  " Equity","BEST_EPS",$Q$3,$Q$3,"BEST_FPERIOD_OVERRIDE=1BF","CDR=US","Fill=p"),"")</f>
        <v>19.670999999999999</v>
      </c>
      <c r="AR40" s="194">
        <f ca="1">IF(ISTEXT(C40),AU40/_xll.BDH(C40 &amp;  " Equity","BEST_EPS",$AM$3,$AM$3,"BEST_FPERIOD_OVERRIDE=1BF","CDR=US","Fill=p")-1,"")</f>
        <v>1.5899454875832664E-2</v>
      </c>
      <c r="AS40" s="194">
        <f ca="1">IF(ISTEXT(C40),AU40/_xll.BDH(C40 &amp;  " Equity","BEST_EPS",$AN$3,$AN$3,"BEST_FPERIOD_OVERRIDE=1BF","CDR=US","Fill=p")-1,"")</f>
        <v>3.7260358688929962E-2</v>
      </c>
      <c r="AT40" s="196">
        <f t="shared" ca="1" si="15"/>
        <v>24.880011924280815</v>
      </c>
      <c r="AU40" s="196" cm="1">
        <f t="array" aca="1" ref="AU40" ca="1">IF(ISTEXT(C40),_xll.BDH(C40 &amp;  " Equity","BEST_EPS",$Q$3,$Q$3,"BEST_FPERIOD_OVERRIDE=1BF","CDR=US","Fill=p"),"")</f>
        <v>13.417999999999999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cm="1">
        <f t="array" ref="G41">_xll.BDP(B41&amp;" Equity","LAST PRICE")</f>
        <v>218.48</v>
      </c>
      <c r="H41" s="188" cm="1">
        <f t="array" ref="H41">G41/_xll.BDP(B41&amp;" Equity", "PREV_CLOSE_VAL")-1</f>
        <v>-6.5026601791642324E-3</v>
      </c>
      <c r="I41" s="187" cm="1">
        <f t="array" ref="I41">_xll.BDP(C41&amp;" Equity","LAST PRICE")</f>
        <v>626.14</v>
      </c>
      <c r="J41" s="188" cm="1">
        <f t="array" ref="J41">I41/_xll.BDP(C41&amp;" Equity", "PREV_CLOSE_VAL")-1</f>
        <v>6.8663868654219584E-3</v>
      </c>
      <c r="K41" s="189">
        <f t="shared" si="9"/>
        <v>0.3489315488548887</v>
      </c>
      <c r="L41" s="188" cm="1">
        <f t="array" ref="L41">K41/(_xll.BDP(B41&amp;" Equity", "PREV_CLOSE_VAL")/_xll.BDP(C41&amp;" Equity", "PREV_CLOSE_VAL"))-1</f>
        <v>-1.3277876011142609E-2</v>
      </c>
      <c r="M41" s="188"/>
      <c r="N41" s="190">
        <f t="shared" si="10"/>
        <v>1.0848122211162328</v>
      </c>
      <c r="O41" s="191">
        <f t="shared" si="17"/>
        <v>1.2239792060491495E-2</v>
      </c>
      <c r="P41" s="192" cm="1">
        <f t="array" ref="P41">_xll.BDP($A41&amp;" Index","VOLATILITY_30D")</f>
        <v>19.42455</v>
      </c>
      <c r="Q41" s="192" cm="1">
        <f t="array" aca="1" ref="Q41" ca="1">(_xll.BDP(($B41&amp; " Equity"),"CORR_COEF", "BETA_OVERRIDE_REL_INDEX",($C41&amp; " Equity"),"BETA_OVERRIDE_END_DT",$Q$5,"BETA_OVERRIDE_START_DT",$Q$4))*100</f>
        <v>54.92698</v>
      </c>
      <c r="R41" s="188"/>
      <c r="S41" s="188" cm="1">
        <f t="array" ref="S41">_xll.BDP($A41&amp;" Index","CHG_PCT_2D")/100</f>
        <v>-1.4272100000000001E-2</v>
      </c>
      <c r="T41" s="188" cm="1">
        <f t="array" ref="T41">_xll.BDP($A41&amp;" Index","CHG_PCT_5D")/100</f>
        <v>5.8261039999999995E-3</v>
      </c>
      <c r="U41" s="188" cm="1">
        <f t="array" ref="U41">K41/_xll.BDP($A41&amp;" Index","HIGH_52WEEK")-1</f>
        <v>-6.7476752218481262E-2</v>
      </c>
      <c r="V41" s="188" cm="1">
        <f t="array" ref="V41">K41/_xll.BDP($A41&amp;" Index","LOW_52WEEK")-1</f>
        <v>0.29229120719561763</v>
      </c>
      <c r="W41" s="188"/>
      <c r="X41" s="192" cm="1">
        <f t="array" ref="X41">_xll.BDP($A41&amp;" Index","RSI_14D")</f>
        <v>59.834440000000001</v>
      </c>
      <c r="Y41" s="193"/>
      <c r="Z41" s="194">
        <f t="shared" si="11"/>
        <v>-1</v>
      </c>
      <c r="AA41" s="193"/>
      <c r="AB41" s="194">
        <f t="shared" si="12"/>
        <v>-1</v>
      </c>
      <c r="AC41" s="193"/>
      <c r="AD41" s="188" t="e">
        <f t="shared" si="13"/>
        <v>#DIV/0!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0.8060751828250744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6.0834460932870371E-3</v>
      </c>
      <c r="AN41" s="194">
        <f ca="1">IF(ISTEXT(B41),AP41/_xll.BDH(B41 &amp;  " Equity","BEST_EPS",$AN$3,$AN$3,"BEST_FPERIOD_OVERRIDE=1BF","CDR=US","Fill=p")-1,"")</f>
        <v>5.4193714700850659E-2</v>
      </c>
      <c r="AO41" s="196">
        <f t="shared" ca="1" si="14"/>
        <v>24.284459857503304</v>
      </c>
      <c r="AP41" s="196" cm="1">
        <f t="array" aca="1" ref="AP41" ca="1">IF(ISTEXT(B41),_xll.BDH(B41 &amp;  " Equity","BEST_EPS",$Q$3,$Q$3,"BEST_FPERIOD_OVERRIDE=1BF","CDR=US","Fill=p"),"")</f>
        <v>8.9967000000000006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cm="1">
        <f t="array" ref="G42">_xll.BDP(B42&amp;" Equity","LAST PRICE")</f>
        <v>218.48</v>
      </c>
      <c r="H42" s="188" cm="1">
        <f t="array" ref="H42">G42/_xll.BDP(B42&amp;" Equity", "PREV_CLOSE_VAL")-1</f>
        <v>-6.5026601791642324E-3</v>
      </c>
      <c r="I42" s="187" cm="1">
        <f t="array" ref="I42">_xll.BDP(C42&amp;" Equity","LAST PRICE")</f>
        <v>42.62</v>
      </c>
      <c r="J42" s="188" cm="1">
        <f t="array" ref="J42">I42/_xll.BDP(C42&amp;" Equity", "PREV_CLOSE_VAL")-1</f>
        <v>-1.4566473988439355E-2</v>
      </c>
      <c r="K42" s="189">
        <f t="shared" ref="K42:K55" si="18">G42/I42</f>
        <v>5.1262318160488034</v>
      </c>
      <c r="L42" s="188" cm="1">
        <f t="array" ref="L42">K42/(_xll.BDP(B42&amp;" Equity", "PREV_CLOSE_VAL")/_xll.BDP(C42&amp;" Equity", "PREV_CLOSE_VAL"))-1</f>
        <v>8.1830114324530356E-3</v>
      </c>
      <c r="M42" s="188"/>
      <c r="N42" s="190">
        <f t="shared" ref="N42:N55" si="19">ABS(L42/O42)</f>
        <v>0.77118636967373067</v>
      </c>
      <c r="O42" s="191">
        <f t="shared" si="17"/>
        <v>1.0610938878386893E-2</v>
      </c>
      <c r="P42" s="192" cm="1">
        <f t="array" ref="P42">_xll.BDP($A42&amp;" Index","VOLATILITY_30D")</f>
        <v>16.839559999999999</v>
      </c>
      <c r="Q42" s="192" cm="1">
        <f t="array" aca="1" ref="Q42" ca="1">(_xll.BDP(($B42&amp; " Equity"),"CORR_COEF", "BETA_OVERRIDE_REL_INDEX",($C42&amp; " Equity"),"BETA_OVERRIDE_END_DT",$Q$5,"BETA_OVERRIDE_START_DT",$Q$4))*100</f>
        <v>62.602579999999996</v>
      </c>
      <c r="R42" s="188"/>
      <c r="S42" s="188" cm="1">
        <f t="array" ref="S42">_xll.BDP($A42&amp;" Index","CHG_PCT_2D")/100</f>
        <v>7.3252220000000002E-3</v>
      </c>
      <c r="T42" s="188" cm="1">
        <f t="array" ref="T42">_xll.BDP($A42&amp;" Index","CHG_PCT_5D")/100</f>
        <v>1.2984809999999999E-2</v>
      </c>
      <c r="U42" s="188" cm="1">
        <f t="array" ref="U42">K42/_xll.BDP($A42&amp;" Index","HIGH_52WEEK")-1</f>
        <v>-1.1219848767687002E-2</v>
      </c>
      <c r="V42" s="188" cm="1">
        <f t="array" ref="V42">K42/_xll.BDP($A42&amp;" Index","LOW_52WEEK")-1</f>
        <v>0.56632337524942211</v>
      </c>
      <c r="W42" s="188"/>
      <c r="X42" s="192" cm="1">
        <f t="array" ref="X42">_xll.BDP($A42&amp;" Index","RSI_14D")</f>
        <v>56.752589999999998</v>
      </c>
      <c r="Y42" s="193"/>
      <c r="Z42" s="194">
        <f t="shared" ref="Z42:Z55" si="20">Y42/K42-1</f>
        <v>-1</v>
      </c>
      <c r="AA42" s="193"/>
      <c r="AB42" s="194">
        <f t="shared" ref="AB42:AB55" si="21">AA42/K42-1</f>
        <v>-1</v>
      </c>
      <c r="AC42" s="193"/>
      <c r="AD42" s="188" t="e">
        <f t="shared" ref="AD42:AD55" si="22">K42/AC42-1</f>
        <v>#DIV/0!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1.0828375162681014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6.0834460932870371E-3</v>
      </c>
      <c r="AN42" s="194">
        <f ca="1">IF(ISTEXT(B42),AP42/_xll.BDH(B42 &amp;  " Equity","BEST_EPS",$AN$3,$AN$3,"BEST_FPERIOD_OVERRIDE=1BF","CDR=US","Fill=p")-1,"")</f>
        <v>5.4193714700850659E-2</v>
      </c>
      <c r="AO42" s="196">
        <f t="shared" ref="AO42:AO55" ca="1" si="23">G42/AP42</f>
        <v>24.284459857503304</v>
      </c>
      <c r="AP42" s="196" cm="1">
        <f t="array" aca="1" ref="AP42" ca="1">IF(ISTEXT(B42),_xll.BDH(B42 &amp;  " Equity","BEST_EPS",$Q$3,$Q$3,"BEST_FPERIOD_OVERRIDE=1BF","CDR=US","Fill=p"),"")</f>
        <v>8.9967000000000006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cm="1">
        <f t="array" ref="G44">_xll.BDP(B44&amp;" Equity","LAST PRICE")</f>
        <v>695.41</v>
      </c>
      <c r="H44" s="188" cm="1">
        <f t="array" ref="H44">G44/_xll.BDP(B44&amp;" Equity", "PREV_CLOSE_VAL")-1</f>
        <v>4.9713137852795963E-3</v>
      </c>
      <c r="I44" s="187" cm="1">
        <f t="array" ref="I44">_xll.BDP(C44&amp;" Equity","LAST PRICE")</f>
        <v>199.1</v>
      </c>
      <c r="J44" s="188" cm="1">
        <f t="array" ref="J44">I44/_xll.BDP(C44&amp;" Equity", "PREV_CLOSE_VAL")-1</f>
        <v>5.1494345718900991E-3</v>
      </c>
      <c r="K44" s="189">
        <f t="shared" si="18"/>
        <v>3.4927674535409343</v>
      </c>
      <c r="L44" s="188" cm="1">
        <f t="array" ref="L44">K44/(_xll.BDP(B44&amp;" Equity", "PREV_CLOSE_VAL")/_xll.BDP(C44&amp;" Equity", "PREV_CLOSE_VAL"))-1</f>
        <v>-1.7720826424794112E-4</v>
      </c>
      <c r="M44" s="188"/>
      <c r="N44" s="190">
        <f t="shared" si="19"/>
        <v>4.0004574063068378E-2</v>
      </c>
      <c r="O44" s="191">
        <f t="shared" si="17"/>
        <v>4.4297000630119723E-3</v>
      </c>
      <c r="P44" s="192" cm="1">
        <f t="array" ref="P44">_xll.BDP($A44&amp;" Index","VOLATILITY_30D")</f>
        <v>7.0299339999999999</v>
      </c>
      <c r="Q44" s="192" cm="1">
        <f t="array" aca="1" ref="Q44" ca="1">(_xll.BDP(($B44&amp; " Equity"),"CORR_COEF", "BETA_OVERRIDE_REL_INDEX",($C44&amp; " Equity"),"BETA_OVERRIDE_END_DT",$Q$5,"BETA_OVERRIDE_START_DT",$Q$4))*100</f>
        <v>74.823686440415045</v>
      </c>
      <c r="R44" s="188"/>
      <c r="S44" s="188" cm="1">
        <f t="array" ref="S44">_xll.BDP($A44&amp;" Index","CHG_PCT_2D")/100</f>
        <v>5.6320369999999999E-4</v>
      </c>
      <c r="T44" s="188" cm="1">
        <f t="array" ref="T44">_xll.BDP($A44&amp;" Index","CHG_PCT_5D")/100</f>
        <v>6.0911249999999993E-3</v>
      </c>
      <c r="U44" s="188" cm="1">
        <f t="array" ref="U44">K44/_xll.BDP($A44&amp;" Index","HIGH_52WEEK")-1</f>
        <v>-4.3056435883270239E-2</v>
      </c>
      <c r="V44" s="188" cm="1">
        <f t="array" ref="V44">K44/_xll.BDP($A44&amp;" Index","LOW_52WEEK")-1</f>
        <v>8.6512245009094046E-2</v>
      </c>
      <c r="W44" s="188"/>
      <c r="X44" s="192" cm="1">
        <f t="array" ref="X44">_xll.BDP($A44&amp;" Index","RSI_14D")</f>
        <v>47.031939999999999</v>
      </c>
      <c r="Y44" s="193"/>
      <c r="Z44" s="194">
        <f t="shared" si="20"/>
        <v>-1</v>
      </c>
      <c r="AA44" s="193"/>
      <c r="AB44" s="194">
        <f t="shared" si="21"/>
        <v>-1</v>
      </c>
      <c r="AC44" s="193"/>
      <c r="AD44" s="188" t="e">
        <f t="shared" si="22"/>
        <v>#DIV/0!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1.3478003953964059</v>
      </c>
      <c r="AI44" s="196" cm="1">
        <f t="array" ref="AI44">(_xll.BDP(C44&amp;" Equity","SHORT_INT")/_xll.BDP(C44&amp;" Equity","VOLUME_AVG_90D"))</f>
        <v>2.2263534874285078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cm="1">
        <f t="array" ref="G45">_xll.BDP(B45&amp;" Equity","LAST PRICE")</f>
        <v>626.14</v>
      </c>
      <c r="H45" s="188" cm="1">
        <f t="array" ref="H45">G45/_xll.BDP(B45&amp;" Equity", "PREV_CLOSE_VAL")-1</f>
        <v>6.8663868654219584E-3</v>
      </c>
      <c r="I45" s="187" cm="1">
        <f t="array" ref="I45">_xll.BDP(C45&amp;" Equity","LAST PRICE")</f>
        <v>104.54</v>
      </c>
      <c r="J45" s="188" cm="1">
        <f t="array" ref="J45">I45/_xll.BDP(C45&amp;" Equity", "PREV_CLOSE_VAL")-1</f>
        <v>6.4503706556271467E-3</v>
      </c>
      <c r="K45" s="189">
        <f t="shared" si="18"/>
        <v>5.9894777118806193</v>
      </c>
      <c r="L45" s="188" cm="1">
        <f t="array" ref="L45">K45/(_xll.BDP(B45&amp;" Equity", "PREV_CLOSE_VAL")/_xll.BDP(C45&amp;" Equity", "PREV_CLOSE_VAL"))-1</f>
        <v>4.1334994941055747E-4</v>
      </c>
      <c r="M45" s="188"/>
      <c r="N45" s="190">
        <f t="shared" si="19"/>
        <v>0.10568619147619204</v>
      </c>
      <c r="O45" s="191">
        <f t="shared" si="17"/>
        <v>3.9111064902331441E-3</v>
      </c>
      <c r="P45" s="192" cm="1">
        <f t="array" ref="P45">_xll.BDP($A45&amp;" Index","VOLATILITY_30D")</f>
        <v>6.2069260000000002</v>
      </c>
      <c r="Q45" s="192" cm="1">
        <f t="array" aca="1" ref="Q45" ca="1">(_xll.BDP(($B45&amp; " Equity"),"CORR_COEF", "BETA_OVERRIDE_REL_INDEX",($C45&amp; " Equity"),"BETA_OVERRIDE_END_DT",$Q$5,"BETA_OVERRIDE_START_DT",$Q$4))*100</f>
        <v>89.573670638584673</v>
      </c>
      <c r="R45" s="188"/>
      <c r="S45" s="188" cm="1">
        <f t="array" ref="S45">_xll.BDP($A45&amp;" Index","CHG_PCT_2D")/100</f>
        <v>3.703727E-3</v>
      </c>
      <c r="T45" s="188" cm="1">
        <f t="array" ref="T45">_xll.BDP($A45&amp;" Index","CHG_PCT_5D")/100</f>
        <v>1.103292E-2</v>
      </c>
      <c r="U45" s="188" cm="1">
        <f t="array" ref="U45">K45/_xll.BDP($A45&amp;" Index","HIGH_52WEEK")-1</f>
        <v>-2.0233739307001231E-2</v>
      </c>
      <c r="V45" s="188" cm="1">
        <f t="array" ref="V45">K45/_xll.BDP($A45&amp;" Index","LOW_52WEEK")-1</f>
        <v>0.11890948407621549</v>
      </c>
      <c r="W45" s="188"/>
      <c r="X45" s="192" cm="1">
        <f t="array" ref="X45">_xll.BDP($A45&amp;" Index","RSI_14D")</f>
        <v>55.612749999999998</v>
      </c>
      <c r="Y45" s="193"/>
      <c r="Z45" s="194">
        <f t="shared" si="20"/>
        <v>-1</v>
      </c>
      <c r="AA45" s="193"/>
      <c r="AB45" s="194">
        <f t="shared" si="21"/>
        <v>-1</v>
      </c>
      <c r="AC45" s="193"/>
      <c r="AD45" s="188" t="e">
        <f t="shared" si="22"/>
        <v>#DIV/0!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0.8060751828250744</v>
      </c>
      <c r="AI45" s="196" cm="1">
        <f t="array" ref="AI45">(_xll.BDP(C45&amp;" Equity","SHORT_INT")/_xll.BDP(C45&amp;" Equity","VOLUME_AVG_90D"))</f>
        <v>4.2036819822373541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cm="1">
        <f t="array" ref="G46">_xll.BDP(B46&amp;" Equity","LAST PRICE")</f>
        <v>626.14</v>
      </c>
      <c r="H46" s="188" cm="1">
        <f t="array" ref="H46">G46/_xll.BDP(B46&amp;" Equity", "PREV_CLOSE_VAL")-1</f>
        <v>6.8663868654219584E-3</v>
      </c>
      <c r="I46" s="187" cm="1">
        <f t="array" ref="I46">_xll.BDP(C46&amp;" Equity","LAST PRICE")</f>
        <v>89.52</v>
      </c>
      <c r="J46" s="188" cm="1">
        <f t="array" ref="J46">I46/_xll.BDP(C46&amp;" Equity", "PREV_CLOSE_VAL")-1</f>
        <v>-8.7476469936884627E-3</v>
      </c>
      <c r="K46" s="189">
        <f>G46/I46</f>
        <v>6.9944146559428066</v>
      </c>
      <c r="L46" s="188" cm="1">
        <f t="array" ref="L46">K46/(_xll.BDP(B46&amp;" Equity", "PREV_CLOSE_VAL")/_xll.BDP(C46&amp;" Equity", "PREV_CLOSE_VAL"))-1</f>
        <v>1.5751825266044239E-2</v>
      </c>
      <c r="M46" s="188"/>
      <c r="N46" s="190">
        <f>ABS(L46/O46)</f>
        <v>1.27285176069897</v>
      </c>
      <c r="O46" s="191">
        <f>P46/15.87/100</f>
        <v>1.2375223692501576E-2</v>
      </c>
      <c r="P46" s="192" cm="1">
        <f t="array" ref="P46">_xll.BDP($A46&amp;" Index","VOLATILITY_30D")</f>
        <v>19.639479999999999</v>
      </c>
      <c r="Q46" s="192" cm="1">
        <f t="array" aca="1" ref="Q46" ca="1">(_xll.BDP(($B46&amp; " Equity"),"CORR_COEF", "BETA_OVERRIDE_REL_INDEX",($C46&amp; " Equity"),"BETA_OVERRIDE_END_DT",$Q$5,"BETA_OVERRIDE_START_DT",$Q$4))*100</f>
        <v>74.261566576562657</v>
      </c>
      <c r="R46" s="188"/>
      <c r="S46" s="188" cm="1">
        <f t="array" ref="S46">_xll.BDP($A46&amp;" Index","CHG_PCT_2D")/100</f>
        <v>2.1653250000000002E-2</v>
      </c>
      <c r="T46" s="188" cm="1">
        <f t="array" ref="T46">_xll.BDP($A46&amp;" Index","CHG_PCT_5D")/100</f>
        <v>0.1010113</v>
      </c>
      <c r="U46" s="188" cm="1">
        <f t="array" ref="U46">K46/_xll.BDP($A46&amp;" Index","HIGH_52WEEK")-1</f>
        <v>1.5751589242269715E-2</v>
      </c>
      <c r="V46" s="188" cm="1">
        <f t="array" ref="V46">K46/_xll.BDP($A46&amp;" Index","LOW_52WEEK")-1</f>
        <v>0.43830396629682467</v>
      </c>
      <c r="W46" s="188"/>
      <c r="X46" s="192" cm="1">
        <f t="array" ref="X46">_xll.BDP($A46&amp;" Index","RSI_14D")</f>
        <v>84.480850000000004</v>
      </c>
      <c r="Y46" s="193"/>
      <c r="Z46" s="194">
        <f>Y46/K46-1</f>
        <v>-1</v>
      </c>
      <c r="AA46" s="193"/>
      <c r="AB46" s="194">
        <f>AA46/K46-1</f>
        <v>-1</v>
      </c>
      <c r="AC46" s="193"/>
      <c r="AD46" s="188" t="e">
        <f>K46/AC46-1</f>
        <v>#DIV/0!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0.8060751828250744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cm="1">
        <f t="array" ref="G47">_xll.BDP(B47&amp;" Equity","LAST PRICE")</f>
        <v>695.41</v>
      </c>
      <c r="H47" s="188" cm="1">
        <f t="array" ref="H47">G47/_xll.BDP(B47&amp;" Equity", "PREV_CLOSE_VAL")-1</f>
        <v>4.9713137852795963E-3</v>
      </c>
      <c r="I47" s="187" cm="1">
        <f t="array" ref="I47">_xll.BDP(C47&amp;" Equity","LAST PRICE")</f>
        <v>626.14</v>
      </c>
      <c r="J47" s="188" cm="1">
        <f t="array" ref="J47">I47/_xll.BDP(C47&amp;" Equity", "PREV_CLOSE_VAL")-1</f>
        <v>6.8663868654219584E-3</v>
      </c>
      <c r="K47" s="189">
        <f t="shared" si="18"/>
        <v>1.1106302104960553</v>
      </c>
      <c r="L47" s="188" cm="1">
        <f t="array" ref="L47">K47/(_xll.BDP(B47&amp;" Equity", "PREV_CLOSE_VAL")/_xll.BDP(C47&amp;" Equity", "PREV_CLOSE_VAL"))-1</f>
        <v>-1.8821495134444532E-3</v>
      </c>
      <c r="M47" s="188"/>
      <c r="N47" s="190">
        <f t="shared" si="19"/>
        <v>6.1961681254935196E-2</v>
      </c>
      <c r="O47" s="191">
        <f t="shared" si="17"/>
        <v>3.0376023944549465E-2</v>
      </c>
      <c r="P47" s="192" cm="1">
        <f t="array" ref="P47">_xll.BDP($A47&amp;" Index","VOLATILITY_30D")</f>
        <v>48.20675</v>
      </c>
      <c r="Q47" s="192" cm="1">
        <f t="array" aca="1" ref="Q47" ca="1">(_xll.BDP(($B47&amp; " Equity"),"CORR_COEF", "BETA_OVERRIDE_REL_INDEX",($C47&amp; " Equity"),"BETA_OVERRIDE_END_DT",$Q$5,"BETA_OVERRIDE_START_DT",$Q$4))*100</f>
        <v>93.639043780393592</v>
      </c>
      <c r="R47" s="188"/>
      <c r="S47" s="188" cm="1">
        <f t="array" ref="S47">_xll.BDP($A47&amp;" Index","CHG_PCT_2D")/100</f>
        <v>5.9749879999999998E-2</v>
      </c>
      <c r="T47" s="188" cm="1">
        <f t="array" ref="T47">_xll.BDP($A47&amp;" Index","CHG_PCT_5D")/100</f>
        <v>2.3255810000000002E-2</v>
      </c>
      <c r="U47" s="188" cm="1">
        <f t="array" ref="U47">K47/_xll.BDP($A47&amp;" Index","HIGH_52WEEK")-1</f>
        <v>-0.98769793741143053</v>
      </c>
      <c r="V47" s="188" cm="1">
        <f t="array" ref="V47">K47/_xll.BDP($A47&amp;" Index","LOW_52WEEK")-1</f>
        <v>-0.97827830607283284</v>
      </c>
      <c r="W47" s="188"/>
      <c r="X47" s="192" cm="1">
        <f t="array" ref="X47">_xll.BDP($A47&amp;" Index","RSI_14D")</f>
        <v>55.883690000000001</v>
      </c>
      <c r="Y47" s="193"/>
      <c r="Z47" s="194">
        <f t="shared" si="20"/>
        <v>-1</v>
      </c>
      <c r="AA47" s="193"/>
      <c r="AB47" s="194">
        <f t="shared" si="21"/>
        <v>-1</v>
      </c>
      <c r="AC47" s="193"/>
      <c r="AD47" s="188" t="e">
        <f t="shared" si="22"/>
        <v>#DIV/0!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1.3478003953964059</v>
      </c>
      <c r="AI47" s="196" cm="1">
        <f t="array" ref="AI47">(_xll.BDP(C47&amp;" Equity","SHORT_INT")/_xll.BDP(C47&amp;" Equity","VOLUME_AVG_90D"))</f>
        <v>0.8060751828250744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cm="1">
        <f t="array" ref="G48">_xll.BDP(B48&amp;" Equity","LAST PRICE")</f>
        <v>695.41</v>
      </c>
      <c r="H48" s="188" cm="1">
        <f t="array" ref="H48">G48/_xll.BDP(B48&amp;" Equity", "PREV_CLOSE_VAL")-1</f>
        <v>4.9713137852795963E-3</v>
      </c>
      <c r="I48" s="187" cm="1">
        <f t="array" ref="I48">_xll.BDP(C48&amp;" Equity","LAST PRICE")</f>
        <v>262.18</v>
      </c>
      <c r="J48" s="188" cm="1">
        <f t="array" ref="J48">I48/_xll.BDP(C48&amp;" Equity", "PREV_CLOSE_VAL")-1</f>
        <v>9.7438860003853378E-3</v>
      </c>
      <c r="K48" s="189">
        <f t="shared" si="18"/>
        <v>2.6524143718056297</v>
      </c>
      <c r="L48" s="188" cm="1">
        <f t="array" ref="L48">K48/(_xll.BDP(B48&amp;" Equity", "PREV_CLOSE_VAL")/_xll.BDP(C48&amp;" Equity", "PREV_CLOSE_VAL"))-1</f>
        <v>-4.7265175667562387E-3</v>
      </c>
      <c r="M48" s="188"/>
      <c r="N48" s="190">
        <f t="shared" si="19"/>
        <v>0.6323566848993758</v>
      </c>
      <c r="O48" s="191">
        <f t="shared" si="17"/>
        <v>7.4744486452425962E-3</v>
      </c>
      <c r="P48" s="192" cm="1">
        <f t="array" ref="P48">_xll.BDP($A48&amp;" Index","VOLATILITY_30D")</f>
        <v>11.86195</v>
      </c>
      <c r="Q48" s="192" cm="1">
        <f t="array" aca="1" ref="Q48" ca="1">(_xll.BDP(($B48&amp; " Equity"),"CORR_COEF", "BETA_OVERRIDE_REL_INDEX",($C48&amp; " Equity"),"BETA_OVERRIDE_END_DT",$Q$5,"BETA_OVERRIDE_START_DT",$Q$4))*100</f>
        <v>72.986621094585985</v>
      </c>
      <c r="R48" s="188"/>
      <c r="S48" s="188" cm="1">
        <f t="array" ref="S48">_xll.BDP($A48&amp;" Index","CHG_PCT_2D")/100</f>
        <v>2.827839E-3</v>
      </c>
      <c r="T48" s="188" cm="1">
        <f t="array" ref="T48">_xll.BDP($A48&amp;" Index","CHG_PCT_5D")/100</f>
        <v>7.0513559999999999E-3</v>
      </c>
      <c r="U48" s="188" cm="1">
        <f t="array" ref="U48">K48/_xll.BDP($A48&amp;" Index","HIGH_52WEEK")-1</f>
        <v>-8.4167982720124601E-2</v>
      </c>
      <c r="V48" s="188" cm="1">
        <f t="array" ref="V48">K48/_xll.BDP($A48&amp;" Index","LOW_52WEEK")-1</f>
        <v>3.8631027115167305E-2</v>
      </c>
      <c r="W48" s="188"/>
      <c r="X48" s="192" cm="1">
        <f t="array" ref="X48">_xll.BDP($A48&amp;" Index","RSI_14D")</f>
        <v>51.978569999999998</v>
      </c>
      <c r="Y48" s="193"/>
      <c r="Z48" s="194">
        <f t="shared" si="20"/>
        <v>-1</v>
      </c>
      <c r="AA48" s="193"/>
      <c r="AB48" s="194">
        <f t="shared" si="21"/>
        <v>-1</v>
      </c>
      <c r="AC48" s="193"/>
      <c r="AD48" s="188" t="e">
        <f t="shared" si="22"/>
        <v>#DIV/0!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1.3478003953964059</v>
      </c>
      <c r="AI48" s="196" cm="1">
        <f t="array" ref="AI48">(_xll.BDP(C48&amp;" Equity","SHORT_INT")/_xll.BDP(C48&amp;" Equity","VOLUME_AVG_90D"))</f>
        <v>2.0402306741065246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cm="1">
        <f t="array" ref="G49">_xll.BDP(B49&amp;" Equity","LAST PRICE")</f>
        <v>626.14</v>
      </c>
      <c r="H49" s="188" cm="1">
        <f t="array" ref="H49">G49/_xll.BDP(B49&amp;" Equity", "PREV_CLOSE_VAL")-1</f>
        <v>6.8663868654219584E-3</v>
      </c>
      <c r="I49" s="187" cm="1">
        <f t="array" ref="I49">_xll.BDP(C49&amp;" Equity","LAST PRICE")</f>
        <v>262.18</v>
      </c>
      <c r="J49" s="188" cm="1">
        <f t="array" ref="J49">I49/_xll.BDP(C49&amp;" Equity", "PREV_CLOSE_VAL")-1</f>
        <v>9.7438860003853378E-3</v>
      </c>
      <c r="K49" s="189">
        <f t="shared" si="18"/>
        <v>2.3882065756350599</v>
      </c>
      <c r="L49" s="188" cm="1">
        <f t="array" ref="L49">K49/(_xll.BDP(B49&amp;" Equity", "PREV_CLOSE_VAL")/_xll.BDP(C49&amp;" Equity", "PREV_CLOSE_VAL"))-1</f>
        <v>-2.8497316743962831E-3</v>
      </c>
      <c r="M49" s="188"/>
      <c r="N49" s="190">
        <f t="shared" si="19"/>
        <v>0.33570976476071396</v>
      </c>
      <c r="O49" s="191">
        <f t="shared" si="17"/>
        <v>8.4886767485822315E-3</v>
      </c>
      <c r="P49" s="192" cm="1">
        <f t="array" ref="P49">_xll.BDP($A49&amp;" Index","VOLATILITY_30D")</f>
        <v>13.47153</v>
      </c>
      <c r="Q49" s="192" cm="1">
        <f t="array" aca="1" ref="Q49" ca="1">(_xll.BDP(($B49&amp; " Equity"),"CORR_COEF", "BETA_OVERRIDE_REL_INDEX",($C49&amp; " Equity"),"BETA_OVERRIDE_END_DT",$Q$5,"BETA_OVERRIDE_START_DT",$Q$4))*100</f>
        <v>61.481918230236275</v>
      </c>
      <c r="R49" s="188"/>
      <c r="S49" s="188" cm="1">
        <f t="array" ref="S49">_xll.BDP($A49&amp;" Index","CHG_PCT_2D")/100</f>
        <v>-3.0243839999999998E-3</v>
      </c>
      <c r="T49" s="188" cm="1">
        <f t="array" ref="T49">_xll.BDP($A49&amp;" Index","CHG_PCT_5D")/100</f>
        <v>5.6277129999999995E-3</v>
      </c>
      <c r="U49" s="188" cm="1">
        <f t="array" ref="U49">K49/_xll.BDP($A49&amp;" Index","HIGH_52WEEK")-1</f>
        <v>-8.4206390200529224E-2</v>
      </c>
      <c r="V49" s="188" cm="1">
        <f t="array" ref="V49">K49/_xll.BDP($A49&amp;" Index","LOW_52WEEK")-1</f>
        <v>3.9869799200161982E-2</v>
      </c>
      <c r="W49" s="188"/>
      <c r="X49" s="192" cm="1">
        <f t="array" ref="X49">_xll.BDP($A49&amp;" Index","RSI_14D")</f>
        <v>49.206710000000001</v>
      </c>
      <c r="Y49" s="193"/>
      <c r="Z49" s="194">
        <f t="shared" si="20"/>
        <v>-1</v>
      </c>
      <c r="AA49" s="193"/>
      <c r="AB49" s="194">
        <f t="shared" si="21"/>
        <v>-1</v>
      </c>
      <c r="AC49" s="193"/>
      <c r="AD49" s="188" t="e">
        <f t="shared" si="22"/>
        <v>#DIV/0!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0.8060751828250744</v>
      </c>
      <c r="AI49" s="196" cm="1">
        <f t="array" ref="AI49">(_xll.BDP(C49&amp;" Equity","SHORT_INT")/_xll.BDP(C49&amp;" Equity","VOLUME_AVG_90D"))</f>
        <v>2.0402306741065246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cm="1">
        <f t="array" ref="G50">_xll.BDP(B50&amp;" Equity","LAST PRICE")</f>
        <v>407.97</v>
      </c>
      <c r="H50" s="188" cm="1">
        <f t="array" ref="H50">G50/_xll.BDP(B50&amp;" Equity", "PREV_CLOSE_VAL")-1</f>
        <v>1.1178307638923357E-2</v>
      </c>
      <c r="I50" s="187" cm="1">
        <f t="array" ref="I50">_xll.BDP(C50&amp;" Equity","LAST PRICE")</f>
        <v>89.52</v>
      </c>
      <c r="J50" s="188" cm="1">
        <f t="array" ref="J50">I50/_xll.BDP(C50&amp;" Equity", "PREV_CLOSE_VAL")-1</f>
        <v>-8.7476469936884627E-3</v>
      </c>
      <c r="K50" s="189">
        <f>G50/I50</f>
        <v>4.5573056300268098</v>
      </c>
      <c r="L50" s="188" cm="1">
        <f t="array" ref="L50">K50/(_xll.BDP(B50&amp;" Equity", "PREV_CLOSE_VAL")/_xll.BDP(C50&amp;" Equity", "PREV_CLOSE_VAL"))-1</f>
        <v>2.0101798066031851E-2</v>
      </c>
      <c r="M50" s="188"/>
      <c r="N50" s="190">
        <f>ABS(L50/O50)</f>
        <v>0.97742423970032055</v>
      </c>
      <c r="O50" s="191">
        <f>P50/15.87/100</f>
        <v>2.0566093257718968E-2</v>
      </c>
      <c r="P50" s="192" cm="1">
        <f t="array" ref="P50">_xll.BDP($A50&amp;" Index","VOLATILITY_30D")</f>
        <v>32.638390000000001</v>
      </c>
      <c r="Q50" s="192" cm="1">
        <f t="array" aca="1" ref="Q50" ca="1">(_xll.BDP(($B50&amp; " Equity"),"CORR_COEF", "BETA_OVERRIDE_REL_INDEX",($C50&amp; " Equity"),"BETA_OVERRIDE_END_DT",$Q$5,"BETA_OVERRIDE_START_DT",$Q$4))*100</f>
        <v>56.234294047449971</v>
      </c>
      <c r="R50" s="188"/>
      <c r="S50" s="188" cm="1">
        <f t="array" ref="S50">_xll.BDP($A50&amp;" Index","CHG_PCT_2D")/100</f>
        <v>9.5313110000000006E-3</v>
      </c>
      <c r="T50" s="188" cm="1">
        <f t="array" ref="T50">_xll.BDP($A50&amp;" Index","CHG_PCT_5D")/100</f>
        <v>0.13177619999999998</v>
      </c>
      <c r="U50" s="188" cm="1">
        <f t="array" ref="U50">K50/_xll.BDP($A50&amp;" Index","HIGH_52WEEK")-1</f>
        <v>7.1438172161666369E-3</v>
      </c>
      <c r="V50" s="188" cm="1">
        <f t="array" ref="V50">K50/_xll.BDP($A50&amp;" Index","LOW_52WEEK")-1</f>
        <v>1.0826351908505512</v>
      </c>
      <c r="W50" s="188"/>
      <c r="X50" s="192" cm="1">
        <f t="array" ref="X50">_xll.BDP($A50&amp;" Index","RSI_14D")</f>
        <v>77.852360000000004</v>
      </c>
      <c r="Y50" s="193"/>
      <c r="Z50" s="194">
        <f>Y50/K50-1</f>
        <v>-1</v>
      </c>
      <c r="AA50" s="193"/>
      <c r="AB50" s="194">
        <f>AA50/K50-1</f>
        <v>-1</v>
      </c>
      <c r="AC50" s="193"/>
      <c r="AD50" s="188" t="e">
        <f>K50/AC50-1</f>
        <v>#DIV/0!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1.1569450803484966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cm="1">
        <f t="array" ref="G51">_xll.BDP(B51&amp;" Equity","LAST PRICE")</f>
        <v>407.97</v>
      </c>
      <c r="H51" s="188" cm="1">
        <f t="array" ref="H51">G51/_xll.BDP(B51&amp;" Equity", "PREV_CLOSE_VAL")-1</f>
        <v>1.1178307638923357E-2</v>
      </c>
      <c r="I51" s="187" cm="1">
        <f t="array" ref="I51">_xll.BDP(C51&amp;" Equity","LAST PRICE")</f>
        <v>626.14</v>
      </c>
      <c r="J51" s="188" cm="1">
        <f t="array" ref="J51">I51/_xll.BDP(C51&amp;" Equity", "PREV_CLOSE_VAL")-1</f>
        <v>6.8663868654219584E-3</v>
      </c>
      <c r="K51" s="189">
        <f>G51/I51</f>
        <v>0.65156354808828698</v>
      </c>
      <c r="L51" s="188" cm="1">
        <f t="array" ref="L51">K51/(_xll.BDP(B51&amp;" Equity", "PREV_CLOSE_VAL")/_xll.BDP(C51&amp;" Equity", "PREV_CLOSE_VAL"))-1</f>
        <v>4.282515366239581E-3</v>
      </c>
      <c r="M51" s="188"/>
      <c r="N51" s="190">
        <f>ABS(L51/O51)</f>
        <v>0.36071623018099175</v>
      </c>
      <c r="O51" s="191">
        <f>P51/15.87/100</f>
        <v>1.1872255828607436E-2</v>
      </c>
      <c r="P51" s="192" cm="1">
        <f t="array" ref="P51">_xll.BDP($A51&amp;" Index","VOLATILITY_30D")</f>
        <v>18.841270000000002</v>
      </c>
      <c r="Q51" s="192" cm="1">
        <f t="array" aca="1" ref="Q51" ca="1">(_xll.BDP(($B51&amp; " Equity"),"CORR_COEF", "BETA_OVERRIDE_REL_INDEX",($C51&amp; " Equity"),"BETA_OVERRIDE_END_DT",$Q$5,"BETA_OVERRIDE_START_DT",$Q$4))*100</f>
        <v>88.461968277185065</v>
      </c>
      <c r="R51" s="188"/>
      <c r="S51" s="188" cm="1">
        <f t="array" ref="S51">_xll.BDP($A51&amp;" Index","CHG_PCT_2D")/100</f>
        <v>-1.1879900000000001E-2</v>
      </c>
      <c r="T51" s="188" cm="1">
        <f t="array" ref="T51">_xll.BDP($A51&amp;" Index","CHG_PCT_5D")/100</f>
        <v>2.792677E-2</v>
      </c>
      <c r="U51" s="188" cm="1">
        <f t="array" ref="U51">K51/_xll.BDP($A51&amp;" Index","HIGH_52WEEK")-1</f>
        <v>-1.7738458854134387E-2</v>
      </c>
      <c r="V51" s="188" cm="1">
        <f t="array" ref="V51">K51/_xll.BDP($A51&amp;" Index","LOW_52WEEK")-1</f>
        <v>0.52319886873080002</v>
      </c>
      <c r="W51" s="188"/>
      <c r="X51" s="192" cm="1">
        <f t="array" ref="X51">_xll.BDP($A51&amp;" Index","RSI_14D")</f>
        <v>62.961320000000001</v>
      </c>
      <c r="Y51" s="193"/>
      <c r="Z51" s="194">
        <f>Y51/K51-1</f>
        <v>-1</v>
      </c>
      <c r="AA51" s="193"/>
      <c r="AB51" s="194">
        <f>AA51/K51-1</f>
        <v>-1</v>
      </c>
      <c r="AC51" s="193"/>
      <c r="AD51" s="188" t="e">
        <f>K51/AC51-1</f>
        <v>#DIV/0!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1.1569450803484966</v>
      </c>
      <c r="AI51" s="196" cm="1">
        <f t="array" ref="AI51">(_xll.BDP(C51&amp;" Equity","SHORT_INT")/_xll.BDP(C51&amp;" Equity","VOLUME_AVG_90D"))</f>
        <v>0.8060751828250744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cm="1">
        <f t="array" ref="G52">_xll.BDP(B52&amp;" Equity","LAST PRICE")</f>
        <v>87.64</v>
      </c>
      <c r="H52" s="188" cm="1">
        <f t="array" ref="H52">G52/_xll.BDP(B52&amp;" Equity", "PREV_CLOSE_VAL")-1</f>
        <v>1.6705336426914075E-2</v>
      </c>
      <c r="I52" s="187" cm="1">
        <f t="array" ref="I52">_xll.BDP(C52&amp;" Equity","LAST PRICE")</f>
        <v>199.1</v>
      </c>
      <c r="J52" s="188" cm="1">
        <f t="array" ref="J52">I52/_xll.BDP(C52&amp;" Equity", "PREV_CLOSE_VAL")-1</f>
        <v>5.1494345718900991E-3</v>
      </c>
      <c r="K52" s="189">
        <f>G52/I52</f>
        <v>0.44018081366147666</v>
      </c>
      <c r="L52" s="188" cm="1">
        <f t="array" ref="L52">K52/(_xll.BDP(B52&amp;" Equity", "PREV_CLOSE_VAL")/_xll.BDP(C52&amp;" Equity", "PREV_CLOSE_VAL"))-1</f>
        <v>1.149670034878536E-2</v>
      </c>
      <c r="M52" s="188"/>
      <c r="N52" s="190">
        <f>ABS(L52/O52)</f>
        <v>1.4028807236839576</v>
      </c>
      <c r="O52" s="191">
        <f>P52/15.87/100</f>
        <v>8.1950661625708882E-3</v>
      </c>
      <c r="P52" s="192" cm="1">
        <f t="array" ref="P52">_xll.BDP($A52&amp;" Index","VOLATILITY_30D")</f>
        <v>13.005570000000001</v>
      </c>
      <c r="Q52" s="192" cm="1">
        <f t="array" aca="1" ref="Q52" ca="1">(_xll.BDP(($B52&amp; " Equity"),"CORR_COEF", "BETA_OVERRIDE_REL_INDEX",($C52&amp; " Equity"),"BETA_OVERRIDE_END_DT",$Q$5,"BETA_OVERRIDE_START_DT",$Q$4))*100</f>
        <v>63.222473856870486</v>
      </c>
      <c r="R52" s="188"/>
      <c r="S52" s="188" cm="1">
        <f t="array" ref="S52">_xll.BDP($A52&amp;" Index","CHG_PCT_2D")/100</f>
        <v>1.251652E-2</v>
      </c>
      <c r="T52" s="188" cm="1">
        <f t="array" ref="T52">_xll.BDP($A52&amp;" Index","CHG_PCT_5D")/100</f>
        <v>2.9200029999999998E-2</v>
      </c>
      <c r="U52" s="188" cm="1">
        <f t="array" ref="U52">K52/_xll.BDP($A52&amp;" Index","HIGH_52WEEK")-1</f>
        <v>-2.4681348795806413E-2</v>
      </c>
      <c r="V52" s="188" cm="1">
        <f t="array" ref="V52">K52/_xll.BDP($A52&amp;" Index","LOW_52WEEK")-1</f>
        <v>0.29324210024819064</v>
      </c>
      <c r="W52" s="188"/>
      <c r="X52" s="192" cm="1">
        <f t="array" ref="X52">_xll.BDP($A52&amp;" Index","RSI_14D")</f>
        <v>51.929639999999999</v>
      </c>
      <c r="Y52" s="193"/>
      <c r="Z52" s="194">
        <f>Y52/K52-1</f>
        <v>-1</v>
      </c>
      <c r="AA52" s="193"/>
      <c r="AB52" s="194">
        <f>AA52/K52-1</f>
        <v>-1</v>
      </c>
      <c r="AC52" s="193"/>
      <c r="AD52" s="188" t="e">
        <f>K52/AC52-1</f>
        <v>#DIV/0!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1.9338154152146918</v>
      </c>
      <c r="AI52" s="196" cm="1">
        <f t="array" ref="AI52">(_xll.BDP(C52&amp;" Equity","SHORT_INT")/_xll.BDP(C52&amp;" Equity","VOLUME_AVG_90D"))</f>
        <v>2.2263534874285078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cm="1">
        <f t="array" ref="G53">_xll.BDP(B53&amp;" Equity","LAST PRICE")</f>
        <v>87.64</v>
      </c>
      <c r="H53" s="188" cm="1">
        <f t="array" ref="H53">G53/_xll.BDP(B53&amp;" Equity", "PREV_CLOSE_VAL")-1</f>
        <v>1.6705336426914075E-2</v>
      </c>
      <c r="I53" s="187" cm="1">
        <f t="array" ref="I53">_xll.BDP(C53&amp;" Equity","LAST PRICE")</f>
        <v>695.41</v>
      </c>
      <c r="J53" s="188" cm="1">
        <f t="array" ref="J53">I53/_xll.BDP(C53&amp;" Equity", "PREV_CLOSE_VAL")-1</f>
        <v>4.9713137852795963E-3</v>
      </c>
      <c r="K53" s="189">
        <f>G53/I53</f>
        <v>0.12602637293107663</v>
      </c>
      <c r="L53" s="188" cm="1">
        <f t="array" ref="L53">K53/(_xll.BDP(B53&amp;" Equity", "PREV_CLOSE_VAL")/_xll.BDP(C53&amp;" Equity", "PREV_CLOSE_VAL"))-1</f>
        <v>1.1675977692773731E-2</v>
      </c>
      <c r="M53" s="188"/>
      <c r="N53" s="190">
        <f>ABS(L53/O53)</f>
        <v>1.2451526555691459</v>
      </c>
      <c r="O53" s="191">
        <f>P53/15.87/100</f>
        <v>9.3771455576559543E-3</v>
      </c>
      <c r="P53" s="192" cm="1">
        <f t="array" ref="P53">_xll.BDP($A53&amp;" Index","VOLATILITY_30D")</f>
        <v>14.88153</v>
      </c>
      <c r="Q53" s="192" cm="1">
        <f t="array" aca="1" ref="Q53" ca="1">(_xll.BDP(($B53&amp; " Equity"),"CORR_COEF", "BETA_OVERRIDE_REL_INDEX",($C53&amp; " Equity"),"BETA_OVERRIDE_END_DT",$Q$5,"BETA_OVERRIDE_START_DT",$Q$4))*100</f>
        <v>59.170673421187622</v>
      </c>
      <c r="R53" s="188"/>
      <c r="S53" s="188" cm="1">
        <f t="array" ref="S53">_xll.BDP($A53&amp;" Index","CHG_PCT_2D")/100</f>
        <v>1.20004E-2</v>
      </c>
      <c r="T53" s="188" cm="1">
        <f t="array" ref="T53">_xll.BDP($A53&amp;" Index","CHG_PCT_5D")/100</f>
        <v>2.3023729999999999E-2</v>
      </c>
      <c r="U53" s="188" cm="1">
        <f t="array" ref="U53">K53/_xll.BDP($A53&amp;" Index","HIGH_52WEEK")-1</f>
        <v>-1.6264359292197161E-2</v>
      </c>
      <c r="V53" s="188" cm="1">
        <f t="array" ref="V53">K53/_xll.BDP($A53&amp;" Index","LOW_52WEEK")-1</f>
        <v>0.20807489389452294</v>
      </c>
      <c r="W53" s="188"/>
      <c r="X53" s="192" cm="1">
        <f t="array" ref="X53">_xll.BDP($A53&amp;" Index","RSI_14D")</f>
        <v>53.057090000000002</v>
      </c>
      <c r="Y53" s="193"/>
      <c r="Z53" s="194">
        <f>Y53/K53-1</f>
        <v>-1</v>
      </c>
      <c r="AA53" s="193"/>
      <c r="AB53" s="194">
        <f>AA53/K53-1</f>
        <v>-1</v>
      </c>
      <c r="AC53" s="193"/>
      <c r="AD53" s="188" t="e">
        <f>K53/AC53-1</f>
        <v>#DIV/0!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1.9338154152146918</v>
      </c>
      <c r="AI53" s="196" cm="1">
        <f t="array" ref="AI53">(_xll.BDP(C53&amp;" Equity","SHORT_INT")/_xll.BDP(C53&amp;" Equity","VOLUME_AVG_90D"))</f>
        <v>1.3478003953964059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cm="1">
        <f t="array" ref="G54">_xll.BDP(B54&amp;" Equity","LAST PRICE")</f>
        <v>87.64</v>
      </c>
      <c r="H54" s="188" cm="1">
        <f t="array" ref="H54">G54/_xll.BDP(B54&amp;" Equity", "PREV_CLOSE_VAL")-1</f>
        <v>1.6705336426914075E-2</v>
      </c>
      <c r="I54" s="187" cm="1">
        <f t="array" ref="I54">_xll.BDP(C54&amp;" Equity","LAST PRICE")</f>
        <v>70.040000000000006</v>
      </c>
      <c r="J54" s="188" cm="1">
        <f t="array" ref="J54">I54/_xll.BDP(C54&amp;" Equity", "PREV_CLOSE_VAL")-1</f>
        <v>1.7875308821392322E-2</v>
      </c>
      <c r="K54" s="189">
        <f>G54/I54</f>
        <v>1.2512849800114219</v>
      </c>
      <c r="L54" s="188" cm="1">
        <f t="array" ref="L54">K54/(_xll.BDP(B54&amp;" Equity", "PREV_CLOSE_VAL")/_xll.BDP(C54&amp;" Equity", "PREV_CLOSE_VAL"))-1</f>
        <v>-1.1494260488871255E-3</v>
      </c>
      <c r="M54" s="188"/>
      <c r="N54" s="190">
        <f>ABS(L54/O54)</f>
        <v>0.12969249011091047</v>
      </c>
      <c r="O54" s="191">
        <f>P54/15.87/100</f>
        <v>8.8627032136105871E-3</v>
      </c>
      <c r="P54" s="192" cm="1">
        <f t="array" ref="P54">_xll.BDP($A54&amp;" Index","VOLATILITY_30D")</f>
        <v>14.065110000000001</v>
      </c>
      <c r="Q54" s="192" cm="1">
        <f t="array" aca="1" ref="Q54" ca="1">(_xll.BDP(($B54&amp; " Equity"),"CORR_COEF", "BETA_OVERRIDE_REL_INDEX",($C54&amp; " Equity"),"BETA_OVERRIDE_END_DT",$Q$5,"BETA_OVERRIDE_START_DT",$Q$4))*100</f>
        <v>76.8695580598947</v>
      </c>
      <c r="R54" s="188"/>
      <c r="S54" s="188" cm="1">
        <f t="array" ref="S54">_xll.BDP($A54&amp;" Index","CHG_PCT_2D")/100</f>
        <v>-2.1793049999999999E-3</v>
      </c>
      <c r="T54" s="188" cm="1">
        <f t="array" ref="T54">_xll.BDP($A54&amp;" Index","CHG_PCT_5D")/100</f>
        <v>-5.5074920000000001E-3</v>
      </c>
      <c r="U54" s="188" cm="1">
        <f t="array" ref="U54">K54/_xll.BDP($A54&amp;" Index","HIGH_52WEEK")-1</f>
        <v>-5.1956283233508205E-2</v>
      </c>
      <c r="V54" s="188" cm="1">
        <f t="array" ref="V54">K54/_xll.BDP($A54&amp;" Index","LOW_52WEEK")-1</f>
        <v>0.15212185219315666</v>
      </c>
      <c r="W54" s="188"/>
      <c r="X54" s="192" cm="1">
        <f t="array" ref="X54">_xll.BDP($A54&amp;" Index","RSI_14D")</f>
        <v>42.792879999999997</v>
      </c>
      <c r="Y54" s="193"/>
      <c r="Z54" s="194">
        <f>Y54/K54-1</f>
        <v>-1</v>
      </c>
      <c r="AA54" s="193"/>
      <c r="AB54" s="194">
        <f>AA54/K54-1</f>
        <v>-1</v>
      </c>
      <c r="AC54" s="193"/>
      <c r="AD54" s="188" t="e">
        <f>K54/AC54-1</f>
        <v>#DIV/0!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1.9338154152146918</v>
      </c>
      <c r="AI54" s="196" cm="1">
        <f t="array" ref="AI54">(_xll.BDP(C54&amp;" Equity","SHORT_INT")/_xll.BDP(C54&amp;" Equity","VOLUME_AVG_90D"))</f>
        <v>2.5878917267218333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8 W40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38 Z40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8 AE40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0 AI38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AI40 AI38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8">
        <v>0.02</v>
      </c>
      <c r="AA2" s="128">
        <v>1.2500000000000001E-2</v>
      </c>
      <c r="AB2" s="128">
        <f>Z2+AA2</f>
        <v>3.2500000000000001E-2</v>
      </c>
      <c r="AG2" t="s">
        <v>429</v>
      </c>
      <c r="AH2" t="s">
        <v>1891</v>
      </c>
      <c r="AI2" t="s">
        <v>1892</v>
      </c>
    </row>
    <row r="3" spans="3:37">
      <c r="T3" s="40"/>
      <c r="U3" s="40"/>
      <c r="V3" t="s">
        <v>1888</v>
      </c>
      <c r="W3" t="s">
        <v>1889</v>
      </c>
      <c r="X3" t="s">
        <v>169</v>
      </c>
      <c r="Z3" t="s">
        <v>1888</v>
      </c>
      <c r="AA3" t="s">
        <v>1889</v>
      </c>
      <c r="AB3" t="s">
        <v>169</v>
      </c>
      <c r="AD3" t="s">
        <v>1890</v>
      </c>
      <c r="AE3" t="s">
        <v>1905</v>
      </c>
    </row>
    <row r="4" spans="3:37">
      <c r="D4" t="s">
        <v>1694</v>
      </c>
      <c r="F4" s="177" t="s">
        <v>150</v>
      </c>
      <c r="G4" s="177" t="s">
        <v>147</v>
      </c>
      <c r="K4" t="s">
        <v>146</v>
      </c>
      <c r="S4" s="36" t="s">
        <v>1770</v>
      </c>
      <c r="T4" t="s">
        <v>90</v>
      </c>
      <c r="U4" t="s">
        <v>1893</v>
      </c>
      <c r="V4" s="360">
        <v>0.27500000000000002</v>
      </c>
      <c r="W4" s="360">
        <v>0.5</v>
      </c>
      <c r="X4" s="360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1770</v>
      </c>
      <c r="AD4" s="71">
        <v>1.34E-2</v>
      </c>
      <c r="AE4" s="276">
        <f>(AB4-AD4)*10000</f>
        <v>-16.500000000000004</v>
      </c>
      <c r="AG4" s="359">
        <f>X4</f>
        <v>0.36153846153846153</v>
      </c>
      <c r="AH4" s="358">
        <v>0.2</v>
      </c>
      <c r="AI4" s="358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0.84622093483488303</v>
      </c>
      <c r="G5" s="153" cm="1">
        <f t="array" ref="G5">_xll.BDP($C5&amp;" Equity","volatility_30d")/100</f>
        <v>0.57694748676857188</v>
      </c>
      <c r="J5" t="s">
        <v>1740</v>
      </c>
      <c r="K5" s="276">
        <v>70</v>
      </c>
      <c r="L5" cm="1">
        <f t="array" ref="L5">_xll.BDP(J5&amp;" Equity","LAST PRICE")</f>
        <v>89.91</v>
      </c>
      <c r="M5" s="279">
        <f>L5/K5-1</f>
        <v>0.28442857142857148</v>
      </c>
      <c r="S5" s="36" t="s">
        <v>1770</v>
      </c>
      <c r="T5" t="s">
        <v>1887</v>
      </c>
      <c r="U5" t="s">
        <v>1893</v>
      </c>
      <c r="V5" s="360"/>
      <c r="W5" s="360">
        <v>0.1</v>
      </c>
      <c r="X5" s="360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1770</v>
      </c>
      <c r="AD5" s="71">
        <v>1.1999999999999999E-3</v>
      </c>
      <c r="AE5" s="276">
        <f t="shared" ref="AE5:AE13" si="4">(AB5-AD5)*10000</f>
        <v>0.50000000000000344</v>
      </c>
      <c r="AG5" s="359">
        <f t="shared" ref="AG5:AG13" si="5">X5</f>
        <v>3.8461538461538471E-2</v>
      </c>
      <c r="AH5" s="358"/>
      <c r="AI5" s="358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0.84622093483488303</v>
      </c>
      <c r="G6" s="153" cm="1">
        <f t="array" ref="G6">_xll.BDP($C6&amp;" Equity","volatility_30d")/100</f>
        <v>0.57694748676857188</v>
      </c>
      <c r="J6" t="s">
        <v>1740</v>
      </c>
      <c r="K6" s="276">
        <v>70</v>
      </c>
      <c r="L6" cm="1">
        <f t="array" ref="L6">_xll.BDP(J6&amp;" Equity","LAST PRICE")</f>
        <v>89.91</v>
      </c>
      <c r="M6" s="279">
        <f>L6/K6-1</f>
        <v>0.28442857142857148</v>
      </c>
      <c r="S6" s="36" t="s">
        <v>1770</v>
      </c>
      <c r="T6" t="s">
        <v>1903</v>
      </c>
      <c r="U6" t="s">
        <v>1900</v>
      </c>
      <c r="V6" s="360"/>
      <c r="W6" s="360"/>
      <c r="X6" s="360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59">
        <f>X6</f>
        <v>0</v>
      </c>
      <c r="AH6" s="358"/>
      <c r="AI6" s="358"/>
      <c r="AK6" s="21"/>
    </row>
    <row r="7" spans="3:37">
      <c r="C7" t="s">
        <v>1693</v>
      </c>
      <c r="D7" s="276">
        <v>1.2</v>
      </c>
      <c r="F7" s="153" cm="1">
        <f t="array" ref="F7">_xll.BDP($C7&amp;" Equity","volatility_10d")/100</f>
        <v>0.72312474921114156</v>
      </c>
      <c r="G7" s="153" cm="1">
        <f t="array" ref="G7">_xll.BDP($C7&amp;" Equity","volatility_30d")/100</f>
        <v>0.44889871595029229</v>
      </c>
      <c r="J7" t="s">
        <v>1743</v>
      </c>
      <c r="K7" s="276">
        <v>28.5</v>
      </c>
      <c r="L7" cm="1">
        <f t="array" ref="L7">_xll.BDP(J7&amp;" Equity","LAST PRICE")</f>
        <v>20.04</v>
      </c>
      <c r="M7" s="279">
        <f t="shared" ref="M7:M13" si="6">L7/K7-1</f>
        <v>-0.29684210526315791</v>
      </c>
      <c r="S7" s="36" t="s">
        <v>1770</v>
      </c>
      <c r="T7" t="s">
        <v>81</v>
      </c>
      <c r="U7" t="s">
        <v>1879</v>
      </c>
      <c r="V7" s="360">
        <v>0.2</v>
      </c>
      <c r="W7" s="360"/>
      <c r="X7" s="360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59">
        <f t="shared" si="5"/>
        <v>0.12307692307692307</v>
      </c>
      <c r="AH7" s="358">
        <v>0.3</v>
      </c>
      <c r="AI7" s="358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0.77912887741820769</v>
      </c>
      <c r="G8" s="153" cm="1">
        <f t="array" ref="G8">_xll.BDP($C8&amp;" Equity","volatility_30d")/100</f>
        <v>0.54509443598451923</v>
      </c>
      <c r="J8" t="s">
        <v>400</v>
      </c>
      <c r="K8" s="276">
        <v>318.75</v>
      </c>
      <c r="L8" cm="1">
        <f t="array" ref="L8">_xll.BDP(J8&amp;" Equity","LAST PRICE")</f>
        <v>266.79000000000002</v>
      </c>
      <c r="M8" s="279">
        <f t="shared" si="6"/>
        <v>-0.1630117647058823</v>
      </c>
      <c r="S8" s="36" t="s">
        <v>1770</v>
      </c>
      <c r="T8" t="s">
        <v>83</v>
      </c>
      <c r="U8" t="s">
        <v>1879</v>
      </c>
      <c r="V8" s="360">
        <v>0.05</v>
      </c>
      <c r="W8" s="360">
        <v>0.05</v>
      </c>
      <c r="X8" s="360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59">
        <f t="shared" si="5"/>
        <v>0.05</v>
      </c>
      <c r="AH8" s="358">
        <v>0.05</v>
      </c>
      <c r="AI8" s="358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0.32425113390054749</v>
      </c>
      <c r="G9" s="153" cm="1">
        <f t="array" ref="G9">_xll.BDP($C9&amp;" Equity","volatility_30d")/100</f>
        <v>0.2515197714325707</v>
      </c>
      <c r="J9" t="s">
        <v>134</v>
      </c>
      <c r="K9" s="276">
        <v>265.95999999999998</v>
      </c>
      <c r="L9" cm="1">
        <f t="array" ref="L9">_xll.BDP(J9&amp;" Equity","LAST PRICE")</f>
        <v>210.81</v>
      </c>
      <c r="M9" s="279">
        <f t="shared" si="6"/>
        <v>-0.20736200932471038</v>
      </c>
      <c r="S9" s="36" t="s">
        <v>1770</v>
      </c>
      <c r="T9" t="s">
        <v>399</v>
      </c>
      <c r="U9" t="s">
        <v>1879</v>
      </c>
      <c r="V9" s="360">
        <v>0.1</v>
      </c>
      <c r="W9" s="360">
        <v>0.05</v>
      </c>
      <c r="X9" s="360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59">
        <f t="shared" si="5"/>
        <v>8.0769230769230774E-2</v>
      </c>
      <c r="AH9" s="358">
        <v>0.15</v>
      </c>
      <c r="AI9" s="358">
        <v>0.15</v>
      </c>
      <c r="AJ9" t="s">
        <v>1770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0.40649489999999999</v>
      </c>
      <c r="G10" s="153" cm="1">
        <f t="array" ref="G10">_xll.BDP($C10&amp;" Equity","volatility_30d")/100</f>
        <v>0.2908887</v>
      </c>
      <c r="J10" t="s">
        <v>1753</v>
      </c>
      <c r="K10" s="276">
        <v>251.52</v>
      </c>
      <c r="L10" cm="1">
        <f t="array" ref="L10">_xll.BDP(J10&amp;" Equity","LAST PRICE")</f>
        <v>173.38</v>
      </c>
      <c r="M10" s="279">
        <f t="shared" si="6"/>
        <v>-0.31067111959287541</v>
      </c>
      <c r="S10" s="36" t="s">
        <v>1770</v>
      </c>
      <c r="T10" t="s">
        <v>1904</v>
      </c>
      <c r="U10" t="s">
        <v>1894</v>
      </c>
      <c r="V10" s="360"/>
      <c r="W10" s="360">
        <v>7.4999999999999997E-2</v>
      </c>
      <c r="X10" s="360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59">
        <f t="shared" si="5"/>
        <v>2.8846153846153844E-2</v>
      </c>
      <c r="AH10" s="358"/>
      <c r="AI10" s="358"/>
      <c r="AK10" s="21"/>
    </row>
    <row r="11" spans="3:37">
      <c r="C11" t="s">
        <v>401</v>
      </c>
      <c r="D11" s="276">
        <v>1.5</v>
      </c>
      <c r="E11" s="276">
        <v>0.94</v>
      </c>
      <c r="F11" s="153" cm="1">
        <f t="array" ref="F11">_xll.BDP($C11&amp;" Equity","volatility_10d")/100</f>
        <v>0.17994703761363592</v>
      </c>
      <c r="G11" s="153" cm="1">
        <f t="array" ref="G11">_xll.BDP($C11&amp;" Equity","volatility_30d")/100</f>
        <v>0.1710564223730438</v>
      </c>
      <c r="J11" t="s">
        <v>353</v>
      </c>
      <c r="K11" s="276">
        <v>117.4</v>
      </c>
      <c r="L11" cm="1">
        <f t="array" ref="L11">_xll.BDP(J11&amp;" Equity","LAST PRICE")</f>
        <v>177.15</v>
      </c>
      <c r="M11" s="279">
        <f t="shared" si="6"/>
        <v>0.50894378194207834</v>
      </c>
      <c r="S11" s="36" t="s">
        <v>1770</v>
      </c>
      <c r="T11" t="s">
        <v>94</v>
      </c>
      <c r="U11" t="s">
        <v>1880</v>
      </c>
      <c r="V11" s="360">
        <v>0.05</v>
      </c>
      <c r="W11" s="360">
        <v>0.1</v>
      </c>
      <c r="X11" s="360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59">
        <f t="shared" si="5"/>
        <v>6.9230769230769235E-2</v>
      </c>
      <c r="AH11" s="358">
        <v>0.05</v>
      </c>
      <c r="AI11" s="358">
        <v>0.05</v>
      </c>
      <c r="AK11" s="21"/>
    </row>
    <row r="12" spans="3:37">
      <c r="C12" t="s">
        <v>1685</v>
      </c>
      <c r="D12" s="276">
        <v>1.5</v>
      </c>
      <c r="E12" s="276">
        <v>1.07</v>
      </c>
      <c r="F12" s="153" cm="1">
        <f t="array" ref="F12">_xll.BDP($C12&amp;" Equity","volatility_10d")/100</f>
        <v>0.22824302778812805</v>
      </c>
      <c r="G12" s="153" cm="1">
        <f t="array" ref="G12">_xll.BDP($C12&amp;" Equity","volatility_30d")/100</f>
        <v>0.26655668260488502</v>
      </c>
      <c r="J12" t="s">
        <v>1742</v>
      </c>
      <c r="K12" s="276">
        <v>5420</v>
      </c>
      <c r="L12" cm="1">
        <f t="array" ref="L12">_xll.BDP(J12&amp;" Index","LAST PRICE")</f>
        <v>5558</v>
      </c>
      <c r="M12" s="279">
        <f t="shared" si="6"/>
        <v>2.5461254612546114E-2</v>
      </c>
      <c r="S12" s="36" t="s">
        <v>1770</v>
      </c>
      <c r="T12" t="s">
        <v>137</v>
      </c>
      <c r="U12" t="s">
        <v>1894</v>
      </c>
      <c r="V12" s="360">
        <v>0.05</v>
      </c>
      <c r="W12" s="360">
        <v>0.125</v>
      </c>
      <c r="X12" s="360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59">
        <f t="shared" si="5"/>
        <v>7.8846153846153844E-2</v>
      </c>
      <c r="AH12" s="358">
        <v>0.1</v>
      </c>
      <c r="AI12" s="358">
        <v>0.1</v>
      </c>
      <c r="AK12" s="21"/>
    </row>
    <row r="13" spans="3:37">
      <c r="C13" t="s">
        <v>1689</v>
      </c>
      <c r="D13" s="276">
        <v>1.5</v>
      </c>
      <c r="E13" s="276">
        <v>0.97</v>
      </c>
      <c r="F13" s="153" cm="1">
        <f t="array" ref="F13">_xll.BDP($C13&amp;" Equity","volatility_10d")/100</f>
        <v>0.21204118242502992</v>
      </c>
      <c r="G13" s="153" cm="1">
        <f t="array" ref="G13">_xll.BDP($C13&amp;" Equity","volatility_30d")/100</f>
        <v>0.29613257906299933</v>
      </c>
      <c r="J13" t="s">
        <v>1744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1770</v>
      </c>
      <c r="T13" t="s">
        <v>96</v>
      </c>
      <c r="U13" t="s">
        <v>1880</v>
      </c>
      <c r="V13" s="360">
        <v>0.27500000000000002</v>
      </c>
      <c r="W13" s="360"/>
      <c r="X13" s="360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1770</v>
      </c>
      <c r="AD13" s="71">
        <v>5.3E-3</v>
      </c>
      <c r="AE13" s="276">
        <f t="shared" si="4"/>
        <v>2.0000000000000053</v>
      </c>
      <c r="AG13" s="359">
        <f t="shared" si="5"/>
        <v>0.16923076923076924</v>
      </c>
      <c r="AH13" s="358">
        <v>0.15</v>
      </c>
      <c r="AI13" s="358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0.13247965730441216</v>
      </c>
      <c r="G14" s="153" cm="1">
        <f t="array" ref="G14">_xll.BDP($C14&amp;" Equity","volatility_30d")/100</f>
        <v>0.15279626852420136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0.19937350499327006</v>
      </c>
      <c r="G15" s="153" cm="1">
        <f t="array" ref="G15">_xll.BDP($C15&amp;" Equity","volatility_30d")/100</f>
        <v>0.18955799855123945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0.35342269411609062</v>
      </c>
      <c r="G16" s="153" cm="1">
        <f t="array" ref="G16">_xll.BDP($C16&amp;" Equity","volatility_30d")/100</f>
        <v>0.2414770364164382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0.38465598817023833</v>
      </c>
      <c r="G17" s="153" cm="1">
        <f t="array" ref="G17">_xll.BDP($C17&amp;" Equity","volatility_30d")/100</f>
        <v>0.29666564623825581</v>
      </c>
      <c r="AP17" t="s">
        <v>1770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0.31946279919055376</v>
      </c>
      <c r="G18" s="153" cm="1">
        <f t="array" ref="G18">_xll.BDP($C18&amp;" Equity","volatility_30d")/100</f>
        <v>0.26887890784673391</v>
      </c>
      <c r="AP18" t="s">
        <v>1770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0.12747434945119573</v>
      </c>
      <c r="G19" s="153" cm="1">
        <f t="array" ref="G19">_xll.BDP($C19&amp;" Equity","volatility_30d")/100</f>
        <v>0.1359071133663291</v>
      </c>
      <c r="AP19" t="s">
        <v>1770</v>
      </c>
    </row>
    <row r="20" spans="3:42">
      <c r="C20" t="s">
        <v>1849</v>
      </c>
      <c r="D20" s="276">
        <v>1</v>
      </c>
      <c r="F20" s="153" cm="1">
        <f t="array" ref="F20">_xll.BDP($C20&amp;" Equity","volatility_10d")/100</f>
        <v>0.139589844339334</v>
      </c>
      <c r="G20" s="153" cm="1">
        <f t="array" ref="G20">_xll.BDP($C20&amp;" Equity","volatility_30d")/100</f>
        <v>0.15210747253480117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0.10401862253331025</v>
      </c>
      <c r="G21" s="153" cm="1">
        <f t="array" ref="G21">_xll.BDP($C21&amp;" Equity","volatility_30d")/100</f>
        <v>0.10646679981494139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7.510339042249968E-2</v>
      </c>
      <c r="G22" s="153" cm="1">
        <f t="array" ref="G22">_xll.BDP($C22&amp;" Equity","volatility_30d")/100</f>
        <v>9.6651579101593471E-2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0.12998315554790921</v>
      </c>
      <c r="G23" s="153" cm="1">
        <f t="array" ref="G23">_xll.BDP($C23&amp;" Equity","volatility_30d")/100</f>
        <v>0.12857638763796636</v>
      </c>
      <c r="K23" s="376" t="s">
        <v>1907</v>
      </c>
      <c r="L23" s="377">
        <v>-1.0963377653370632E-2</v>
      </c>
      <c r="M23" s="378">
        <v>-0.37836540865925272</v>
      </c>
      <c r="N23" s="379">
        <v>3.4133390057770963E-3</v>
      </c>
      <c r="O23" s="379">
        <v>0</v>
      </c>
      <c r="P23" s="379">
        <v>3.4133390057770963E-3</v>
      </c>
      <c r="R23" s="379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0.20298681413282865</v>
      </c>
      <c r="G24" s="153" cm="1">
        <f t="array" ref="G24">_xll.BDP($C24&amp;" Equity","volatility_30d")/100</f>
        <v>0.15455592848942132</v>
      </c>
      <c r="K24" s="373" t="s">
        <v>50</v>
      </c>
      <c r="L24" s="371">
        <v>-1.0963377653370632E-2</v>
      </c>
      <c r="M24" s="374">
        <v>-0.37836540865925272</v>
      </c>
      <c r="N24" s="372">
        <v>3.4133390057770963E-3</v>
      </c>
      <c r="O24" s="372">
        <v>0</v>
      </c>
      <c r="P24" s="372">
        <v>3.4133390057770963E-3</v>
      </c>
      <c r="R24" s="372"/>
    </row>
    <row r="25" spans="3:42" ht="15.75">
      <c r="C25" t="s">
        <v>513</v>
      </c>
      <c r="D25" s="276">
        <v>0.9</v>
      </c>
      <c r="F25" s="153" cm="1">
        <f t="array" ref="F25">_xll.BDP($C25&amp;" Equity","volatility_10d")/100</f>
        <v>0.2710749434587259</v>
      </c>
      <c r="G25" s="153" cm="1">
        <f t="array" ref="G25">_xll.BDP($C25&amp;" Equity","volatility_30d")/100</f>
        <v>0.17558092003968756</v>
      </c>
      <c r="K25" s="376" t="s">
        <v>84</v>
      </c>
      <c r="L25" s="377">
        <v>-5.9553798585880949E-3</v>
      </c>
      <c r="M25" s="378">
        <v>-0.63972487206523787</v>
      </c>
      <c r="N25" s="379">
        <v>1.1232261185275198E-2</v>
      </c>
      <c r="O25" s="379">
        <v>0</v>
      </c>
      <c r="P25" s="379">
        <v>1.1232261185275198E-2</v>
      </c>
      <c r="R25" s="379"/>
    </row>
    <row r="26" spans="3:42" ht="15.75">
      <c r="C26" t="s">
        <v>81</v>
      </c>
      <c r="D26" s="276" cm="1">
        <f t="array" ref="D26">_xll.BDP(C26&amp;" EQUITY","eqy_beta")</f>
        <v>1.1782681941986084</v>
      </c>
      <c r="F26" s="153" cm="1">
        <f t="array" ref="F26">_xll.BDP($C26&amp;" Equity","volatility_10d")/100</f>
        <v>0.61776665942762721</v>
      </c>
      <c r="G26" s="153" cm="1">
        <f t="array" ref="G26">_xll.BDP($C26&amp;" Equity","volatility_30d")/100</f>
        <v>0.4067635300023148</v>
      </c>
      <c r="K26" s="373" t="s">
        <v>85</v>
      </c>
      <c r="L26" s="371">
        <v>4.7598096076157947E-3</v>
      </c>
      <c r="M26" s="374">
        <v>-4.6604870922836092E-2</v>
      </c>
      <c r="N26" s="372">
        <v>-9.837935777997017E-4</v>
      </c>
      <c r="O26" s="372">
        <v>0</v>
      </c>
      <c r="P26" s="372">
        <v>-9.837935777997017E-4</v>
      </c>
      <c r="R26" s="372"/>
    </row>
    <row r="27" spans="3:42" ht="15.75">
      <c r="C27" t="s">
        <v>79</v>
      </c>
      <c r="D27" s="276" cm="1">
        <f t="array" ref="D27">_xll.BDP(C27&amp;" EQUITY","eqy_beta")</f>
        <v>1.0709736347198486</v>
      </c>
      <c r="F27" s="153" cm="1">
        <f t="array" ref="F27">_xll.BDP($C27&amp;" Equity","volatility_10d")/100</f>
        <v>0.18483404812865126</v>
      </c>
      <c r="G27" s="153" cm="1">
        <f t="array" ref="G27">_xll.BDP($C27&amp;" Equity","volatility_30d")/100</f>
        <v>0.19033375132852945</v>
      </c>
      <c r="K27" s="373" t="s">
        <v>6</v>
      </c>
      <c r="L27" s="371">
        <v>-2.9742661321608965E-3</v>
      </c>
      <c r="M27" s="374">
        <v>-0.27022992383829852</v>
      </c>
      <c r="N27" s="372">
        <v>9.0585770121445457E-3</v>
      </c>
      <c r="O27" s="372">
        <v>0</v>
      </c>
      <c r="P27" s="372">
        <v>9.0585770121445457E-3</v>
      </c>
      <c r="R27" s="372"/>
    </row>
    <row r="28" spans="3:42" ht="15.75">
      <c r="C28" t="s">
        <v>83</v>
      </c>
      <c r="D28" s="276" cm="1">
        <f t="array" ref="D28">_xll.BDP(C28&amp;" EQUITY","eqy_beta")</f>
        <v>1.1976617574691772</v>
      </c>
      <c r="F28" s="153" cm="1">
        <f t="array" ref="F28">_xll.BDP($C28&amp;" Equity","volatility_10d")/100</f>
        <v>0.27063269870101764</v>
      </c>
      <c r="G28" s="153" cm="1">
        <f t="array" ref="G28">_xll.BDP($C28&amp;" Equity","volatility_30d")/100</f>
        <v>0.28280040523120953</v>
      </c>
      <c r="K28" s="373" t="s">
        <v>1681</v>
      </c>
      <c r="L28" s="371">
        <v>-3.3200841711480411E-3</v>
      </c>
      <c r="M28" s="374">
        <v>-3.8619816007486069E-2</v>
      </c>
      <c r="N28" s="372">
        <v>1.1593559977233082E-3</v>
      </c>
      <c r="O28" s="372">
        <v>0</v>
      </c>
      <c r="P28" s="372">
        <v>1.1593559977233082E-3</v>
      </c>
      <c r="R28" s="372"/>
    </row>
    <row r="29" spans="3:42" ht="15.75">
      <c r="C29" t="s">
        <v>82</v>
      </c>
      <c r="D29" s="276" cm="1">
        <f t="array" ref="D29">_xll.BDP(C29&amp;" EQUITY","eqy_beta")</f>
        <v>0.84145534038543701</v>
      </c>
      <c r="F29" s="153" cm="1">
        <f t="array" ref="F29">_xll.BDP($C29&amp;" Equity","volatility_10d")/100</f>
        <v>0.49447076366504056</v>
      </c>
      <c r="G29" s="153" cm="1">
        <f t="array" ref="G29">_xll.BDP($C29&amp;" Equity","volatility_30d")/100</f>
        <v>0.30724951116752258</v>
      </c>
      <c r="K29" s="373" t="s">
        <v>1803</v>
      </c>
      <c r="L29" s="371">
        <v>-1.9074643335697972E-2</v>
      </c>
      <c r="M29" s="374">
        <v>-0.18961576845233849</v>
      </c>
      <c r="N29" s="372">
        <v>9.7511084230964917E-4</v>
      </c>
      <c r="O29" s="372">
        <v>0</v>
      </c>
      <c r="P29" s="372">
        <v>9.7511084230964917E-4</v>
      </c>
      <c r="R29" s="372"/>
    </row>
    <row r="30" spans="3:42" ht="15.75">
      <c r="C30" t="s">
        <v>90</v>
      </c>
      <c r="D30" s="276" cm="1">
        <f t="array" ref="D30">_xll.BDP(C30&amp;" EQUITY","eqy_beta")</f>
        <v>1.019763708114624</v>
      </c>
      <c r="F30" s="153" cm="1">
        <f t="array" ref="F30">_xll.BDP($C30&amp;" Equity","volatility_10d")/100</f>
        <v>0.6546219547375981</v>
      </c>
      <c r="G30" s="153" cm="1">
        <f t="array" ref="G30">_xll.BDP($C30&amp;" Equity","volatility_30d")/100</f>
        <v>0.37458405137773004</v>
      </c>
      <c r="K30" s="373" t="s">
        <v>1901</v>
      </c>
      <c r="L30" s="371">
        <v>-9.1677152615493585E-3</v>
      </c>
      <c r="M30" s="374">
        <v>-9.4654492844278598E-2</v>
      </c>
      <c r="N30" s="372">
        <v>1.0230109108973979E-3</v>
      </c>
      <c r="O30" s="372">
        <v>0</v>
      </c>
      <c r="P30" s="372">
        <v>1.0230109108973979E-3</v>
      </c>
      <c r="R30" s="372"/>
    </row>
    <row r="31" spans="3:42" ht="15.75">
      <c r="C31" t="s">
        <v>1681</v>
      </c>
      <c r="D31" s="276" cm="1">
        <f t="array" ref="D31">_xll.BDP(C31&amp;" EQUITY","eqy_beta")</f>
        <v>1.2194699048995972</v>
      </c>
      <c r="F31" s="153" cm="1">
        <f t="array" ref="F31">_xll.BDP($C31&amp;" Equity","volatility_10d")/100</f>
        <v>0.49691784761956886</v>
      </c>
      <c r="G31" s="153" cm="1">
        <f t="array" ref="G31">_xll.BDP($C31&amp;" Equity","volatility_30d")/100</f>
        <v>0.40095746988049574</v>
      </c>
      <c r="K31" s="376" t="s">
        <v>78</v>
      </c>
      <c r="L31" s="377">
        <v>-4.2479506412567702E-3</v>
      </c>
      <c r="M31" s="378">
        <v>1.0338056955883257</v>
      </c>
      <c r="N31" s="379">
        <v>-2.396608490698357E-2</v>
      </c>
      <c r="O31" s="379">
        <v>0</v>
      </c>
      <c r="P31" s="379">
        <v>-2.396608490698357E-2</v>
      </c>
      <c r="R31" s="379"/>
    </row>
    <row r="32" spans="3:42" ht="15.75">
      <c r="C32" t="s">
        <v>86</v>
      </c>
      <c r="D32" s="276" cm="1">
        <f t="array" ref="D32">_xll.BDP(C32&amp;" EQUITY","eqy_beta")</f>
        <v>0.84627711772918701</v>
      </c>
      <c r="F32" s="153" cm="1">
        <f t="array" ref="F32">_xll.BDP($C32&amp;" Equity","volatility_10d")/100</f>
        <v>0.30041798904511269</v>
      </c>
      <c r="G32" s="153" cm="1">
        <f t="array" ref="G32">_xll.BDP($C32&amp;" Equity","volatility_30d")/100</f>
        <v>0.23617398179355081</v>
      </c>
      <c r="K32" s="373" t="s">
        <v>3</v>
      </c>
      <c r="L32" s="371">
        <v>-3.7397353418066048E-3</v>
      </c>
      <c r="M32" s="374">
        <v>0.16241210060252317</v>
      </c>
      <c r="N32" s="372">
        <v>-4.3266356450720909E-3</v>
      </c>
      <c r="O32" s="372">
        <v>0</v>
      </c>
      <c r="P32" s="372">
        <v>-4.3266356450720909E-3</v>
      </c>
      <c r="R32" s="372"/>
    </row>
    <row r="33" spans="3:18" ht="15.75">
      <c r="C33" t="s">
        <v>87</v>
      </c>
      <c r="D33" s="276" cm="1">
        <f t="array" ref="D33">_xll.BDP(C33&amp;" EQUITY","eqy_beta")</f>
        <v>0.8306422233581543</v>
      </c>
      <c r="F33" s="153" cm="1">
        <f t="array" ref="F33">_xll.BDP($C33&amp;" Equity","volatility_10d")/100</f>
        <v>0.26694233952901492</v>
      </c>
      <c r="G33" s="153" cm="1">
        <f t="array" ref="G33">_xll.BDP($C33&amp;" Equity","volatility_30d")/100</f>
        <v>0.23297611130070223</v>
      </c>
      <c r="K33" s="373" t="s">
        <v>1908</v>
      </c>
      <c r="L33" s="371">
        <v>-4.417355741073492E-3</v>
      </c>
      <c r="M33" s="374">
        <v>0.8713935949858026</v>
      </c>
      <c r="N33" s="372">
        <v>-1.9639449261911478E-2</v>
      </c>
      <c r="O33" s="372"/>
      <c r="P33" s="372">
        <v>-1.9639449261911478E-2</v>
      </c>
      <c r="R33" s="372"/>
    </row>
    <row r="34" spans="3:18" ht="15.75">
      <c r="C34" t="s">
        <v>85</v>
      </c>
      <c r="D34" s="276" cm="1">
        <f t="array" ref="D34">_xll.BDP(C34&amp;" EQUITY","eqy_beta")</f>
        <v>0.62829560041427612</v>
      </c>
      <c r="F34" s="153" cm="1">
        <f t="array" ref="F34">_xll.BDP($C34&amp;" Equity","volatility_10d")/100</f>
        <v>0.15726801473870922</v>
      </c>
      <c r="G34" s="153" cm="1">
        <f t="array" ref="G34">_xll.BDP($C34&amp;" Equity","volatility_30d")/100</f>
        <v>0.12990494135658046</v>
      </c>
      <c r="K34" s="376" t="s">
        <v>1879</v>
      </c>
      <c r="L34" s="377">
        <v>-1.068463658385139E-2</v>
      </c>
      <c r="M34" s="378">
        <v>-0.90024740598245501</v>
      </c>
      <c r="N34" s="379">
        <v>4.8096776346909318E-3</v>
      </c>
      <c r="O34" s="379">
        <v>5.1572351618506054E-3</v>
      </c>
      <c r="P34" s="379">
        <v>9.9669127965415355E-3</v>
      </c>
      <c r="R34" s="379"/>
    </row>
    <row r="35" spans="3:18" ht="15.75">
      <c r="C35" t="s">
        <v>96</v>
      </c>
      <c r="D35" s="276" cm="1">
        <f t="array" ref="D35">_xll.BDP(C35&amp;" EQUITY","eqy_beta")</f>
        <v>1.4806259870529175</v>
      </c>
      <c r="F35" s="153" cm="1">
        <f t="array" ref="F35">_xll.BDP($C35&amp;" Equity","volatility_10d")/100</f>
        <v>0.30847357936374808</v>
      </c>
      <c r="G35" s="153" cm="1">
        <f t="array" ref="G35">_xll.BDP($C35&amp;" Equity","volatility_30d")/100</f>
        <v>0.32976596965841493</v>
      </c>
      <c r="K35" s="373" t="s">
        <v>81</v>
      </c>
      <c r="L35" s="371">
        <v>-6.4136601179329844E-3</v>
      </c>
      <c r="M35" s="374">
        <v>-0.19767788893855778</v>
      </c>
      <c r="N35" s="372">
        <v>3.0623707295760953E-3</v>
      </c>
      <c r="O35" s="372">
        <v>0</v>
      </c>
      <c r="P35" s="372">
        <v>3.0623707295760953E-3</v>
      </c>
      <c r="R35" s="372"/>
    </row>
    <row r="36" spans="3:18" ht="15.75">
      <c r="C36" t="s">
        <v>94</v>
      </c>
      <c r="D36" s="276" cm="1">
        <f t="array" ref="D36">_xll.BDP(C36&amp;" EQUITY","eqy_beta")</f>
        <v>1.8499077558517456</v>
      </c>
      <c r="F36" s="153" cm="1">
        <f t="array" ref="F36">_xll.BDP($C36&amp;" Equity","volatility_10d")/100</f>
        <v>0.20046059067075736</v>
      </c>
      <c r="G36" s="153" cm="1">
        <f t="array" ref="G36">_xll.BDP($C36&amp;" Equity","volatility_30d")/100</f>
        <v>0.26899107935950983</v>
      </c>
      <c r="K36" s="373" t="s">
        <v>82</v>
      </c>
      <c r="L36" s="371">
        <v>4.6735154486730046E-3</v>
      </c>
      <c r="M36" s="374">
        <v>1.3065464514081379E-2</v>
      </c>
      <c r="N36" s="372">
        <v>2.8087049905996193E-4</v>
      </c>
      <c r="O36" s="372">
        <v>0</v>
      </c>
      <c r="P36" s="372">
        <v>2.8087049905996193E-4</v>
      </c>
      <c r="R36" s="372"/>
    </row>
    <row r="37" spans="3:18" ht="15.75">
      <c r="C37" t="s">
        <v>356</v>
      </c>
      <c r="D37" s="276" cm="1">
        <f t="array" ref="D37">_xll.BDP(C37&amp;" EQUITY","eqy_beta")</f>
        <v>1.6582553386688232</v>
      </c>
      <c r="F37" s="153" cm="1">
        <f t="array" ref="F37">_xll.BDP($C37&amp;" Equity","volatility_10d")/100</f>
        <v>1.1293122551076458</v>
      </c>
      <c r="G37" s="153" cm="1">
        <f t="array" ref="G37">_xll.BDP($C37&amp;" Equity","volatility_30d")/100</f>
        <v>0.88980372880349412</v>
      </c>
      <c r="K37" s="373" t="s">
        <v>83</v>
      </c>
      <c r="L37" s="371">
        <v>-1.9930069930069849E-2</v>
      </c>
      <c r="M37" s="374">
        <v>-0.4000142632662666</v>
      </c>
      <c r="N37" s="372">
        <v>0</v>
      </c>
      <c r="O37" s="372">
        <v>1.6318254484903006E-3</v>
      </c>
      <c r="P37" s="372">
        <v>1.6318254484903006E-3</v>
      </c>
      <c r="R37" s="372"/>
    </row>
    <row r="38" spans="3:18" ht="15.75">
      <c r="C38" t="s">
        <v>129</v>
      </c>
      <c r="D38" s="276" cm="1">
        <f t="array" ref="D38">_xll.BDP(C38&amp;" EQUITY","eqy_beta")</f>
        <v>1.1763653755187988</v>
      </c>
      <c r="F38" s="153" cm="1">
        <f t="array" ref="F38">_xll.BDP($C38&amp;" Equity","volatility_10d")/100</f>
        <v>0.22263934928080004</v>
      </c>
      <c r="G38" s="153" cm="1">
        <f t="array" ref="G38">_xll.BDP($C38&amp;" Equity","volatility_30d")/100</f>
        <v>0.24386570627589582</v>
      </c>
      <c r="K38" s="373" t="s">
        <v>399</v>
      </c>
      <c r="L38" s="371">
        <v>1.3128112267994929E-3</v>
      </c>
      <c r="M38" s="374">
        <v>7.9154304583226778E-3</v>
      </c>
      <c r="N38" s="372">
        <v>8.2776255868375693E-4</v>
      </c>
      <c r="O38" s="372">
        <v>5.6416207697500146E-4</v>
      </c>
      <c r="P38" s="372">
        <v>1.3919246356587584E-3</v>
      </c>
      <c r="R38" s="372"/>
    </row>
    <row r="39" spans="3:18" ht="15.75">
      <c r="C39" t="s">
        <v>128</v>
      </c>
      <c r="D39" s="276" cm="1">
        <f t="array" ref="D39">_xll.BDP(C39&amp;" EQUITY","eqy_beta")</f>
        <v>1.0837785005569458</v>
      </c>
      <c r="F39" s="153" cm="1">
        <f t="array" ref="F39">_xll.BDP($C39&amp;" Equity","volatility_10d")/100</f>
        <v>0.25997003859769718</v>
      </c>
      <c r="G39" s="153" cm="1">
        <f t="array" ref="G39">_xll.BDP($C39&amp;" Equity","volatility_30d")/100</f>
        <v>0.20543365679433598</v>
      </c>
      <c r="K39" s="373" t="s">
        <v>499</v>
      </c>
      <c r="L39" s="371">
        <v>-2.3083787755390939E-2</v>
      </c>
      <c r="M39" s="374">
        <v>-0.25663139707509386</v>
      </c>
      <c r="N39" s="372">
        <v>6.3867384737111737E-4</v>
      </c>
      <c r="O39" s="372">
        <v>2.1555720957797475E-3</v>
      </c>
      <c r="P39" s="372">
        <v>2.794245943150865E-3</v>
      </c>
      <c r="Q39" s="372">
        <f>R39-P39</f>
        <v>-7.9424594315086498E-4</v>
      </c>
      <c r="R39" s="372">
        <v>2E-3</v>
      </c>
    </row>
    <row r="40" spans="3:18" ht="15.75">
      <c r="C40" t="s">
        <v>1678</v>
      </c>
      <c r="D40" s="276" cm="1">
        <f t="array" ref="D40">_xll.BDP(C40&amp;" EQUITY","eqy_beta")</f>
        <v>0.60364919900894165</v>
      </c>
      <c r="F40" s="153" cm="1">
        <f t="array" ref="F40">_xll.BDP($C40&amp;" Equity","volatility_10d")/100</f>
        <v>0.23476417986049039</v>
      </c>
      <c r="G40" s="153" cm="1">
        <f t="array" ref="G40">_xll.BDP($C40&amp;" Equity","volatility_30d")/100</f>
        <v>0.27181301723065299</v>
      </c>
      <c r="K40" s="373" t="s">
        <v>1911</v>
      </c>
      <c r="L40" s="371">
        <v>-8.2674772036475108E-3</v>
      </c>
      <c r="M40" s="374">
        <v>-6.6904751674940866E-2</v>
      </c>
      <c r="N40" s="372">
        <v>0</v>
      </c>
      <c r="O40" s="372">
        <v>8.0567554060555571E-4</v>
      </c>
      <c r="P40" s="372">
        <v>8.0567554060555571E-4</v>
      </c>
      <c r="R40" s="372"/>
    </row>
    <row r="41" spans="3:18" ht="15.75">
      <c r="C41" t="s">
        <v>1679</v>
      </c>
      <c r="D41" s="276" cm="1">
        <f t="array" ref="D41">_xll.BDP(C41&amp;" EQUITY","eqy_beta")</f>
        <v>0.5367467999458313</v>
      </c>
      <c r="F41" s="153" cm="1">
        <f t="array" ref="F41">_xll.BDP($C41&amp;" Equity","volatility_10d")/100</f>
        <v>0.26989643836493438</v>
      </c>
      <c r="G41" s="153" cm="1">
        <f t="array" ref="G41">_xll.BDP($C41&amp;" Equity","volatility_30d")/100</f>
        <v>0.24054429494549076</v>
      </c>
      <c r="K41" s="376" t="s">
        <v>1878</v>
      </c>
      <c r="L41" s="377">
        <v>-2.171898868541829E-2</v>
      </c>
      <c r="M41" s="378">
        <v>-2.1659089402196168</v>
      </c>
      <c r="N41" s="379">
        <v>7.426914807117521E-3</v>
      </c>
      <c r="O41" s="379">
        <v>1.0473448302227259E-2</v>
      </c>
      <c r="P41" s="379">
        <v>1.790069034429281E-2</v>
      </c>
      <c r="R41" s="379"/>
    </row>
    <row r="42" spans="3:18" ht="15.75">
      <c r="C42" t="s">
        <v>1680</v>
      </c>
      <c r="D42" s="276" cm="1">
        <f t="array" ref="D42">_xll.BDP(C42&amp;" EQUITY","eqy_beta")</f>
        <v>0.5438346266746521</v>
      </c>
      <c r="F42" s="153" cm="1">
        <f t="array" ref="F42">_xll.BDP($C42&amp;" Equity","volatility_10d")/100</f>
        <v>0.23134424887616911</v>
      </c>
      <c r="G42" s="153" cm="1">
        <f t="array" ref="G42">_xll.BDP($C42&amp;" Equity","volatility_30d")/100</f>
        <v>0.22884448948213637</v>
      </c>
      <c r="K42" s="373" t="s">
        <v>90</v>
      </c>
      <c r="L42" s="371">
        <v>-6.2572785972485057E-3</v>
      </c>
      <c r="M42" s="374">
        <v>-1.1994344461055253</v>
      </c>
      <c r="N42" s="372">
        <v>7.426914807117521E-3</v>
      </c>
      <c r="O42" s="372">
        <v>8.792129380292845E-3</v>
      </c>
      <c r="P42" s="372">
        <v>1.6219371422358395E-2</v>
      </c>
      <c r="Q42" s="372">
        <f>R42-P42</f>
        <v>-3.7193714223583939E-3</v>
      </c>
      <c r="R42" s="372">
        <v>1.2500000000000001E-2</v>
      </c>
    </row>
    <row r="43" spans="3:18" ht="15.75">
      <c r="C43" t="s">
        <v>1686</v>
      </c>
      <c r="D43" s="276" cm="1">
        <f t="array" ref="D43">_xll.BDP(C43&amp;" EQUITY","eqy_beta")</f>
        <v>0.74688702821731567</v>
      </c>
      <c r="F43" s="153" cm="1">
        <f t="array" ref="F43">_xll.BDP($C43&amp;" Equity","volatility_10d")/100</f>
        <v>0.19130937892625621</v>
      </c>
      <c r="G43" s="153" cm="1">
        <f t="array" ref="G43">_xll.BDP($C43&amp;" Equity","volatility_30d")/100</f>
        <v>0.23288783833857085</v>
      </c>
      <c r="K43" s="373" t="s">
        <v>1887</v>
      </c>
      <c r="L43" s="371">
        <v>-5.2642408861757861E-2</v>
      </c>
      <c r="M43" s="374">
        <v>-0.96647449411409159</v>
      </c>
      <c r="N43" s="372">
        <v>0</v>
      </c>
      <c r="O43" s="372">
        <v>1.6813189219344138E-3</v>
      </c>
      <c r="P43" s="372">
        <v>1.6813189219344138E-3</v>
      </c>
      <c r="Q43" s="372">
        <f>R43-P43</f>
        <v>-6.8131892193441378E-4</v>
      </c>
      <c r="R43" s="372">
        <v>1E-3</v>
      </c>
    </row>
    <row r="44" spans="3:18" ht="15.75">
      <c r="C44" t="s">
        <v>93</v>
      </c>
      <c r="D44" s="276" cm="1">
        <f t="array" ref="D44">_xll.BDP(C44&amp;" EQUITY","eqy_beta")</f>
        <v>0.65860968828201294</v>
      </c>
      <c r="F44" s="153" cm="1">
        <f t="array" ref="F44">_xll.BDP($C44&amp;" Equity","volatility_10d")/100</f>
        <v>0.91807153805970709</v>
      </c>
      <c r="G44" s="153" cm="1">
        <f t="array" ref="G44">_xll.BDP($C44&amp;" Equity","volatility_30d")/100</f>
        <v>0.72964870344550792</v>
      </c>
      <c r="K44" s="376" t="s">
        <v>1880</v>
      </c>
      <c r="L44" s="377">
        <v>-1.5317902816898016E-2</v>
      </c>
      <c r="M44" s="378">
        <v>-1.4805052895405777</v>
      </c>
      <c r="N44" s="379">
        <v>2.2698465837621799E-3</v>
      </c>
      <c r="O44" s="379">
        <v>9.6786193156367471E-3</v>
      </c>
      <c r="P44" s="379">
        <v>1.1948465899398925E-2</v>
      </c>
      <c r="R44" s="379"/>
    </row>
    <row r="45" spans="3:18" ht="15.75">
      <c r="C45" t="s">
        <v>92</v>
      </c>
      <c r="D45" s="276" cm="1">
        <f t="array" ref="D45">_xll.BDP(C45&amp;" EQUITY","eqy_beta")</f>
        <v>0.56358909606933594</v>
      </c>
      <c r="F45" s="153" cm="1">
        <f t="array" ref="F45">_xll.BDP($C45&amp;" Equity","volatility_10d")/100</f>
        <v>0.82482770633772484</v>
      </c>
      <c r="G45" s="153" cm="1">
        <f t="array" ref="G45">_xll.BDP($C45&amp;" Equity","volatility_30d")/100</f>
        <v>0.67056028108560572</v>
      </c>
      <c r="K45" s="373" t="s">
        <v>94</v>
      </c>
      <c r="L45" s="371">
        <v>-1.4552118141639703E-3</v>
      </c>
      <c r="M45" s="374">
        <v>-0.12432534684415254</v>
      </c>
      <c r="N45" s="372">
        <v>1.543887739934495E-3</v>
      </c>
      <c r="O45" s="372">
        <v>2.9553410385488818E-3</v>
      </c>
      <c r="P45" s="372">
        <v>4.4992287784833768E-3</v>
      </c>
      <c r="Q45" s="372">
        <f>R45-P45</f>
        <v>-9.9922877848337673E-4</v>
      </c>
      <c r="R45" s="372">
        <v>3.5000000000000001E-3</v>
      </c>
    </row>
    <row r="46" spans="3:18" ht="15.75">
      <c r="K46" s="373" t="s">
        <v>96</v>
      </c>
      <c r="L46" s="371">
        <v>-1.6534391534391513E-2</v>
      </c>
      <c r="M46" s="374">
        <v>-0.9982406526329215</v>
      </c>
      <c r="N46" s="372">
        <v>0</v>
      </c>
      <c r="O46" s="372">
        <v>5.1455045378578784E-3</v>
      </c>
      <c r="P46" s="372">
        <v>5.1455045378578784E-3</v>
      </c>
      <c r="Q46" s="372">
        <f>R46-P46</f>
        <v>-1.1455045378578783E-3</v>
      </c>
      <c r="R46" s="372">
        <v>4.0000000000000001E-3</v>
      </c>
    </row>
    <row r="47" spans="3:18" ht="15.75">
      <c r="K47" s="373" t="s">
        <v>1850</v>
      </c>
      <c r="L47" s="371">
        <v>-2.6798655211057065E-2</v>
      </c>
      <c r="M47" s="374">
        <v>1.5852618559466514E-2</v>
      </c>
      <c r="N47" s="372">
        <v>-7.9358043150606667E-4</v>
      </c>
      <c r="O47" s="372">
        <v>9.8607657949751791E-4</v>
      </c>
      <c r="P47" s="372">
        <v>1.9249614799145119E-4</v>
      </c>
      <c r="Q47" s="372">
        <f>R47-P47</f>
        <v>-1.9249614799145119E-4</v>
      </c>
      <c r="R47" s="372">
        <v>0</v>
      </c>
    </row>
    <row r="48" spans="3:18" ht="15.75">
      <c r="K48" s="373" t="s">
        <v>137</v>
      </c>
      <c r="L48" s="371">
        <v>-1.6483352707979515E-2</v>
      </c>
      <c r="M48" s="374">
        <v>-0.37379190862297018</v>
      </c>
      <c r="N48" s="372">
        <v>1.5195392753337515E-3</v>
      </c>
      <c r="O48" s="372">
        <v>5.9169715973246908E-4</v>
      </c>
      <c r="P48" s="372">
        <v>2.1112364350662207E-3</v>
      </c>
      <c r="Q48" s="372">
        <f>R48-P48</f>
        <v>-6.1123643506622071E-4</v>
      </c>
      <c r="R48" s="372">
        <v>1.5E-3</v>
      </c>
    </row>
    <row r="49" spans="11:18" ht="15.75">
      <c r="K49" s="376" t="s">
        <v>1677</v>
      </c>
      <c r="L49" s="377">
        <v>-8.4026174193907455E-4</v>
      </c>
      <c r="M49" s="378">
        <v>-1.7578782910323221E-2</v>
      </c>
      <c r="N49" s="379">
        <v>-1.5669404759838411E-3</v>
      </c>
      <c r="O49" s="379">
        <v>2.4004823085147778E-3</v>
      </c>
      <c r="P49" s="379">
        <v>8.3354183253093669E-4</v>
      </c>
      <c r="R49" s="379"/>
    </row>
    <row r="50" spans="11:18" ht="15.75">
      <c r="K50" s="373" t="s">
        <v>1678</v>
      </c>
      <c r="L50" s="371">
        <v>-1.2919896640827266E-3</v>
      </c>
      <c r="M50" s="374">
        <v>-7.1821978952513466E-2</v>
      </c>
      <c r="N50" s="372">
        <v>1.3471744978480506E-3</v>
      </c>
      <c r="O50" s="372">
        <v>2.4004823085147778E-3</v>
      </c>
      <c r="P50" s="372">
        <v>3.7476568063628283E-3</v>
      </c>
      <c r="R50" s="372"/>
    </row>
    <row r="51" spans="11:18" ht="15.75">
      <c r="K51" s="373" t="s">
        <v>1679</v>
      </c>
      <c r="L51" s="371">
        <v>7.8093442843678584E-3</v>
      </c>
      <c r="M51" s="374">
        <v>-9.7169632839115672E-2</v>
      </c>
      <c r="N51" s="372">
        <v>-1.2539908651737638E-3</v>
      </c>
      <c r="O51" s="372">
        <v>0</v>
      </c>
      <c r="P51" s="372">
        <v>-1.2539908651737638E-3</v>
      </c>
      <c r="R51" s="372"/>
    </row>
    <row r="52" spans="11:18" ht="15.75">
      <c r="K52" s="373" t="s">
        <v>1680</v>
      </c>
      <c r="L52" s="371">
        <v>-9.0381398461023554E-3</v>
      </c>
      <c r="M52" s="374">
        <v>0.15141282888130592</v>
      </c>
      <c r="N52" s="372">
        <v>-1.6601241086581279E-3</v>
      </c>
      <c r="O52" s="372">
        <v>0</v>
      </c>
      <c r="P52" s="372">
        <v>-1.6601241086581279E-3</v>
      </c>
      <c r="R52" s="372"/>
    </row>
    <row r="53" spans="11:18" ht="15.75">
      <c r="K53" s="376" t="s">
        <v>1895</v>
      </c>
      <c r="L53" s="377">
        <v>8.5655571165981219E-4</v>
      </c>
      <c r="M53" s="378">
        <v>0.30047010447379285</v>
      </c>
      <c r="N53" s="379">
        <v>2.4558330120338706E-3</v>
      </c>
      <c r="O53" s="379">
        <v>4.083701484987501E-3</v>
      </c>
      <c r="P53" s="379">
        <v>6.5395344970213716E-3</v>
      </c>
      <c r="R53" s="379"/>
    </row>
    <row r="54" spans="11:18" ht="15.75">
      <c r="K54" s="373" t="s">
        <v>92</v>
      </c>
      <c r="L54" s="371">
        <v>-2.0689655172413945E-2</v>
      </c>
      <c r="M54" s="374">
        <v>-0.14686408904255172</v>
      </c>
      <c r="N54" s="372">
        <v>6.9515668813474141E-4</v>
      </c>
      <c r="O54" s="372">
        <v>0</v>
      </c>
      <c r="P54" s="372">
        <v>6.9515668813474141E-4</v>
      </c>
      <c r="R54" s="372"/>
    </row>
    <row r="55" spans="11:18" ht="15.75">
      <c r="K55" s="373" t="s">
        <v>93</v>
      </c>
      <c r="L55" s="371">
        <v>-2.6907036189963707E-3</v>
      </c>
      <c r="M55" s="374">
        <v>-1.8493996397951615E-2</v>
      </c>
      <c r="N55" s="372">
        <v>4.83868218698858E-4</v>
      </c>
      <c r="O55" s="372">
        <v>2.5123589968408243E-4</v>
      </c>
      <c r="P55" s="372">
        <v>7.3510411838294048E-4</v>
      </c>
      <c r="R55" s="372"/>
    </row>
    <row r="56" spans="11:18" ht="15.75">
      <c r="K56" s="373" t="s">
        <v>1693</v>
      </c>
      <c r="L56" s="371">
        <v>6.5590866677642801E-3</v>
      </c>
      <c r="M56" s="374">
        <v>0.11670799609248043</v>
      </c>
      <c r="N56" s="372">
        <v>1.276808105200271E-3</v>
      </c>
      <c r="O56" s="372">
        <v>6.7729666444606672E-4</v>
      </c>
      <c r="P56" s="372">
        <v>1.9541047696463375E-3</v>
      </c>
      <c r="R56" s="372"/>
    </row>
    <row r="57" spans="11:18" ht="15.75">
      <c r="K57" s="373" t="s">
        <v>484</v>
      </c>
      <c r="L57" s="371">
        <v>8.594130047024473E-3</v>
      </c>
      <c r="M57" s="374">
        <v>0.16635599412441882</v>
      </c>
      <c r="N57" s="372">
        <v>0</v>
      </c>
      <c r="O57" s="372">
        <v>1.544348871542936E-3</v>
      </c>
      <c r="P57" s="372">
        <v>1.544348871542936E-3</v>
      </c>
      <c r="R57" s="372"/>
    </row>
    <row r="58" spans="11:18" ht="15.75">
      <c r="K58" s="373" t="s">
        <v>1910</v>
      </c>
      <c r="L58" s="371">
        <v>1.2509920634920624E-2</v>
      </c>
      <c r="M58" s="374">
        <v>0.18276419969739696</v>
      </c>
      <c r="N58" s="372">
        <v>0</v>
      </c>
      <c r="O58" s="372">
        <v>1.6108200493144163E-3</v>
      </c>
      <c r="P58" s="372">
        <v>1.6108200493144163E-3</v>
      </c>
      <c r="R58" s="372"/>
    </row>
    <row r="59" spans="11:18" ht="15.75">
      <c r="K59" s="380" t="s">
        <v>97</v>
      </c>
      <c r="L59" s="381">
        <v>-8.037222487176969E-3</v>
      </c>
      <c r="M59" s="382">
        <v>-4.2480548993153455</v>
      </c>
      <c r="N59" s="383">
        <v>6.0748468456893858E-3</v>
      </c>
      <c r="O59" s="383">
        <v>3.17934865732169E-2</v>
      </c>
      <c r="P59" s="383">
        <v>3.7868660653854309E-2</v>
      </c>
      <c r="R59" s="383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63" priority="6" operator="lessThan">
      <formula>0</formula>
    </cfRule>
  </conditionalFormatting>
  <conditionalFormatting sqref="L23:O59">
    <cfRule type="cellIs" dxfId="1662" priority="5" operator="lessThan">
      <formula>0</formula>
    </cfRule>
  </conditionalFormatting>
  <conditionalFormatting sqref="R23:R59">
    <cfRule type="cellIs" dxfId="1661" priority="4" operator="lessThan">
      <formula>0</formula>
    </cfRule>
  </conditionalFormatting>
  <conditionalFormatting sqref="Q45:Q48">
    <cfRule type="cellIs" dxfId="1660" priority="3" operator="lessThan">
      <formula>0</formula>
    </cfRule>
  </conditionalFormatting>
  <conditionalFormatting sqref="Q42:Q43">
    <cfRule type="cellIs" dxfId="1659" priority="2" operator="lessThan">
      <formula>0</formula>
    </cfRule>
  </conditionalFormatting>
  <conditionalFormatting sqref="Q39">
    <cfRule type="cellIs" dxfId="1658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dimension ref="C5:AD68"/>
  <sheetViews>
    <sheetView topLeftCell="E40" workbookViewId="0">
      <selection activeCell="H61" sqref="H61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80" customWidth="1"/>
  </cols>
  <sheetData>
    <row r="5" spans="3:30" s="6" customFormat="1">
      <c r="I5" s="6" t="s">
        <v>2395</v>
      </c>
      <c r="J5" s="6" t="s">
        <v>2392</v>
      </c>
      <c r="K5" s="6" t="s">
        <v>2394</v>
      </c>
      <c r="L5" s="6" t="s">
        <v>2393</v>
      </c>
      <c r="O5" s="6" t="s">
        <v>5</v>
      </c>
      <c r="P5" s="6" t="s">
        <v>2399</v>
      </c>
      <c r="Q5" s="6" t="s">
        <v>2399</v>
      </c>
      <c r="R5" s="6" t="s">
        <v>2400</v>
      </c>
      <c r="S5" s="6" t="s">
        <v>2398</v>
      </c>
      <c r="T5" s="6" t="s">
        <v>2398</v>
      </c>
      <c r="V5" s="445" t="s">
        <v>1958</v>
      </c>
      <c r="W5" s="445" t="s">
        <v>1958</v>
      </c>
      <c r="X5" s="445" t="s">
        <v>1955</v>
      </c>
      <c r="Y5" s="445" t="s">
        <v>1955</v>
      </c>
      <c r="Z5" s="445" t="s">
        <v>1956</v>
      </c>
      <c r="AA5" s="445" t="s">
        <v>1956</v>
      </c>
      <c r="AB5" s="445" t="s">
        <v>1957</v>
      </c>
      <c r="AC5" s="445" t="s">
        <v>1957</v>
      </c>
      <c r="AD5" s="445" t="s">
        <v>1958</v>
      </c>
    </row>
    <row r="6" spans="3:30" s="6" customFormat="1">
      <c r="V6" s="445" t="s">
        <v>2396</v>
      </c>
      <c r="W6" s="445" t="s">
        <v>2397</v>
      </c>
      <c r="X6" s="445" t="s">
        <v>2396</v>
      </c>
      <c r="Y6" s="445" t="s">
        <v>2397</v>
      </c>
      <c r="Z6" s="445" t="s">
        <v>2396</v>
      </c>
      <c r="AA6" s="445" t="s">
        <v>2397</v>
      </c>
      <c r="AB6" s="445" t="s">
        <v>2396</v>
      </c>
      <c r="AC6" s="445" t="s">
        <v>2397</v>
      </c>
      <c r="AD6" s="445" t="s">
        <v>2396</v>
      </c>
    </row>
    <row r="7" spans="3:30">
      <c r="P7" s="446"/>
      <c r="Q7" s="446"/>
      <c r="R7" s="446"/>
      <c r="T7" s="446"/>
    </row>
    <row r="8" spans="3:30">
      <c r="C8" t="s">
        <v>399</v>
      </c>
      <c r="D8" s="43">
        <v>2.0999999999999999E-3</v>
      </c>
      <c r="E8" s="43">
        <v>2.9999999999999997E-4</v>
      </c>
      <c r="F8" s="43">
        <f>D8+E8</f>
        <v>2.3999999999999998E-3</v>
      </c>
      <c r="H8" t="e">
        <f>Options!#REF!</f>
        <v>#REF!</v>
      </c>
      <c r="I8" s="276" t="e">
        <f>Options!#REF!</f>
        <v>#REF!</v>
      </c>
      <c r="J8" s="43" t="e">
        <f>Options!#REF!</f>
        <v>#REF!</v>
      </c>
      <c r="K8" s="43" t="e">
        <f>Options!#REF!</f>
        <v>#REF!</v>
      </c>
      <c r="L8" s="43" t="e">
        <f>Options!#REF!</f>
        <v>#REF!</v>
      </c>
    </row>
    <row r="9" spans="3:30">
      <c r="D9" s="43"/>
      <c r="E9" s="43"/>
      <c r="F9" s="43"/>
      <c r="I9" s="276"/>
      <c r="J9" s="43"/>
      <c r="K9" s="43"/>
      <c r="L9" s="43"/>
      <c r="V9" s="280">
        <v>31.5</v>
      </c>
      <c r="W9" s="280">
        <v>29.6</v>
      </c>
      <c r="X9" s="280">
        <v>34.72</v>
      </c>
      <c r="Y9" s="280">
        <v>33.4</v>
      </c>
      <c r="Z9" s="280">
        <v>29.3</v>
      </c>
      <c r="AA9" s="280">
        <v>28.9</v>
      </c>
      <c r="AB9" s="280">
        <v>36.9</v>
      </c>
      <c r="AC9" s="280">
        <v>35.4</v>
      </c>
      <c r="AD9" s="280">
        <v>34.299999999999997</v>
      </c>
    </row>
    <row r="10" spans="3:30">
      <c r="D10" s="43"/>
      <c r="E10" s="43"/>
      <c r="F10" s="43"/>
      <c r="I10" s="276"/>
      <c r="J10" s="43"/>
      <c r="K10" s="43"/>
      <c r="L10" s="43"/>
      <c r="V10" s="445"/>
      <c r="W10" s="445">
        <f>W9-V9</f>
        <v>-1.8999999999999986</v>
      </c>
      <c r="X10" s="445"/>
      <c r="Y10" s="445">
        <f>Y9-X9</f>
        <v>-1.3200000000000003</v>
      </c>
      <c r="Z10" s="445"/>
      <c r="AA10" s="445">
        <f>AA9-Z9</f>
        <v>-0.40000000000000213</v>
      </c>
      <c r="AB10" s="445"/>
      <c r="AC10" s="445">
        <f>AC9-AB9</f>
        <v>-1.5</v>
      </c>
      <c r="AD10" s="445"/>
    </row>
    <row r="11" spans="3:30">
      <c r="D11" s="43"/>
      <c r="E11" s="43"/>
      <c r="F11" s="43"/>
      <c r="I11" s="276"/>
      <c r="J11" s="43"/>
      <c r="K11" s="43"/>
      <c r="L11" s="43"/>
    </row>
    <row r="12" spans="3:30">
      <c r="D12" s="43"/>
      <c r="E12" s="43"/>
      <c r="F12" s="43"/>
      <c r="I12" s="276"/>
      <c r="J12" s="43"/>
      <c r="K12" s="43"/>
      <c r="L12" s="43"/>
    </row>
    <row r="13" spans="3:30" s="6" customFormat="1">
      <c r="C13" s="452" t="s">
        <v>81</v>
      </c>
      <c r="D13" s="453">
        <v>-2.0000000000000001E-4</v>
      </c>
      <c r="E13" s="444"/>
      <c r="F13" s="444"/>
      <c r="H13" s="452"/>
      <c r="I13" s="452"/>
      <c r="J13" s="452"/>
      <c r="K13" s="452"/>
      <c r="L13" s="452"/>
      <c r="M13" s="452"/>
      <c r="N13" s="452"/>
      <c r="O13" s="459">
        <v>672</v>
      </c>
      <c r="P13" s="459">
        <v>750</v>
      </c>
      <c r="Q13" s="459">
        <v>710</v>
      </c>
      <c r="R13" s="459">
        <v>672</v>
      </c>
      <c r="S13" s="459">
        <v>630</v>
      </c>
      <c r="T13" s="459">
        <v>600</v>
      </c>
      <c r="U13" s="452"/>
      <c r="V13" s="455"/>
      <c r="W13" s="455"/>
      <c r="X13" s="455"/>
      <c r="Y13" s="455"/>
      <c r="Z13" s="455"/>
      <c r="AA13" s="455"/>
      <c r="AB13" s="455"/>
      <c r="AC13" s="455"/>
      <c r="AD13" s="455"/>
    </row>
    <row r="14" spans="3:30" s="6" customFormat="1">
      <c r="C14" s="452"/>
      <c r="D14" s="453"/>
      <c r="E14" s="444"/>
      <c r="F14" s="444"/>
      <c r="H14" s="452"/>
      <c r="I14" s="452"/>
      <c r="J14" s="452"/>
      <c r="K14" s="452"/>
      <c r="L14" s="452"/>
      <c r="M14" s="452"/>
      <c r="N14" s="452"/>
      <c r="O14" s="452"/>
      <c r="P14" s="460">
        <f>P13/$O13-1</f>
        <v>0.1160714285714286</v>
      </c>
      <c r="Q14" s="460">
        <f>Q13/$O13-1</f>
        <v>5.6547619047619069E-2</v>
      </c>
      <c r="R14" s="460">
        <f>R13/$O13-1</f>
        <v>0</v>
      </c>
      <c r="S14" s="460">
        <f>S13/$O13-1</f>
        <v>-6.25E-2</v>
      </c>
      <c r="T14" s="460">
        <f>T13/$O13-1</f>
        <v>-0.1071428571428571</v>
      </c>
      <c r="U14" s="452"/>
      <c r="V14" s="455"/>
      <c r="W14" s="455"/>
      <c r="X14" s="455"/>
      <c r="Y14" s="455"/>
      <c r="Z14" s="455"/>
      <c r="AA14" s="455"/>
      <c r="AB14" s="455"/>
      <c r="AC14" s="455"/>
      <c r="AD14" s="455"/>
    </row>
    <row r="15" spans="3:30" s="6" customFormat="1">
      <c r="C15" s="452"/>
      <c r="D15" s="453"/>
      <c r="E15" s="43"/>
      <c r="F15" s="43"/>
      <c r="G15"/>
      <c r="H15" s="452"/>
      <c r="I15" s="452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0"/>
      <c r="W15" s="450"/>
      <c r="X15" s="450"/>
      <c r="Y15" s="450"/>
      <c r="Z15" s="450"/>
      <c r="AA15" s="450"/>
      <c r="AB15" s="450"/>
      <c r="AC15" s="450"/>
      <c r="AD15" s="450"/>
    </row>
    <row r="16" spans="3:30">
      <c r="C16" s="447"/>
      <c r="D16" s="448"/>
      <c r="E16" s="43"/>
      <c r="F16" s="43"/>
      <c r="H16" s="447"/>
      <c r="I16" s="449"/>
      <c r="J16" s="448"/>
      <c r="K16" s="448"/>
      <c r="L16" s="448">
        <f>L17*Q18/100</f>
        <v>0</v>
      </c>
      <c r="M16" s="447"/>
      <c r="N16" s="447"/>
      <c r="O16" s="447"/>
      <c r="P16" s="447"/>
      <c r="Q16" s="447"/>
      <c r="R16" s="447"/>
      <c r="S16" s="447"/>
      <c r="T16" s="447"/>
      <c r="U16" s="447"/>
      <c r="V16" s="450"/>
      <c r="W16" s="450"/>
      <c r="X16" s="450"/>
      <c r="Y16" s="450"/>
      <c r="Z16" s="450"/>
      <c r="AA16" s="450"/>
      <c r="AB16" s="450"/>
      <c r="AC16" s="450"/>
      <c r="AD16" s="450"/>
    </row>
    <row r="17" spans="3:30">
      <c r="C17" s="447"/>
      <c r="D17" s="448"/>
      <c r="E17" s="43"/>
      <c r="F17" s="43"/>
      <c r="H17" s="452" t="str">
        <f>'Options Price'!B171</f>
        <v>META US 07/17/26 C700</v>
      </c>
      <c r="I17" s="454">
        <f>Options!V10</f>
        <v>2.3687860050099596</v>
      </c>
      <c r="J17" s="453">
        <f>Options!AB10</f>
        <v>-9.0740504805990607E-3</v>
      </c>
      <c r="K17" s="453">
        <f>Options!AG10</f>
        <v>0</v>
      </c>
      <c r="L17" s="453">
        <f>Options!AH10</f>
        <v>0</v>
      </c>
      <c r="M17" s="447"/>
      <c r="N17" s="447" t="s">
        <v>1</v>
      </c>
      <c r="O17" s="447">
        <v>37</v>
      </c>
      <c r="P17" s="447">
        <v>34</v>
      </c>
      <c r="Q17" s="447">
        <v>34</v>
      </c>
      <c r="R17" s="447">
        <v>34</v>
      </c>
      <c r="S17" s="447">
        <v>34</v>
      </c>
      <c r="T17" s="447">
        <v>34</v>
      </c>
      <c r="U17" s="447"/>
      <c r="V17" s="450">
        <v>36.299999999999997</v>
      </c>
      <c r="W17" s="450">
        <v>34.119999999999997</v>
      </c>
      <c r="X17" s="450">
        <v>39.200000000000003</v>
      </c>
      <c r="Y17" s="450">
        <v>37.200000000000003</v>
      </c>
      <c r="Z17" s="450">
        <v>32</v>
      </c>
      <c r="AA17" s="450">
        <v>31.7</v>
      </c>
      <c r="AB17" s="450">
        <v>37</v>
      </c>
      <c r="AC17" s="450">
        <v>38.5</v>
      </c>
      <c r="AD17" s="450">
        <v>36.5</v>
      </c>
    </row>
    <row r="18" spans="3:30">
      <c r="C18" s="447"/>
      <c r="D18" s="448"/>
      <c r="E18" s="43"/>
      <c r="F18" s="43"/>
      <c r="H18" s="447"/>
      <c r="I18" s="449"/>
      <c r="J18" s="448"/>
      <c r="K18" s="448"/>
      <c r="L18" s="448"/>
      <c r="M18" s="447"/>
      <c r="N18" s="447" t="s">
        <v>220</v>
      </c>
      <c r="O18" s="447">
        <v>53</v>
      </c>
      <c r="P18" s="447">
        <v>71</v>
      </c>
      <c r="Q18" s="447">
        <v>62</v>
      </c>
      <c r="R18" s="447">
        <v>52</v>
      </c>
      <c r="S18" s="447">
        <v>52</v>
      </c>
      <c r="T18" s="447">
        <v>34</v>
      </c>
      <c r="U18" s="447"/>
      <c r="V18" s="455"/>
      <c r="W18" s="455">
        <f>W17-V17</f>
        <v>-2.1799999999999997</v>
      </c>
      <c r="X18" s="455"/>
      <c r="Y18" s="455">
        <f>Y17-X17</f>
        <v>-2</v>
      </c>
      <c r="Z18" s="455"/>
      <c r="AA18" s="455">
        <f>AA17-Z17</f>
        <v>-0.30000000000000071</v>
      </c>
      <c r="AB18" s="455"/>
      <c r="AC18" s="455">
        <f>AC17-AB17</f>
        <v>1.5</v>
      </c>
      <c r="AD18" s="455"/>
    </row>
    <row r="19" spans="3:30">
      <c r="C19" s="447"/>
      <c r="D19" s="448"/>
      <c r="E19" s="43"/>
      <c r="F19" s="43"/>
      <c r="H19" s="447"/>
      <c r="I19" s="449"/>
      <c r="J19" s="448"/>
      <c r="K19" s="448"/>
      <c r="L19" s="448"/>
      <c r="M19" s="447"/>
      <c r="N19" s="447" t="s">
        <v>5</v>
      </c>
      <c r="O19" s="447">
        <v>64</v>
      </c>
      <c r="P19" s="447">
        <v>106</v>
      </c>
      <c r="Q19" s="447">
        <v>80</v>
      </c>
      <c r="R19" s="447">
        <v>58</v>
      </c>
      <c r="S19" s="447">
        <v>38</v>
      </c>
      <c r="T19" s="447">
        <v>27</v>
      </c>
      <c r="U19" s="447"/>
      <c r="V19" s="450"/>
      <c r="W19" s="450"/>
      <c r="X19" s="450"/>
      <c r="Y19" s="450"/>
      <c r="Z19" s="450"/>
      <c r="AA19" s="450"/>
      <c r="AB19" s="450"/>
      <c r="AC19" s="450"/>
      <c r="AD19" s="450"/>
    </row>
    <row r="20" spans="3:30">
      <c r="C20" s="447"/>
      <c r="D20" s="448"/>
      <c r="E20" s="43"/>
      <c r="F20" s="43"/>
      <c r="H20" s="447"/>
      <c r="I20" s="449"/>
      <c r="J20" s="448"/>
      <c r="K20" s="448"/>
      <c r="L20" s="448"/>
      <c r="M20" s="447"/>
      <c r="N20" s="447" t="s">
        <v>103</v>
      </c>
      <c r="O20" s="447"/>
      <c r="P20" s="451">
        <f>P19/$O19-1</f>
        <v>0.65625</v>
      </c>
      <c r="Q20" s="451">
        <f t="shared" ref="Q20:T20" si="0">Q19/$O19-1</f>
        <v>0.25</v>
      </c>
      <c r="R20" s="451">
        <f t="shared" si="0"/>
        <v>-9.375E-2</v>
      </c>
      <c r="S20" s="451">
        <f t="shared" si="0"/>
        <v>-0.40625</v>
      </c>
      <c r="T20" s="451">
        <f t="shared" si="0"/>
        <v>-0.578125</v>
      </c>
      <c r="U20" s="447"/>
      <c r="V20" s="450"/>
      <c r="W20" s="450"/>
      <c r="X20" s="450"/>
      <c r="Y20" s="450"/>
      <c r="Z20" s="450"/>
      <c r="AA20" s="450"/>
      <c r="AB20" s="450"/>
      <c r="AC20" s="450"/>
      <c r="AD20" s="450"/>
    </row>
    <row r="21" spans="3:30">
      <c r="C21" s="447"/>
      <c r="D21" s="448"/>
      <c r="E21" s="43"/>
      <c r="F21" s="43"/>
      <c r="H21" s="447"/>
      <c r="I21" s="449"/>
      <c r="J21" s="448"/>
      <c r="K21" s="448"/>
      <c r="L21" s="448"/>
      <c r="M21" s="447"/>
      <c r="N21" s="447" t="s">
        <v>2321</v>
      </c>
      <c r="O21" s="447"/>
      <c r="P21" s="449">
        <f>$I$17*(1+P20)</f>
        <v>3.9233018207977457</v>
      </c>
      <c r="Q21" s="449">
        <f t="shared" ref="Q21:T21" si="1">$I$17*(1+Q20)</f>
        <v>2.9609825062624493</v>
      </c>
      <c r="R21" s="449">
        <f t="shared" si="1"/>
        <v>2.1467123170402758</v>
      </c>
      <c r="S21" s="449">
        <f t="shared" si="1"/>
        <v>1.4064666904746634</v>
      </c>
      <c r="T21" s="449">
        <f t="shared" si="1"/>
        <v>0.99933159586357667</v>
      </c>
      <c r="U21" s="447"/>
      <c r="V21" s="450"/>
      <c r="W21" s="450"/>
      <c r="X21" s="450"/>
      <c r="Y21" s="450"/>
      <c r="Z21" s="450"/>
      <c r="AA21" s="450"/>
      <c r="AB21" s="450"/>
      <c r="AC21" s="450"/>
      <c r="AD21" s="450"/>
    </row>
    <row r="22" spans="3:30">
      <c r="C22" s="447"/>
      <c r="D22" s="448"/>
      <c r="E22" s="43"/>
      <c r="F22" s="43"/>
      <c r="H22" s="447"/>
      <c r="I22" s="449"/>
      <c r="J22" s="448"/>
      <c r="K22" s="448"/>
      <c r="L22" s="448"/>
      <c r="M22" s="447"/>
      <c r="N22" s="447" t="s">
        <v>2401</v>
      </c>
      <c r="O22" s="447"/>
      <c r="P22" s="449">
        <f>P21-$I$17</f>
        <v>1.5545158157877861</v>
      </c>
      <c r="Q22" s="449">
        <f t="shared" ref="Q22:T22" si="2">Q21-$I$17</f>
        <v>0.59219650125248968</v>
      </c>
      <c r="R22" s="449">
        <f t="shared" si="2"/>
        <v>-0.22207368796968385</v>
      </c>
      <c r="S22" s="449">
        <f t="shared" si="2"/>
        <v>-0.96231931453529618</v>
      </c>
      <c r="T22" s="449">
        <f t="shared" si="2"/>
        <v>-1.3694544091463829</v>
      </c>
      <c r="U22" s="447"/>
      <c r="V22" s="450"/>
      <c r="W22" s="450"/>
      <c r="X22" s="450"/>
      <c r="Y22" s="450"/>
      <c r="Z22" s="450"/>
      <c r="AA22" s="450"/>
      <c r="AB22" s="450"/>
      <c r="AC22" s="450"/>
      <c r="AD22" s="450"/>
    </row>
    <row r="23" spans="3:30" ht="15.75" thickBot="1">
      <c r="C23" s="447"/>
      <c r="D23" s="448"/>
      <c r="E23" s="43"/>
      <c r="F23" s="43"/>
      <c r="H23" s="447"/>
      <c r="I23" s="449"/>
      <c r="J23" s="448"/>
      <c r="K23" s="448"/>
      <c r="L23" s="448"/>
      <c r="M23" s="447"/>
      <c r="N23" s="447"/>
      <c r="O23" s="447"/>
      <c r="P23" s="447"/>
      <c r="Q23" s="447"/>
      <c r="R23" s="447"/>
      <c r="S23" s="447"/>
      <c r="T23" s="447"/>
      <c r="U23" s="447"/>
      <c r="V23" s="450"/>
      <c r="W23" s="450"/>
      <c r="X23" s="450"/>
      <c r="Y23" s="450"/>
      <c r="Z23" s="450"/>
      <c r="AA23" s="450"/>
      <c r="AB23" s="450"/>
      <c r="AC23" s="450"/>
      <c r="AD23" s="450"/>
    </row>
    <row r="24" spans="3:30" ht="15.75" thickBot="1">
      <c r="C24" s="447"/>
      <c r="D24" s="448"/>
      <c r="E24" s="43"/>
      <c r="F24" s="43"/>
      <c r="H24" s="457" t="s">
        <v>220</v>
      </c>
      <c r="I24" s="458">
        <f>K17*10000</f>
        <v>0</v>
      </c>
      <c r="J24" s="448"/>
      <c r="K24" s="448"/>
      <c r="L24" s="448"/>
      <c r="M24" s="447"/>
      <c r="N24" s="447"/>
      <c r="O24" s="447"/>
      <c r="P24" s="456" t="e">
        <f>P22/$I$24</f>
        <v>#DIV/0!</v>
      </c>
      <c r="Q24" s="456" t="e">
        <f t="shared" ref="Q24:T24" si="3">Q22/$I$24</f>
        <v>#DIV/0!</v>
      </c>
      <c r="R24" s="456" t="e">
        <f t="shared" si="3"/>
        <v>#DIV/0!</v>
      </c>
      <c r="S24" s="456" t="e">
        <f t="shared" si="3"/>
        <v>#DIV/0!</v>
      </c>
      <c r="T24" s="456" t="e">
        <f t="shared" si="3"/>
        <v>#DIV/0!</v>
      </c>
      <c r="U24" s="447"/>
      <c r="V24" s="450"/>
      <c r="W24" s="450"/>
      <c r="X24" s="450"/>
      <c r="Y24" s="450"/>
      <c r="Z24" s="450"/>
      <c r="AA24" s="450"/>
      <c r="AB24" s="450"/>
      <c r="AC24" s="450"/>
      <c r="AD24" s="450"/>
    </row>
    <row r="25" spans="3:30">
      <c r="D25" s="43"/>
      <c r="E25" s="43"/>
      <c r="F25" s="43"/>
      <c r="H25" s="447"/>
      <c r="I25" s="449"/>
      <c r="J25" s="448"/>
      <c r="K25" s="448"/>
      <c r="L25" s="448"/>
      <c r="M25" s="447"/>
      <c r="N25" s="447"/>
      <c r="O25" s="447"/>
      <c r="P25" s="447"/>
      <c r="Q25" s="447"/>
      <c r="R25" s="447"/>
      <c r="S25" s="447"/>
      <c r="T25" s="447"/>
      <c r="U25" s="447"/>
      <c r="V25" s="450"/>
      <c r="W25" s="450"/>
      <c r="X25" s="450"/>
      <c r="Y25" s="450"/>
      <c r="Z25" s="450"/>
      <c r="AA25" s="450"/>
      <c r="AB25" s="450"/>
      <c r="AC25" s="450"/>
      <c r="AD25" s="450"/>
    </row>
    <row r="26" spans="3:30">
      <c r="D26" s="43"/>
      <c r="E26" s="43"/>
      <c r="F26" s="43"/>
      <c r="H26" s="447"/>
      <c r="I26" s="449"/>
      <c r="J26" s="448"/>
      <c r="K26" s="448"/>
      <c r="L26" s="448" t="e">
        <f>L27*Q28/100</f>
        <v>#REF!</v>
      </c>
      <c r="M26" s="447"/>
      <c r="N26" s="447"/>
      <c r="O26" s="447"/>
      <c r="P26" s="447"/>
      <c r="Q26" s="447"/>
      <c r="R26" s="447"/>
      <c r="S26" s="447"/>
      <c r="T26" s="447"/>
      <c r="U26" s="447"/>
      <c r="V26" s="450"/>
      <c r="W26" s="450"/>
      <c r="X26" s="450"/>
      <c r="Y26" s="450"/>
      <c r="Z26" s="450"/>
      <c r="AA26" s="450"/>
      <c r="AB26" s="450"/>
      <c r="AC26" s="450"/>
      <c r="AD26" s="450"/>
    </row>
    <row r="27" spans="3:30">
      <c r="D27" s="43"/>
      <c r="E27" s="43"/>
      <c r="F27" s="43"/>
      <c r="H27" s="452" t="e">
        <f>Options!#REF!</f>
        <v>#REF!</v>
      </c>
      <c r="I27" s="454" t="e">
        <f>Options!#REF!</f>
        <v>#REF!</v>
      </c>
      <c r="J27" s="453" t="e">
        <f>Options!#REF!</f>
        <v>#REF!</v>
      </c>
      <c r="K27" s="453" t="e">
        <f>Options!#REF!</f>
        <v>#REF!</v>
      </c>
      <c r="L27" s="453" t="e">
        <f>Options!#REF!</f>
        <v>#REF!</v>
      </c>
      <c r="M27" s="447"/>
      <c r="N27" s="447" t="s">
        <v>1</v>
      </c>
      <c r="O27" s="447">
        <v>37</v>
      </c>
      <c r="P27" s="447">
        <v>32.5</v>
      </c>
      <c r="Q27" s="447">
        <v>32.5</v>
      </c>
      <c r="R27" s="447">
        <v>32.5</v>
      </c>
      <c r="S27" s="447">
        <v>32.5</v>
      </c>
      <c r="T27" s="447">
        <v>32.5</v>
      </c>
      <c r="U27" s="447"/>
      <c r="V27" s="450">
        <v>37.5</v>
      </c>
      <c r="W27" s="450">
        <v>33.200000000000003</v>
      </c>
      <c r="X27" s="450">
        <v>40.299999999999997</v>
      </c>
      <c r="Y27" s="450">
        <v>36.700000000000003</v>
      </c>
      <c r="Z27" s="450">
        <v>32</v>
      </c>
      <c r="AA27" s="450">
        <v>30</v>
      </c>
      <c r="AB27" s="450">
        <v>37.1</v>
      </c>
      <c r="AC27" s="450">
        <v>37.4</v>
      </c>
      <c r="AD27" s="450">
        <v>36.799999999999997</v>
      </c>
    </row>
    <row r="28" spans="3:30">
      <c r="D28" s="43"/>
      <c r="E28" s="43"/>
      <c r="F28" s="43"/>
      <c r="H28" s="447"/>
      <c r="I28" s="449"/>
      <c r="J28" s="448"/>
      <c r="K28" s="448"/>
      <c r="L28" s="448"/>
      <c r="M28" s="447"/>
      <c r="N28" s="447" t="s">
        <v>220</v>
      </c>
      <c r="O28" s="447">
        <v>48</v>
      </c>
      <c r="P28" s="447">
        <v>75</v>
      </c>
      <c r="Q28" s="447">
        <v>62</v>
      </c>
      <c r="R28" s="447">
        <v>48</v>
      </c>
      <c r="S28" s="447">
        <v>31</v>
      </c>
      <c r="T28" s="447">
        <v>21</v>
      </c>
      <c r="U28" s="447"/>
      <c r="V28" s="455"/>
      <c r="W28" s="455">
        <f>W27-V27</f>
        <v>-4.2999999999999972</v>
      </c>
      <c r="X28" s="455"/>
      <c r="Y28" s="455">
        <f>Y27-X27</f>
        <v>-3.5999999999999943</v>
      </c>
      <c r="Z28" s="455"/>
      <c r="AA28" s="455">
        <f>AA27-Z27</f>
        <v>-2</v>
      </c>
      <c r="AB28" s="455"/>
      <c r="AC28" s="455">
        <f>AC27-AB27</f>
        <v>0.29999999999999716</v>
      </c>
      <c r="AD28" s="455"/>
    </row>
    <row r="29" spans="3:30">
      <c r="D29" s="43"/>
      <c r="E29" s="43"/>
      <c r="F29" s="43"/>
      <c r="H29" s="447"/>
      <c r="I29" s="449"/>
      <c r="J29" s="448"/>
      <c r="K29" s="448"/>
      <c r="L29" s="448"/>
      <c r="M29" s="447"/>
      <c r="N29" s="447" t="s">
        <v>5</v>
      </c>
      <c r="O29" s="447">
        <v>40</v>
      </c>
      <c r="P29" s="447">
        <v>82.9</v>
      </c>
      <c r="Q29" s="447">
        <v>55</v>
      </c>
      <c r="R29" s="447">
        <v>34</v>
      </c>
      <c r="S29" s="447">
        <v>18</v>
      </c>
      <c r="T29" s="447">
        <v>10</v>
      </c>
      <c r="U29" s="447"/>
      <c r="V29" s="450"/>
      <c r="W29" s="450"/>
      <c r="X29" s="450"/>
      <c r="Y29" s="450"/>
      <c r="Z29" s="450"/>
      <c r="AA29" s="450"/>
      <c r="AB29" s="450"/>
      <c r="AC29" s="450"/>
      <c r="AD29" s="450"/>
    </row>
    <row r="30" spans="3:30">
      <c r="D30" s="43"/>
      <c r="E30" s="43"/>
      <c r="F30" s="43"/>
      <c r="H30" s="447"/>
      <c r="I30" s="449"/>
      <c r="J30" s="448"/>
      <c r="K30" s="448"/>
      <c r="L30" s="448"/>
      <c r="M30" s="447"/>
      <c r="N30" s="447" t="s">
        <v>103</v>
      </c>
      <c r="O30" s="447"/>
      <c r="P30" s="451">
        <f>P29/$O29-1</f>
        <v>1.0725000000000002</v>
      </c>
      <c r="Q30" s="451">
        <f t="shared" ref="Q30" si="4">Q29/$O29-1</f>
        <v>0.375</v>
      </c>
      <c r="R30" s="451">
        <f t="shared" ref="R30" si="5">R29/$O29-1</f>
        <v>-0.15000000000000002</v>
      </c>
      <c r="S30" s="451">
        <f t="shared" ref="S30" si="6">S29/$O29-1</f>
        <v>-0.55000000000000004</v>
      </c>
      <c r="T30" s="451">
        <f t="shared" ref="T30" si="7">T29/$O29-1</f>
        <v>-0.75</v>
      </c>
      <c r="U30" s="447"/>
      <c r="V30" s="450"/>
      <c r="W30" s="450"/>
      <c r="X30" s="450"/>
      <c r="Y30" s="450"/>
      <c r="Z30" s="450"/>
      <c r="AA30" s="450"/>
      <c r="AB30" s="450"/>
      <c r="AC30" s="450"/>
      <c r="AD30" s="450"/>
    </row>
    <row r="31" spans="3:30">
      <c r="D31" s="43"/>
      <c r="E31" s="43"/>
      <c r="F31" s="43"/>
      <c r="H31" s="447"/>
      <c r="I31" s="449"/>
      <c r="J31" s="448"/>
      <c r="K31" s="448"/>
      <c r="L31" s="448"/>
      <c r="M31" s="447"/>
      <c r="N31" s="447" t="s">
        <v>2321</v>
      </c>
      <c r="O31" s="447"/>
      <c r="P31" s="449" t="e">
        <f>$I$27*(1+P30)</f>
        <v>#REF!</v>
      </c>
      <c r="Q31" s="449" t="e">
        <f t="shared" ref="Q31:T31" si="8">$I$27*(1+Q30)</f>
        <v>#REF!</v>
      </c>
      <c r="R31" s="449" t="e">
        <f t="shared" si="8"/>
        <v>#REF!</v>
      </c>
      <c r="S31" s="449" t="e">
        <f t="shared" si="8"/>
        <v>#REF!</v>
      </c>
      <c r="T31" s="449" t="e">
        <f t="shared" si="8"/>
        <v>#REF!</v>
      </c>
      <c r="U31" s="447"/>
      <c r="V31" s="450"/>
      <c r="W31" s="450"/>
      <c r="X31" s="450"/>
      <c r="Y31" s="450"/>
      <c r="Z31" s="450"/>
      <c r="AA31" s="450"/>
      <c r="AB31" s="450"/>
      <c r="AC31" s="450"/>
      <c r="AD31" s="450"/>
    </row>
    <row r="32" spans="3:30">
      <c r="D32" s="43"/>
      <c r="E32" s="43"/>
      <c r="F32" s="43"/>
      <c r="H32" s="447"/>
      <c r="I32" s="449"/>
      <c r="J32" s="448"/>
      <c r="K32" s="448"/>
      <c r="L32" s="448"/>
      <c r="M32" s="447"/>
      <c r="N32" s="447" t="s">
        <v>2401</v>
      </c>
      <c r="O32" s="447"/>
      <c r="P32" s="449" t="e">
        <f>P31-$I$27</f>
        <v>#REF!</v>
      </c>
      <c r="Q32" s="449" t="e">
        <f t="shared" ref="Q32:T32" si="9">Q31-$I$27</f>
        <v>#REF!</v>
      </c>
      <c r="R32" s="449" t="e">
        <f t="shared" si="9"/>
        <v>#REF!</v>
      </c>
      <c r="S32" s="449" t="e">
        <f t="shared" si="9"/>
        <v>#REF!</v>
      </c>
      <c r="T32" s="449" t="e">
        <f t="shared" si="9"/>
        <v>#REF!</v>
      </c>
      <c r="U32" s="447"/>
      <c r="V32" s="450"/>
      <c r="W32" s="450"/>
      <c r="X32" s="450"/>
      <c r="Y32" s="450"/>
      <c r="Z32" s="450"/>
      <c r="AA32" s="450"/>
      <c r="AB32" s="450"/>
      <c r="AC32" s="450"/>
      <c r="AD32" s="450"/>
    </row>
    <row r="33" spans="3:30" ht="15.75" thickBot="1">
      <c r="D33" s="43"/>
      <c r="E33" s="43"/>
      <c r="F33" s="43"/>
      <c r="H33" s="447"/>
      <c r="I33" s="449"/>
      <c r="J33" s="448"/>
      <c r="K33" s="448"/>
      <c r="L33" s="448"/>
      <c r="M33" s="447"/>
      <c r="N33" s="447"/>
      <c r="O33" s="447"/>
      <c r="P33" s="447"/>
      <c r="Q33" s="447"/>
      <c r="R33" s="447"/>
      <c r="S33" s="447"/>
      <c r="T33" s="447"/>
      <c r="U33" s="447"/>
      <c r="V33" s="450"/>
      <c r="W33" s="450"/>
      <c r="X33" s="450"/>
      <c r="Y33" s="450"/>
      <c r="Z33" s="450"/>
      <c r="AA33" s="450"/>
      <c r="AB33" s="450"/>
      <c r="AC33" s="450"/>
      <c r="AD33" s="450"/>
    </row>
    <row r="34" spans="3:30" ht="15.75" thickBot="1">
      <c r="D34" s="43"/>
      <c r="E34" s="43"/>
      <c r="F34" s="43"/>
      <c r="H34" s="457" t="s">
        <v>220</v>
      </c>
      <c r="I34" s="458" t="e">
        <f>K27*10000</f>
        <v>#REF!</v>
      </c>
      <c r="J34" s="448"/>
      <c r="K34" s="448"/>
      <c r="L34" s="448"/>
      <c r="M34" s="447"/>
      <c r="N34" s="447"/>
      <c r="O34" s="447"/>
      <c r="P34" s="456" t="e">
        <f>P32/$I$34</f>
        <v>#REF!</v>
      </c>
      <c r="Q34" s="456" t="e">
        <f t="shared" ref="Q34:T34" si="10">Q32/$I$34</f>
        <v>#REF!</v>
      </c>
      <c r="R34" s="456" t="e">
        <f t="shared" si="10"/>
        <v>#REF!</v>
      </c>
      <c r="S34" s="456" t="e">
        <f t="shared" si="10"/>
        <v>#REF!</v>
      </c>
      <c r="T34" s="456" t="e">
        <f t="shared" si="10"/>
        <v>#REF!</v>
      </c>
      <c r="U34" s="447"/>
      <c r="V34" s="450"/>
      <c r="W34" s="450"/>
      <c r="X34" s="450"/>
      <c r="Y34" s="450"/>
      <c r="Z34" s="450"/>
      <c r="AA34" s="450"/>
      <c r="AB34" s="450"/>
      <c r="AC34" s="450"/>
      <c r="AD34" s="450"/>
    </row>
    <row r="35" spans="3:30" ht="15.75" thickBot="1">
      <c r="D35" s="43"/>
      <c r="E35" s="43"/>
      <c r="F35" s="43"/>
      <c r="H35" s="447"/>
      <c r="I35" s="447"/>
      <c r="J35" s="447"/>
      <c r="K35" s="447"/>
      <c r="L35" s="447"/>
      <c r="M35" s="447"/>
      <c r="N35" s="447"/>
      <c r="O35" s="447"/>
      <c r="P35" s="447"/>
      <c r="Q35" s="447"/>
      <c r="R35" s="447"/>
      <c r="S35" s="447"/>
      <c r="T35" s="447"/>
      <c r="U35" s="447"/>
      <c r="V35" s="450"/>
      <c r="W35" s="450"/>
      <c r="X35" s="450"/>
      <c r="Y35" s="450"/>
      <c r="Z35" s="450"/>
      <c r="AA35" s="450"/>
      <c r="AB35" s="450"/>
      <c r="AC35" s="450"/>
      <c r="AD35" s="450"/>
    </row>
    <row r="36" spans="3:30" s="6" customFormat="1" ht="15.75" thickBot="1">
      <c r="D36" s="444"/>
      <c r="E36" s="444"/>
      <c r="F36" s="444"/>
      <c r="H36" s="452"/>
      <c r="I36" s="454"/>
      <c r="J36" s="453"/>
      <c r="K36" s="453"/>
      <c r="L36" s="453"/>
      <c r="M36" s="452"/>
      <c r="N36" s="461" t="s">
        <v>2403</v>
      </c>
      <c r="O36" s="462"/>
      <c r="P36" s="463" t="e">
        <f>P22+P32</f>
        <v>#REF!</v>
      </c>
      <c r="Q36" s="463" t="e">
        <f t="shared" ref="Q36:T36" si="11">Q22+Q32</f>
        <v>#REF!</v>
      </c>
      <c r="R36" s="463" t="e">
        <f t="shared" si="11"/>
        <v>#REF!</v>
      </c>
      <c r="S36" s="463" t="e">
        <f t="shared" si="11"/>
        <v>#REF!</v>
      </c>
      <c r="T36" s="464" t="e">
        <f t="shared" si="11"/>
        <v>#REF!</v>
      </c>
      <c r="U36" s="452"/>
      <c r="V36" s="455"/>
      <c r="W36" s="455"/>
      <c r="X36" s="455"/>
      <c r="Y36" s="455"/>
      <c r="Z36" s="455"/>
      <c r="AA36" s="455"/>
      <c r="AB36" s="455"/>
      <c r="AC36" s="455"/>
      <c r="AD36" s="455"/>
    </row>
    <row r="37" spans="3:30">
      <c r="D37" s="43"/>
      <c r="E37" s="43"/>
      <c r="F37" s="43"/>
      <c r="H37" s="447"/>
      <c r="I37" s="454"/>
      <c r="J37" s="453"/>
      <c r="K37" s="453"/>
      <c r="L37" s="453"/>
      <c r="M37" s="447"/>
      <c r="N37" s="447"/>
      <c r="O37" s="447"/>
      <c r="P37" s="447"/>
      <c r="Q37" s="447"/>
      <c r="R37" s="447"/>
      <c r="S37" s="447"/>
      <c r="T37" s="447"/>
      <c r="U37" s="447"/>
      <c r="V37" s="450"/>
      <c r="W37" s="450"/>
      <c r="X37" s="450"/>
      <c r="Y37" s="450"/>
      <c r="Z37" s="450"/>
      <c r="AA37" s="450"/>
      <c r="AB37" s="450"/>
      <c r="AC37" s="450"/>
      <c r="AD37" s="450"/>
    </row>
    <row r="38" spans="3:30">
      <c r="D38" s="43"/>
      <c r="E38" s="43"/>
      <c r="F38" s="43"/>
      <c r="I38" s="276"/>
      <c r="J38" s="43"/>
      <c r="K38" s="43"/>
      <c r="L38" s="43"/>
    </row>
    <row r="39" spans="3:30">
      <c r="D39" s="43"/>
      <c r="E39" s="43"/>
      <c r="F39" s="43"/>
      <c r="H39" s="59"/>
      <c r="I39" s="337"/>
      <c r="J39" s="465"/>
      <c r="K39" s="465"/>
      <c r="L39" s="465"/>
      <c r="M39" s="59"/>
      <c r="N39" s="59"/>
      <c r="O39" s="167">
        <v>481</v>
      </c>
      <c r="P39" s="167">
        <v>515</v>
      </c>
      <c r="Q39" s="167">
        <v>505</v>
      </c>
      <c r="R39" s="167">
        <v>481</v>
      </c>
      <c r="S39" s="167">
        <v>455</v>
      </c>
      <c r="T39" s="167">
        <v>445</v>
      </c>
      <c r="U39" s="59"/>
      <c r="V39" s="425"/>
      <c r="W39" s="425"/>
      <c r="X39" s="425"/>
      <c r="Y39" s="425"/>
      <c r="Z39" s="425"/>
      <c r="AA39" s="425"/>
      <c r="AB39" s="425"/>
      <c r="AC39" s="425"/>
      <c r="AD39" s="425"/>
    </row>
    <row r="40" spans="3:30">
      <c r="D40" s="43"/>
      <c r="E40" s="43"/>
      <c r="F40" s="43"/>
      <c r="H40" s="59"/>
      <c r="I40" s="337"/>
      <c r="J40" s="465"/>
      <c r="K40" s="465"/>
      <c r="L40" s="465"/>
      <c r="M40" s="59"/>
      <c r="N40" s="59"/>
      <c r="O40" s="93"/>
      <c r="P40" s="466">
        <f>P39/$O39-1</f>
        <v>7.0686070686070579E-2</v>
      </c>
      <c r="Q40" s="466">
        <f t="shared" ref="Q40:T40" si="12">Q39/$O39-1</f>
        <v>4.9896049896049899E-2</v>
      </c>
      <c r="R40" s="466">
        <f t="shared" si="12"/>
        <v>0</v>
      </c>
      <c r="S40" s="466">
        <f t="shared" si="12"/>
        <v>-5.4054054054054057E-2</v>
      </c>
      <c r="T40" s="466">
        <f t="shared" si="12"/>
        <v>-7.4844074844074848E-2</v>
      </c>
      <c r="U40" s="59"/>
      <c r="V40" s="425"/>
      <c r="W40" s="425"/>
      <c r="X40" s="425"/>
      <c r="Y40" s="425"/>
      <c r="Z40" s="425"/>
      <c r="AA40" s="425"/>
      <c r="AB40" s="425"/>
      <c r="AC40" s="425"/>
      <c r="AD40" s="425"/>
    </row>
    <row r="41" spans="3:30">
      <c r="D41" s="43"/>
      <c r="E41" s="43"/>
      <c r="F41" s="43"/>
      <c r="H41" s="59"/>
      <c r="I41" s="337"/>
      <c r="J41" s="465"/>
      <c r="K41" s="465"/>
      <c r="L41" s="465" t="e">
        <f>L42*T43/100</f>
        <v>#REF!</v>
      </c>
      <c r="M41" s="59"/>
      <c r="N41" s="59"/>
      <c r="O41" s="59"/>
      <c r="P41" s="59"/>
      <c r="Q41" s="59"/>
      <c r="R41" s="59"/>
      <c r="S41" s="59"/>
      <c r="T41" s="59"/>
      <c r="U41" s="59"/>
      <c r="V41" s="425"/>
      <c r="W41" s="425"/>
      <c r="X41" s="425"/>
      <c r="Y41" s="425"/>
      <c r="Z41" s="425"/>
      <c r="AA41" s="425"/>
      <c r="AB41" s="425"/>
      <c r="AC41" s="425"/>
      <c r="AD41" s="425"/>
    </row>
    <row r="42" spans="3:30">
      <c r="D42" s="43"/>
      <c r="E42" s="43"/>
      <c r="F42" s="43"/>
      <c r="H42" s="59" t="e">
        <f>Options!#REF!</f>
        <v>#REF!</v>
      </c>
      <c r="I42" s="337" t="e">
        <f>Options!#REF!</f>
        <v>#REF!</v>
      </c>
      <c r="J42" s="465" t="e">
        <f>Options!#REF!</f>
        <v>#REF!</v>
      </c>
      <c r="K42" s="465" t="e">
        <f>Options!#REF!</f>
        <v>#REF!</v>
      </c>
      <c r="L42" s="465" t="e">
        <f>Options!#REF!</f>
        <v>#REF!</v>
      </c>
      <c r="M42" s="59"/>
      <c r="N42" s="59" t="s">
        <v>1</v>
      </c>
      <c r="O42" s="59">
        <v>28</v>
      </c>
      <c r="P42" s="59">
        <v>25</v>
      </c>
      <c r="Q42" s="59">
        <v>25</v>
      </c>
      <c r="R42" s="59">
        <v>25</v>
      </c>
      <c r="S42" s="59">
        <v>25</v>
      </c>
      <c r="T42" s="59">
        <v>25</v>
      </c>
      <c r="U42" s="59"/>
      <c r="V42" s="425">
        <v>23.2</v>
      </c>
      <c r="W42" s="425">
        <v>22.9</v>
      </c>
      <c r="X42" s="425">
        <v>27.1</v>
      </c>
      <c r="Y42" s="425">
        <v>24.8</v>
      </c>
      <c r="Z42" s="425">
        <v>21.5</v>
      </c>
      <c r="AA42" s="425">
        <v>22</v>
      </c>
      <c r="AB42" s="425">
        <v>26.4</v>
      </c>
      <c r="AC42" s="425">
        <v>26.5</v>
      </c>
      <c r="AD42" s="425">
        <v>27.5</v>
      </c>
    </row>
    <row r="43" spans="3:30">
      <c r="D43" s="43"/>
      <c r="E43" s="43"/>
      <c r="F43" s="43"/>
      <c r="H43" s="59"/>
      <c r="I43" s="467"/>
      <c r="J43" s="468"/>
      <c r="K43" s="468"/>
      <c r="L43" s="468"/>
      <c r="M43" s="59"/>
      <c r="N43" s="59" t="s">
        <v>220</v>
      </c>
      <c r="O43" s="59">
        <v>48</v>
      </c>
      <c r="P43" s="59">
        <v>63</v>
      </c>
      <c r="Q43" s="59">
        <v>59</v>
      </c>
      <c r="R43" s="59">
        <v>47</v>
      </c>
      <c r="S43" s="59">
        <v>35</v>
      </c>
      <c r="T43" s="59">
        <v>30</v>
      </c>
      <c r="U43" s="59"/>
      <c r="V43" s="469"/>
      <c r="W43" s="469">
        <f>W42-V42</f>
        <v>-0.30000000000000071</v>
      </c>
      <c r="X43" s="469"/>
      <c r="Y43" s="469">
        <f>Y42-X42</f>
        <v>-2.3000000000000007</v>
      </c>
      <c r="Z43" s="469"/>
      <c r="AA43" s="469">
        <f>AA42-Z42</f>
        <v>0.5</v>
      </c>
      <c r="AB43" s="469"/>
      <c r="AC43" s="469">
        <f>AC42-AB42</f>
        <v>0.10000000000000142</v>
      </c>
      <c r="AD43" s="469"/>
    </row>
    <row r="44" spans="3:30">
      <c r="D44" s="43"/>
      <c r="E44" s="43"/>
      <c r="F44" s="43"/>
      <c r="H44" s="59"/>
      <c r="I44" s="337"/>
      <c r="J44" s="465"/>
      <c r="K44" s="465"/>
      <c r="L44" s="465"/>
      <c r="M44" s="59"/>
      <c r="N44" s="59" t="s">
        <v>5</v>
      </c>
      <c r="O44" s="59">
        <v>31</v>
      </c>
      <c r="P44" s="59">
        <v>46</v>
      </c>
      <c r="Q44" s="59">
        <v>40</v>
      </c>
      <c r="R44" s="59">
        <v>27</v>
      </c>
      <c r="S44" s="59">
        <v>16</v>
      </c>
      <c r="T44" s="59">
        <v>13</v>
      </c>
      <c r="U44" s="59"/>
      <c r="V44" s="425"/>
      <c r="W44" s="425"/>
      <c r="X44" s="425"/>
      <c r="Y44" s="425"/>
      <c r="Z44" s="425"/>
      <c r="AA44" s="425"/>
      <c r="AB44" s="425"/>
      <c r="AC44" s="425"/>
      <c r="AD44" s="425"/>
    </row>
    <row r="45" spans="3:30">
      <c r="D45" s="43"/>
      <c r="E45" s="43"/>
      <c r="F45" s="43"/>
      <c r="H45" s="59"/>
      <c r="I45" s="337"/>
      <c r="J45" s="465"/>
      <c r="K45" s="465"/>
      <c r="L45" s="465"/>
      <c r="M45" s="59"/>
      <c r="N45" s="59" t="s">
        <v>103</v>
      </c>
      <c r="O45" s="59"/>
      <c r="P45" s="424">
        <f>P44/$O44-1</f>
        <v>0.4838709677419355</v>
      </c>
      <c r="Q45" s="424">
        <f t="shared" ref="Q45" si="13">Q44/$O44-1</f>
        <v>0.29032258064516125</v>
      </c>
      <c r="R45" s="424">
        <f t="shared" ref="R45" si="14">R44/$O44-1</f>
        <v>-0.12903225806451613</v>
      </c>
      <c r="S45" s="424">
        <f t="shared" ref="S45" si="15">S44/$O44-1</f>
        <v>-0.4838709677419355</v>
      </c>
      <c r="T45" s="424">
        <f t="shared" ref="T45" si="16">T44/$O44-1</f>
        <v>-0.58064516129032251</v>
      </c>
      <c r="U45" s="59"/>
      <c r="V45" s="425"/>
      <c r="W45" s="425"/>
      <c r="X45" s="425"/>
      <c r="Y45" s="425"/>
      <c r="Z45" s="425"/>
      <c r="AA45" s="425"/>
      <c r="AB45" s="425"/>
      <c r="AC45" s="425"/>
      <c r="AD45" s="425"/>
    </row>
    <row r="46" spans="3:30">
      <c r="C46" t="s">
        <v>79</v>
      </c>
      <c r="D46" s="43"/>
      <c r="E46" s="43"/>
      <c r="F46" s="43"/>
      <c r="H46" s="59"/>
      <c r="I46" s="59"/>
      <c r="J46" s="59"/>
      <c r="K46" s="59"/>
      <c r="L46" s="59"/>
      <c r="M46" s="59"/>
      <c r="N46" s="59" t="s">
        <v>2321</v>
      </c>
      <c r="O46" s="59"/>
      <c r="P46" s="337" t="e">
        <f>$I$42*(1+P45)</f>
        <v>#REF!</v>
      </c>
      <c r="Q46" s="337" t="e">
        <f t="shared" ref="Q46:T46" si="17">$I$42*(1+Q45)</f>
        <v>#REF!</v>
      </c>
      <c r="R46" s="337" t="e">
        <f t="shared" si="17"/>
        <v>#REF!</v>
      </c>
      <c r="S46" s="337" t="e">
        <f t="shared" si="17"/>
        <v>#REF!</v>
      </c>
      <c r="T46" s="337" t="e">
        <f t="shared" si="17"/>
        <v>#REF!</v>
      </c>
      <c r="U46" s="59"/>
      <c r="V46" s="425"/>
      <c r="W46" s="425"/>
      <c r="X46" s="425"/>
      <c r="Y46" s="425"/>
      <c r="Z46" s="425"/>
      <c r="AA46" s="425"/>
      <c r="AB46" s="425"/>
      <c r="AC46" s="425"/>
      <c r="AD46" s="425"/>
    </row>
    <row r="47" spans="3:30">
      <c r="D47" s="43"/>
      <c r="E47" s="43"/>
      <c r="F47" s="43"/>
      <c r="H47" s="59"/>
      <c r="I47" s="59"/>
      <c r="J47" s="59"/>
      <c r="K47" s="59"/>
      <c r="L47" s="59"/>
      <c r="M47" s="59"/>
      <c r="N47" s="59" t="s">
        <v>2401</v>
      </c>
      <c r="O47" s="59"/>
      <c r="P47" s="337" t="e">
        <f>P46-$I$42</f>
        <v>#REF!</v>
      </c>
      <c r="Q47" s="337" t="e">
        <f t="shared" ref="Q47:T47" si="18">Q46-$I$42</f>
        <v>#REF!</v>
      </c>
      <c r="R47" s="337" t="e">
        <f t="shared" si="18"/>
        <v>#REF!</v>
      </c>
      <c r="S47" s="337" t="e">
        <f t="shared" si="18"/>
        <v>#REF!</v>
      </c>
      <c r="T47" s="337" t="e">
        <f t="shared" si="18"/>
        <v>#REF!</v>
      </c>
      <c r="U47" s="59"/>
      <c r="V47" s="425"/>
      <c r="W47" s="425"/>
      <c r="X47" s="425"/>
      <c r="Y47" s="425"/>
      <c r="Z47" s="425"/>
      <c r="AA47" s="425"/>
      <c r="AB47" s="425"/>
      <c r="AC47" s="425"/>
      <c r="AD47" s="425"/>
    </row>
    <row r="48" spans="3:30"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469"/>
      <c r="W48" s="469"/>
      <c r="X48" s="469"/>
      <c r="Y48" s="469"/>
      <c r="Z48" s="469"/>
      <c r="AA48" s="469"/>
      <c r="AB48" s="469"/>
      <c r="AC48" s="469"/>
      <c r="AD48" s="469"/>
    </row>
    <row r="49" spans="8:30">
      <c r="H49" s="59"/>
      <c r="I49" s="59"/>
      <c r="J49" s="59"/>
      <c r="K49" s="59"/>
      <c r="L49" s="59"/>
      <c r="M49" s="59"/>
      <c r="N49" s="59"/>
      <c r="O49" s="59"/>
      <c r="P49" s="423" t="e">
        <f>P47/$I$42</f>
        <v>#REF!</v>
      </c>
      <c r="Q49" s="423" t="e">
        <f t="shared" ref="Q49:T49" si="19">Q47/$I$42</f>
        <v>#REF!</v>
      </c>
      <c r="R49" s="423" t="e">
        <f t="shared" si="19"/>
        <v>#REF!</v>
      </c>
      <c r="S49" s="423" t="e">
        <f t="shared" si="19"/>
        <v>#REF!</v>
      </c>
      <c r="T49" s="423" t="e">
        <f t="shared" si="19"/>
        <v>#REF!</v>
      </c>
      <c r="U49" s="59"/>
      <c r="V49" s="425"/>
      <c r="W49" s="425"/>
      <c r="X49" s="425"/>
      <c r="Y49" s="425"/>
      <c r="Z49" s="425"/>
      <c r="AA49" s="425"/>
      <c r="AB49" s="425"/>
      <c r="AC49" s="425"/>
      <c r="AD49" s="425"/>
    </row>
    <row r="50" spans="8:30" ht="15.75" thickBot="1"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425"/>
      <c r="W50" s="425"/>
      <c r="X50" s="425"/>
      <c r="Y50" s="425"/>
      <c r="Z50" s="425"/>
      <c r="AA50" s="425"/>
      <c r="AB50" s="425"/>
      <c r="AC50" s="425"/>
      <c r="AD50" s="425"/>
    </row>
    <row r="51" spans="8:30" ht="15.75" thickBot="1">
      <c r="H51" s="59"/>
      <c r="I51" s="59"/>
      <c r="J51" s="59"/>
      <c r="K51" s="59"/>
      <c r="L51" s="59"/>
      <c r="M51" s="59"/>
      <c r="N51" s="470" t="s">
        <v>2403</v>
      </c>
      <c r="O51" s="471"/>
      <c r="P51" s="472" t="e">
        <f>P47</f>
        <v>#REF!</v>
      </c>
      <c r="Q51" s="472" t="e">
        <f t="shared" ref="Q51:T51" si="20">Q47</f>
        <v>#REF!</v>
      </c>
      <c r="R51" s="472" t="e">
        <f t="shared" si="20"/>
        <v>#REF!</v>
      </c>
      <c r="S51" s="472" t="e">
        <f t="shared" si="20"/>
        <v>#REF!</v>
      </c>
      <c r="T51" s="472" t="e">
        <f t="shared" si="20"/>
        <v>#REF!</v>
      </c>
      <c r="U51" s="59"/>
      <c r="V51" s="425"/>
      <c r="W51" s="425"/>
      <c r="X51" s="425"/>
      <c r="Y51" s="425"/>
      <c r="Z51" s="425"/>
      <c r="AA51" s="425"/>
      <c r="AB51" s="425"/>
      <c r="AC51" s="425"/>
      <c r="AD51" s="425"/>
    </row>
    <row r="57" spans="8:30">
      <c r="I57" t="s">
        <v>2461</v>
      </c>
    </row>
    <row r="58" spans="8:30">
      <c r="H58" t="s">
        <v>2460</v>
      </c>
      <c r="I58" s="43">
        <f>25000/25673-1</f>
        <v>-2.6214310754489101E-2</v>
      </c>
    </row>
    <row r="59" spans="8:30">
      <c r="H59" s="43">
        <v>2.5000000000000001E-2</v>
      </c>
      <c r="I59" s="276">
        <f>H59*$I$58*10000</f>
        <v>-6.5535776886222754</v>
      </c>
    </row>
    <row r="60" spans="8:30">
      <c r="H60" s="43">
        <v>0.02</v>
      </c>
      <c r="I60" s="276">
        <f>H60*$I$58*10000</f>
        <v>-5.2428621508978202</v>
      </c>
    </row>
    <row r="61" spans="8:30">
      <c r="H61" s="43">
        <v>1.4999999999999999E-2</v>
      </c>
      <c r="I61" s="276">
        <f>H61*$I$58*10000</f>
        <v>-3.9321466131733649</v>
      </c>
    </row>
    <row r="63" spans="8:30">
      <c r="I63" s="276"/>
      <c r="J63" s="43"/>
      <c r="K63" s="43"/>
      <c r="L63" s="43"/>
    </row>
    <row r="64" spans="8:30">
      <c r="I64" t="s">
        <v>2461</v>
      </c>
      <c r="J64" s="43"/>
      <c r="K64" s="43"/>
      <c r="L64" s="43"/>
    </row>
    <row r="65" spans="8:9">
      <c r="H65" t="s">
        <v>2460</v>
      </c>
      <c r="I65" s="43">
        <v>0.01</v>
      </c>
    </row>
    <row r="66" spans="8:9">
      <c r="H66" s="43">
        <v>-0.01</v>
      </c>
      <c r="I66" s="276">
        <f>H66*$I$65*10000</f>
        <v>-1</v>
      </c>
    </row>
    <row r="67" spans="8:9">
      <c r="H67" s="43"/>
      <c r="I67" s="276"/>
    </row>
    <row r="68" spans="8:9">
      <c r="H68" s="43"/>
      <c r="I68" s="276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0"/>
      <c r="F3" s="6" t="s">
        <v>1977</v>
      </c>
      <c r="K3" s="6" t="s">
        <v>1978</v>
      </c>
      <c r="M3" s="6" t="s">
        <v>1979</v>
      </c>
    </row>
    <row r="4" spans="4:15">
      <c r="D4" s="6" t="s">
        <v>1966</v>
      </c>
      <c r="E4" s="390" t="s">
        <v>1967</v>
      </c>
      <c r="F4" s="6" t="s">
        <v>1971</v>
      </c>
      <c r="G4" s="6" t="s">
        <v>1972</v>
      </c>
      <c r="H4" s="6"/>
      <c r="I4" s="6" t="s">
        <v>1959</v>
      </c>
      <c r="J4" s="6" t="s">
        <v>1968</v>
      </c>
      <c r="K4" s="6" t="s">
        <v>1972</v>
      </c>
      <c r="L4" s="6"/>
      <c r="M4" s="6" t="s">
        <v>1969</v>
      </c>
    </row>
    <row r="5" spans="4:15">
      <c r="D5" t="s">
        <v>1965</v>
      </c>
      <c r="E5" s="80">
        <v>45960</v>
      </c>
      <c r="F5" s="267">
        <v>140</v>
      </c>
      <c r="G5" s="267" t="s">
        <v>1976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1975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1970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1973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1974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1960</v>
      </c>
      <c r="E6" s="388" t="s">
        <v>1962</v>
      </c>
      <c r="F6" s="57" t="s">
        <v>1961</v>
      </c>
      <c r="G6" s="388" t="s">
        <v>1962</v>
      </c>
      <c r="H6" s="388" t="s">
        <v>1963</v>
      </c>
      <c r="J6" s="57"/>
      <c r="K6" s="57"/>
      <c r="L6" s="57" t="s">
        <v>1960</v>
      </c>
      <c r="M6" s="388" t="s">
        <v>1962</v>
      </c>
      <c r="N6" s="57" t="s">
        <v>1961</v>
      </c>
      <c r="O6" s="388" t="s">
        <v>1962</v>
      </c>
      <c r="P6" s="57" t="s">
        <v>1964</v>
      </c>
      <c r="Q6" s="388" t="s">
        <v>1962</v>
      </c>
      <c r="R6" s="388" t="s">
        <v>1963</v>
      </c>
      <c r="T6" s="57"/>
      <c r="U6" s="57"/>
      <c r="V6" s="57" t="s">
        <v>1960</v>
      </c>
      <c r="W6" s="388" t="s">
        <v>1962</v>
      </c>
      <c r="X6" s="57" t="s">
        <v>1961</v>
      </c>
      <c r="Y6" s="388" t="s">
        <v>1962</v>
      </c>
      <c r="Z6" s="57" t="s">
        <v>1964</v>
      </c>
      <c r="AA6" s="388" t="s">
        <v>1962</v>
      </c>
      <c r="AB6" s="388" t="s">
        <v>1963</v>
      </c>
    </row>
    <row r="7" spans="2:28">
      <c r="B7" t="s">
        <v>1958</v>
      </c>
      <c r="C7" s="386">
        <v>45658</v>
      </c>
      <c r="D7">
        <v>30</v>
      </c>
      <c r="E7" s="387">
        <f>D7/15.9</f>
        <v>1.8867924528301887</v>
      </c>
      <c r="F7">
        <v>45</v>
      </c>
      <c r="G7" s="387">
        <f>F7/15.9</f>
        <v>2.8301886792452828</v>
      </c>
      <c r="H7" s="389">
        <v>1.55</v>
      </c>
      <c r="J7" t="s">
        <v>1958</v>
      </c>
      <c r="K7" s="386">
        <v>45658</v>
      </c>
      <c r="L7">
        <v>31.5</v>
      </c>
      <c r="M7" s="387">
        <f>L7/15.9</f>
        <v>1.9811320754716981</v>
      </c>
      <c r="N7">
        <v>23</v>
      </c>
      <c r="O7" s="387">
        <f>N7/15.9</f>
        <v>1.4465408805031446</v>
      </c>
      <c r="P7">
        <v>43</v>
      </c>
      <c r="Q7" s="387">
        <f>P7/15.9</f>
        <v>2.7044025157232703</v>
      </c>
      <c r="R7" s="389">
        <v>-6.2</v>
      </c>
      <c r="T7" t="s">
        <v>1958</v>
      </c>
      <c r="U7" s="386">
        <v>45658</v>
      </c>
      <c r="V7">
        <v>31.5</v>
      </c>
      <c r="W7" s="387">
        <f>V7/15.9</f>
        <v>1.9811320754716981</v>
      </c>
      <c r="X7">
        <v>23</v>
      </c>
      <c r="Y7" s="387">
        <f>X7/15.9</f>
        <v>1.4465408805031446</v>
      </c>
      <c r="Z7">
        <v>43</v>
      </c>
      <c r="AA7" s="387">
        <f>Z7/15.9</f>
        <v>2.7044025157232703</v>
      </c>
      <c r="AB7" s="389">
        <v>-6.2</v>
      </c>
    </row>
    <row r="8" spans="2:28">
      <c r="B8" t="s">
        <v>1955</v>
      </c>
      <c r="C8" s="386">
        <v>45748</v>
      </c>
      <c r="D8">
        <v>67</v>
      </c>
      <c r="E8" s="387">
        <f>D8/15.9</f>
        <v>4.2138364779874209</v>
      </c>
      <c r="F8">
        <v>47</v>
      </c>
      <c r="G8" s="387">
        <f>F8/15.9</f>
        <v>2.9559748427672954</v>
      </c>
      <c r="H8" s="389">
        <v>4.2300000000000004</v>
      </c>
      <c r="J8" t="s">
        <v>1955</v>
      </c>
      <c r="K8" s="386">
        <v>45748</v>
      </c>
      <c r="L8">
        <v>41.2</v>
      </c>
      <c r="M8" s="387">
        <f>L8/15.9</f>
        <v>2.5911949685534594</v>
      </c>
      <c r="N8">
        <v>32</v>
      </c>
      <c r="O8" s="387">
        <f t="shared" ref="O8:Q10" si="0">N8/15.9</f>
        <v>2.0125786163522013</v>
      </c>
      <c r="P8">
        <v>32</v>
      </c>
      <c r="Q8" s="387">
        <f t="shared" si="0"/>
        <v>2.0125786163522013</v>
      </c>
      <c r="R8" s="389">
        <v>7.6</v>
      </c>
      <c r="T8" t="s">
        <v>1955</v>
      </c>
      <c r="U8" s="386">
        <v>45748</v>
      </c>
      <c r="V8">
        <v>41.2</v>
      </c>
      <c r="W8" s="387">
        <f>V8/15.9</f>
        <v>2.5911949685534594</v>
      </c>
      <c r="X8">
        <v>32</v>
      </c>
      <c r="Y8" s="387">
        <f>X8/15.9</f>
        <v>2.0125786163522013</v>
      </c>
      <c r="Z8">
        <v>32</v>
      </c>
      <c r="AA8" s="387">
        <f>Z8/15.9</f>
        <v>2.0125786163522013</v>
      </c>
      <c r="AB8" s="389">
        <v>7.6</v>
      </c>
    </row>
    <row r="9" spans="2:28">
      <c r="B9" t="s">
        <v>1956</v>
      </c>
      <c r="C9" s="386">
        <v>45839</v>
      </c>
      <c r="D9">
        <v>21</v>
      </c>
      <c r="E9" s="387">
        <f>D9/15.9</f>
        <v>1.320754716981132</v>
      </c>
      <c r="F9">
        <v>36</v>
      </c>
      <c r="G9" s="387">
        <f>F9/15.9</f>
        <v>2.2641509433962264</v>
      </c>
      <c r="H9" s="389">
        <v>11.25</v>
      </c>
      <c r="J9" t="s">
        <v>1956</v>
      </c>
      <c r="K9" s="386">
        <v>45839</v>
      </c>
      <c r="L9">
        <v>11.5</v>
      </c>
      <c r="M9" s="387">
        <f>L9/15.9</f>
        <v>0.72327044025157228</v>
      </c>
      <c r="N9">
        <v>23</v>
      </c>
      <c r="O9" s="387">
        <f t="shared" si="0"/>
        <v>1.4465408805031446</v>
      </c>
      <c r="P9">
        <v>23</v>
      </c>
      <c r="Q9" s="387">
        <f t="shared" si="0"/>
        <v>1.4465408805031446</v>
      </c>
      <c r="R9" s="389">
        <v>3.95</v>
      </c>
      <c r="T9" t="s">
        <v>1956</v>
      </c>
      <c r="U9" s="386">
        <v>45839</v>
      </c>
      <c r="V9">
        <v>11.5</v>
      </c>
      <c r="W9" s="387">
        <f>V9/15.9</f>
        <v>0.72327044025157228</v>
      </c>
      <c r="X9">
        <v>23</v>
      </c>
      <c r="Y9" s="387">
        <f>X9/15.9</f>
        <v>1.4465408805031446</v>
      </c>
      <c r="Z9">
        <v>23</v>
      </c>
      <c r="AA9" s="387">
        <f>Z9/15.9</f>
        <v>1.4465408805031446</v>
      </c>
      <c r="AB9" s="389">
        <v>3.95</v>
      </c>
    </row>
    <row r="10" spans="2:28">
      <c r="B10" t="s">
        <v>1957</v>
      </c>
      <c r="C10" s="386">
        <v>45931</v>
      </c>
      <c r="D10">
        <v>23</v>
      </c>
      <c r="E10" s="387">
        <f>D10/15.9</f>
        <v>1.4465408805031446</v>
      </c>
      <c r="F10">
        <v>41</v>
      </c>
      <c r="G10" s="387">
        <f>F10/15.9</f>
        <v>2.5786163522012577</v>
      </c>
      <c r="H10" s="389">
        <v>-11.33</v>
      </c>
      <c r="J10" t="s">
        <v>1957</v>
      </c>
      <c r="K10" s="386">
        <v>45931</v>
      </c>
      <c r="L10">
        <v>15.1</v>
      </c>
      <c r="M10" s="387">
        <f>L10/15.9</f>
        <v>0.94968553459119498</v>
      </c>
      <c r="N10">
        <v>30</v>
      </c>
      <c r="O10" s="387">
        <f t="shared" si="0"/>
        <v>1.8867924528301887</v>
      </c>
      <c r="P10">
        <v>30</v>
      </c>
      <c r="Q10" s="387">
        <f t="shared" si="0"/>
        <v>1.8867924528301887</v>
      </c>
      <c r="R10" s="389">
        <v>-2.9</v>
      </c>
      <c r="T10" t="s">
        <v>1957</v>
      </c>
      <c r="U10" s="386">
        <v>45931</v>
      </c>
      <c r="V10">
        <v>15.1</v>
      </c>
      <c r="W10" s="387">
        <f>V10/15.9</f>
        <v>0.94968553459119498</v>
      </c>
      <c r="X10">
        <v>30</v>
      </c>
      <c r="Y10" s="387">
        <f>X10/15.9</f>
        <v>1.8867924528301887</v>
      </c>
      <c r="Z10">
        <v>30</v>
      </c>
      <c r="AA10" s="387">
        <f>Z10/15.9</f>
        <v>1.8867924528301887</v>
      </c>
      <c r="AB10" s="389">
        <v>-2.9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10" zoomScale="80" zoomScaleNormal="80" zoomScaleSheetLayoutView="85" workbookViewId="0">
      <selection activeCell="H49" sqref="H49"/>
    </sheetView>
  </sheetViews>
  <sheetFormatPr defaultColWidth="9.140625" defaultRowHeight="15.75" outlineLevelCol="1"/>
  <cols>
    <col min="1" max="1" width="18.5703125" style="282" bestFit="1" customWidth="1"/>
    <col min="2" max="2" width="10.140625" style="283" bestFit="1" customWidth="1" outlineLevel="1"/>
    <col min="3" max="5" width="9.28515625" style="284" customWidth="1" outlineLevel="1"/>
    <col min="6" max="6" width="8.4257812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>
        <f>'Master P&amp;L'!V5</f>
        <v>1.8483212658675374</v>
      </c>
      <c r="F4" s="284">
        <f>'Master P&amp;L'!U5</f>
        <v>2.5981238299317849E-2</v>
      </c>
    </row>
    <row r="5" spans="1:28">
      <c r="A5" s="297" t="s">
        <v>65</v>
      </c>
      <c r="C5" s="298">
        <f>'Master P&amp;L'!V6</f>
        <v>0.33174998240291664</v>
      </c>
      <c r="F5" s="284">
        <f>'Master P&amp;L'!U6</f>
        <v>-4.0156088532001706E-3</v>
      </c>
    </row>
    <row r="6" spans="1:28" s="304" customFormat="1">
      <c r="A6" s="299" t="s">
        <v>66</v>
      </c>
      <c r="B6" s="300"/>
      <c r="C6" s="301">
        <f>'Master P&amp;L'!V7</f>
        <v>2.1800712482704538</v>
      </c>
      <c r="D6" s="302"/>
      <c r="E6" s="302"/>
      <c r="F6" s="302">
        <f>'Master P&amp;L'!U7</f>
        <v>2.1965629446117678E-2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>
        <f>'Master P&amp;L'!U8</f>
        <v>2.9996847152518019E-2</v>
      </c>
    </row>
    <row r="8" spans="1:28">
      <c r="A8" s="306" t="s">
        <v>68</v>
      </c>
      <c r="B8" s="307"/>
      <c r="C8" s="308">
        <f>'Master P&amp;L'!V7*'Master P&amp;L'!AD5/10000</f>
        <v>489651.64743539732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>
        <f>C8*'Master P&amp;L'!AC3</f>
        <v>2573951.8150736531</v>
      </c>
      <c r="D9" s="312"/>
      <c r="E9" s="312"/>
      <c r="F9" s="312"/>
      <c r="G9" s="313"/>
      <c r="H9" s="312"/>
    </row>
    <row r="10" spans="1:28">
      <c r="A10" s="429" t="s">
        <v>2122</v>
      </c>
      <c r="B10" s="432">
        <f>Options!AI1</f>
        <v>-30.33884621534494</v>
      </c>
      <c r="H10" s="291"/>
    </row>
    <row r="11" spans="1:28">
      <c r="A11" s="314">
        <f ca="1">TODAY()</f>
        <v>46055</v>
      </c>
      <c r="H11" s="291"/>
      <c r="L11" s="284"/>
    </row>
    <row r="12" spans="1:28" s="365" customFormat="1" ht="47.25">
      <c r="A12" s="557" t="s">
        <v>72</v>
      </c>
      <c r="B12" s="550" t="s">
        <v>73</v>
      </c>
      <c r="C12" s="556" t="s">
        <v>74</v>
      </c>
      <c r="D12" s="556" t="s">
        <v>75</v>
      </c>
      <c r="E12" s="556" t="s">
        <v>76</v>
      </c>
      <c r="F12" s="556" t="s">
        <v>77</v>
      </c>
      <c r="G12" s="364"/>
      <c r="H12" s="366"/>
      <c r="I12" s="366"/>
      <c r="L12" s="315"/>
      <c r="AA12" s="367"/>
      <c r="AB12" s="367"/>
    </row>
    <row r="13" spans="1:28">
      <c r="A13" s="551" t="s">
        <v>1907</v>
      </c>
      <c r="B13" s="552">
        <v>-1.5920358419155994E-2</v>
      </c>
      <c r="C13" s="555">
        <v>-0.13330238199030123</v>
      </c>
      <c r="D13" s="553">
        <v>7.4493316861328526E-4</v>
      </c>
      <c r="E13" s="553">
        <v>1.8827683219512515E-4</v>
      </c>
      <c r="F13" s="553">
        <v>9.3321000080841038E-4</v>
      </c>
      <c r="G13" s="316"/>
      <c r="H13" s="291"/>
      <c r="L13" s="316"/>
    </row>
    <row r="14" spans="1:28">
      <c r="A14" s="554" t="s">
        <v>38</v>
      </c>
      <c r="B14" s="552">
        <v>-1.0765550239234423E-2</v>
      </c>
      <c r="C14" s="555">
        <v>-4.9279088470520496E-2</v>
      </c>
      <c r="D14" s="553">
        <v>2.8991336539117661E-4</v>
      </c>
      <c r="E14" s="553">
        <v>1.8827683219512515E-4</v>
      </c>
      <c r="F14" s="553">
        <v>4.7819019758630179E-4</v>
      </c>
      <c r="G14" s="316"/>
      <c r="H14" s="291"/>
      <c r="I14" s="285"/>
      <c r="L14" s="316"/>
    </row>
    <row r="15" spans="1:28">
      <c r="A15" s="554" t="s">
        <v>2138</v>
      </c>
      <c r="B15" s="552">
        <v>-3.0095312704008448E-2</v>
      </c>
      <c r="C15" s="555">
        <v>-6.752918115867998E-2</v>
      </c>
      <c r="D15" s="553">
        <v>2.1763146300965414E-4</v>
      </c>
      <c r="E15" s="553">
        <v>0</v>
      </c>
      <c r="F15" s="553">
        <v>2.1763146300965414E-4</v>
      </c>
      <c r="G15" s="316"/>
      <c r="H15" s="291"/>
      <c r="I15" s="285"/>
      <c r="L15" s="316"/>
    </row>
    <row r="16" spans="1:28">
      <c r="A16" s="554" t="s">
        <v>461</v>
      </c>
      <c r="B16" s="552">
        <v>-6.9002123142251071E-3</v>
      </c>
      <c r="C16" s="555">
        <v>-1.6494112361100755E-2</v>
      </c>
      <c r="D16" s="553">
        <v>2.3738834021245451E-4</v>
      </c>
      <c r="E16" s="553">
        <v>0</v>
      </c>
      <c r="F16" s="553">
        <v>2.3738834021245451E-4</v>
      </c>
      <c r="G16" s="316"/>
      <c r="H16" s="291"/>
      <c r="I16" s="285"/>
      <c r="L16" s="316"/>
    </row>
    <row r="17" spans="1:12">
      <c r="A17" s="551" t="s">
        <v>78</v>
      </c>
      <c r="B17" s="552">
        <v>0.36578557448638865</v>
      </c>
      <c r="C17" s="555">
        <v>0.41574781856781573</v>
      </c>
      <c r="D17" s="553">
        <v>0</v>
      </c>
      <c r="E17" s="553">
        <v>-2.7563553821503637E-3</v>
      </c>
      <c r="F17" s="553">
        <v>-2.7563553821503633E-3</v>
      </c>
      <c r="G17" s="316"/>
      <c r="H17" s="291"/>
      <c r="I17" s="285"/>
      <c r="L17" s="316"/>
    </row>
    <row r="18" spans="1:12">
      <c r="A18" s="554" t="s">
        <v>3</v>
      </c>
      <c r="B18" s="552">
        <v>3.8840132875564981E-3</v>
      </c>
      <c r="C18" s="555">
        <v>-9.9951417935145365E-2</v>
      </c>
      <c r="D18" s="553">
        <v>0</v>
      </c>
      <c r="E18" s="553">
        <v>0</v>
      </c>
      <c r="F18" s="553">
        <v>0</v>
      </c>
      <c r="G18" s="316"/>
      <c r="H18" s="291"/>
      <c r="I18" s="285"/>
      <c r="L18" s="316"/>
    </row>
    <row r="19" spans="1:12">
      <c r="A19" s="554" t="s">
        <v>135</v>
      </c>
      <c r="B19" s="552">
        <v>2.1530869171114912</v>
      </c>
      <c r="C19" s="555">
        <v>-9.5986747912663647E-4</v>
      </c>
      <c r="D19" s="553">
        <v>0</v>
      </c>
      <c r="E19" s="553">
        <v>-6.0698013832232291E-4</v>
      </c>
      <c r="F19" s="553">
        <v>-6.0698013832232291E-4</v>
      </c>
      <c r="G19" s="316"/>
      <c r="H19" s="291"/>
      <c r="I19" s="285"/>
      <c r="L19" s="316"/>
    </row>
    <row r="20" spans="1:12">
      <c r="A20" s="554" t="s">
        <v>1908</v>
      </c>
      <c r="B20" s="552">
        <v>1.2868090727667481E-2</v>
      </c>
      <c r="C20" s="555">
        <v>0.63100853410413293</v>
      </c>
      <c r="D20" s="553">
        <v>0</v>
      </c>
      <c r="E20" s="553">
        <v>0</v>
      </c>
      <c r="F20" s="553">
        <v>0</v>
      </c>
      <c r="G20" s="316"/>
      <c r="H20" s="291"/>
      <c r="L20" s="316"/>
    </row>
    <row r="21" spans="1:12">
      <c r="A21" s="554" t="s">
        <v>2463</v>
      </c>
      <c r="B21" s="552">
        <v>8.1223217763926048E-3</v>
      </c>
      <c r="C21" s="555">
        <v>-0.11434943012204525</v>
      </c>
      <c r="D21" s="553">
        <v>0</v>
      </c>
      <c r="E21" s="553">
        <v>-2.1493752438280409E-3</v>
      </c>
      <c r="F21" s="553">
        <v>-2.1493752438280409E-3</v>
      </c>
      <c r="G21" s="316"/>
      <c r="H21" s="291"/>
      <c r="I21" s="285"/>
      <c r="L21" s="316"/>
    </row>
    <row r="22" spans="1:12">
      <c r="A22" s="551" t="s">
        <v>2135</v>
      </c>
      <c r="B22" s="552">
        <v>7.9771374406639728E-4</v>
      </c>
      <c r="C22" s="555">
        <v>-1.4189345343611595E-2</v>
      </c>
      <c r="D22" s="553">
        <v>0</v>
      </c>
      <c r="E22" s="553">
        <v>0</v>
      </c>
      <c r="F22" s="553">
        <v>0</v>
      </c>
      <c r="G22" s="316"/>
      <c r="H22" s="291"/>
      <c r="I22" s="285"/>
      <c r="L22" s="316"/>
    </row>
    <row r="23" spans="1:12">
      <c r="A23" s="554" t="s">
        <v>131</v>
      </c>
      <c r="B23" s="552">
        <v>7.9771374406639728E-4</v>
      </c>
      <c r="C23" s="555">
        <v>-1.4189345343611595E-2</v>
      </c>
      <c r="D23" s="553">
        <v>0</v>
      </c>
      <c r="E23" s="553">
        <v>0</v>
      </c>
      <c r="F23" s="553">
        <v>0</v>
      </c>
      <c r="G23" s="316" t="s">
        <v>151</v>
      </c>
      <c r="H23" s="291"/>
      <c r="I23" s="285"/>
      <c r="L23" s="316"/>
    </row>
    <row r="24" spans="1:12">
      <c r="A24" s="551" t="s">
        <v>1880</v>
      </c>
      <c r="B24" s="552">
        <v>5.6479472513973105E-3</v>
      </c>
      <c r="C24" s="555">
        <v>1.4423280906954703</v>
      </c>
      <c r="D24" s="553">
        <v>1.760403558937211E-3</v>
      </c>
      <c r="E24" s="553">
        <v>6.9579733892165662E-3</v>
      </c>
      <c r="F24" s="553">
        <v>8.7183769481537776E-3</v>
      </c>
      <c r="G24" s="316" t="s">
        <v>151</v>
      </c>
      <c r="H24" s="291"/>
      <c r="I24" s="285"/>
      <c r="L24" s="316"/>
    </row>
    <row r="25" spans="1:12">
      <c r="A25" s="554" t="s">
        <v>94</v>
      </c>
      <c r="B25" s="552">
        <v>-2.8880866425992635E-2</v>
      </c>
      <c r="C25" s="555">
        <v>-0.63620083289904539</v>
      </c>
      <c r="D25" s="553">
        <v>1.5498458017549489E-3</v>
      </c>
      <c r="E25" s="553">
        <v>5.0417550090524723E-4</v>
      </c>
      <c r="F25" s="553">
        <v>2.0540213026601964E-3</v>
      </c>
      <c r="G25" s="316" t="s">
        <v>151</v>
      </c>
      <c r="H25" s="291"/>
      <c r="I25" s="285"/>
      <c r="L25" s="316"/>
    </row>
    <row r="26" spans="1:12">
      <c r="A26" s="554" t="s">
        <v>96</v>
      </c>
      <c r="B26" s="552">
        <v>1.5254359710381693E-2</v>
      </c>
      <c r="C26" s="555">
        <v>1.9746431340625361</v>
      </c>
      <c r="D26" s="553">
        <v>1.1368389974538741E-4</v>
      </c>
      <c r="E26" s="553">
        <v>5.6053122454367702E-3</v>
      </c>
      <c r="F26" s="553">
        <v>5.7189961451821567E-3</v>
      </c>
      <c r="G26" s="316" t="s">
        <v>151</v>
      </c>
      <c r="H26" s="291"/>
      <c r="I26" s="285"/>
      <c r="L26" s="316"/>
    </row>
    <row r="27" spans="1:12">
      <c r="A27" s="554" t="s">
        <v>137</v>
      </c>
      <c r="B27" s="552">
        <v>-4.3612147038817883E-3</v>
      </c>
      <c r="C27" s="555">
        <v>-4.1691635289022866E-2</v>
      </c>
      <c r="D27" s="553">
        <v>0</v>
      </c>
      <c r="E27" s="553">
        <v>8.3726800650306573E-4</v>
      </c>
      <c r="F27" s="553">
        <v>8.3726800650306583E-4</v>
      </c>
      <c r="G27" s="316" t="s">
        <v>151</v>
      </c>
      <c r="H27" s="291"/>
      <c r="I27" s="285"/>
      <c r="L27" s="316"/>
    </row>
    <row r="28" spans="1:12">
      <c r="A28" s="554" t="s">
        <v>138</v>
      </c>
      <c r="B28" s="552">
        <v>-3.294475418144982E-3</v>
      </c>
      <c r="C28" s="555">
        <v>1.4221646970952424E-2</v>
      </c>
      <c r="D28" s="553">
        <v>9.6873857436874573E-5</v>
      </c>
      <c r="E28" s="553">
        <v>-2.5780990023256564E-4</v>
      </c>
      <c r="F28" s="553">
        <v>-1.6093604279569104E-4</v>
      </c>
      <c r="G28" s="316"/>
      <c r="H28" s="291"/>
      <c r="I28" s="285"/>
      <c r="L28" s="316"/>
    </row>
    <row r="29" spans="1:12">
      <c r="A29" s="554" t="s">
        <v>708</v>
      </c>
      <c r="B29" s="552">
        <v>4.9924682590918978E-2</v>
      </c>
      <c r="C29" s="555">
        <v>0.13135577785005009</v>
      </c>
      <c r="D29" s="553">
        <v>0</v>
      </c>
      <c r="E29" s="553">
        <v>2.6902753660404914E-4</v>
      </c>
      <c r="F29" s="553">
        <v>2.6902753660404914E-4</v>
      </c>
      <c r="G29" s="316" t="s">
        <v>151</v>
      </c>
      <c r="H29" s="291"/>
      <c r="I29" s="285"/>
      <c r="L29" s="316"/>
    </row>
    <row r="30" spans="1:12">
      <c r="A30" s="551" t="s">
        <v>2134</v>
      </c>
      <c r="B30" s="552">
        <v>-3.1320395539873813E-2</v>
      </c>
      <c r="C30" s="555">
        <v>-0.72788008313367258</v>
      </c>
      <c r="D30" s="553">
        <v>3.8899516855069585E-3</v>
      </c>
      <c r="E30" s="553">
        <v>0</v>
      </c>
      <c r="F30" s="553">
        <v>3.8899516855069585E-3</v>
      </c>
      <c r="G30" s="316" t="s">
        <v>151</v>
      </c>
      <c r="H30" s="291"/>
      <c r="I30" s="285"/>
      <c r="L30" s="316"/>
    </row>
    <row r="31" spans="1:12">
      <c r="A31" s="554" t="s">
        <v>1754</v>
      </c>
      <c r="B31" s="552">
        <v>-5.7180076583959183E-3</v>
      </c>
      <c r="C31" s="555">
        <v>-0.27712509270013974</v>
      </c>
      <c r="D31" s="553">
        <v>3.2469812816735351E-3</v>
      </c>
      <c r="E31" s="553">
        <v>0</v>
      </c>
      <c r="F31" s="553">
        <v>3.2469812816735351E-3</v>
      </c>
      <c r="G31" s="316" t="s">
        <v>151</v>
      </c>
      <c r="H31" s="291"/>
      <c r="I31" s="285"/>
      <c r="L31" s="316"/>
    </row>
    <row r="32" spans="1:12">
      <c r="A32" s="554" t="s">
        <v>1855</v>
      </c>
      <c r="B32" s="552">
        <v>6.2256534582387779E-3</v>
      </c>
      <c r="C32" s="555">
        <v>2.6002402420395648E-3</v>
      </c>
      <c r="D32" s="553">
        <v>4.2026567239013763E-5</v>
      </c>
      <c r="E32" s="553">
        <v>0</v>
      </c>
      <c r="F32" s="553">
        <v>4.2026567239013763E-5</v>
      </c>
      <c r="G32" s="316"/>
      <c r="H32" s="291"/>
      <c r="L32" s="316"/>
    </row>
    <row r="33" spans="1:28">
      <c r="A33" s="554" t="s">
        <v>2269</v>
      </c>
      <c r="B33" s="552">
        <v>-8.6908690869086924E-2</v>
      </c>
      <c r="C33" s="555">
        <v>-0.31632964980347783</v>
      </c>
      <c r="D33" s="553">
        <v>3.3234634093276788E-4</v>
      </c>
      <c r="E33" s="553">
        <v>0</v>
      </c>
      <c r="F33" s="553">
        <v>3.3234634093276788E-4</v>
      </c>
      <c r="G33" s="316"/>
      <c r="H33" s="291"/>
      <c r="I33" s="285"/>
      <c r="L33" s="316"/>
    </row>
    <row r="34" spans="1:28">
      <c r="A34" s="554" t="s">
        <v>2452</v>
      </c>
      <c r="B34" s="552">
        <v>-4.7901660255801448E-2</v>
      </c>
      <c r="C34" s="555">
        <v>-0.13702558087209465</v>
      </c>
      <c r="D34" s="553">
        <v>2.6859749566164143E-4</v>
      </c>
      <c r="E34" s="553">
        <v>0</v>
      </c>
      <c r="F34" s="553">
        <v>2.6859749566164143E-4</v>
      </c>
      <c r="G34" s="316"/>
      <c r="H34" s="291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551" t="s">
        <v>2064</v>
      </c>
      <c r="B35" s="552">
        <v>1.7133869136865862E-2</v>
      </c>
      <c r="C35" s="555">
        <v>0.86269495486505532</v>
      </c>
      <c r="D35" s="553">
        <v>1.3786946026475531E-3</v>
      </c>
      <c r="E35" s="553">
        <v>6.282826603402216E-4</v>
      </c>
      <c r="F35" s="553">
        <v>2.0069772629877753E-3</v>
      </c>
      <c r="G35" s="286"/>
      <c r="H35" s="291"/>
      <c r="I35" s="285"/>
      <c r="L35" s="316"/>
    </row>
    <row r="36" spans="1:28">
      <c r="A36" s="554" t="s">
        <v>2063</v>
      </c>
      <c r="B36" s="552">
        <v>3.4946592734780235E-2</v>
      </c>
      <c r="C36" s="555">
        <v>0.55398542890951719</v>
      </c>
      <c r="D36" s="553">
        <v>0</v>
      </c>
      <c r="E36" s="553">
        <v>6.282826603402216E-4</v>
      </c>
      <c r="F36" s="553">
        <v>6.282826603402216E-4</v>
      </c>
      <c r="G36" s="286" t="s">
        <v>151</v>
      </c>
      <c r="H36" s="291"/>
      <c r="I36" s="285"/>
      <c r="L36" s="316"/>
    </row>
    <row r="37" spans="1:28">
      <c r="A37" s="554" t="s">
        <v>2345</v>
      </c>
      <c r="B37" s="552">
        <v>1.3574020284459642E-2</v>
      </c>
      <c r="C37" s="555">
        <v>0.29333967495797314</v>
      </c>
      <c r="D37" s="553">
        <v>1.0675318245502504E-3</v>
      </c>
      <c r="E37" s="553">
        <v>0</v>
      </c>
      <c r="F37" s="553">
        <v>1.0675318245502504E-3</v>
      </c>
      <c r="G37" s="286"/>
      <c r="H37" s="291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554" t="s">
        <v>2354</v>
      </c>
      <c r="B38" s="552">
        <v>-2.2619806910199047E-3</v>
      </c>
      <c r="C38" s="555">
        <v>-1.6454298727401426E-2</v>
      </c>
      <c r="D38" s="553">
        <v>3.1116277809730282E-4</v>
      </c>
      <c r="E38" s="553">
        <v>0</v>
      </c>
      <c r="F38" s="553">
        <v>3.1116277809730282E-4</v>
      </c>
      <c r="G38" s="286"/>
      <c r="H38" s="291"/>
      <c r="I38" s="285"/>
      <c r="L38" s="316"/>
      <c r="AA38" s="319"/>
      <c r="AB38" s="319"/>
    </row>
    <row r="39" spans="1:28">
      <c r="A39" s="554" t="s">
        <v>2369</v>
      </c>
      <c r="B39" s="552">
        <v>2.2276844219243475E-2</v>
      </c>
      <c r="C39" s="555">
        <v>3.1824149724966354E-2</v>
      </c>
      <c r="D39" s="553">
        <v>0</v>
      </c>
      <c r="E39" s="553">
        <v>0</v>
      </c>
      <c r="F39" s="553">
        <v>0</v>
      </c>
      <c r="G39" s="286"/>
      <c r="H39" s="291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551" t="s">
        <v>2129</v>
      </c>
      <c r="B40" s="552">
        <v>-9.6961861667744786E-3</v>
      </c>
      <c r="C40" s="555">
        <v>-2.2223018810215052E-2</v>
      </c>
      <c r="D40" s="553">
        <v>2.269710987816625E-4</v>
      </c>
      <c r="E40" s="553">
        <v>0</v>
      </c>
      <c r="F40" s="553">
        <v>2.269710987816625E-4</v>
      </c>
      <c r="G40" s="286" t="s">
        <v>1770</v>
      </c>
      <c r="H40" s="291"/>
      <c r="L40" s="316"/>
    </row>
    <row r="41" spans="1:28">
      <c r="A41" s="554" t="s">
        <v>2128</v>
      </c>
      <c r="B41" s="552">
        <v>-9.6961861667744786E-3</v>
      </c>
      <c r="C41" s="555">
        <v>-2.2223018810215052E-2</v>
      </c>
      <c r="D41" s="553">
        <v>2.269710987816625E-4</v>
      </c>
      <c r="E41" s="553">
        <v>0</v>
      </c>
      <c r="F41" s="553">
        <v>2.269710987816625E-4</v>
      </c>
      <c r="G41" s="286" t="s">
        <v>1770</v>
      </c>
      <c r="H41" s="291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 s="551" t="s">
        <v>2246</v>
      </c>
      <c r="B42" s="552">
        <v>3.4231681989117155E-3</v>
      </c>
      <c r="C42" s="555">
        <v>0.33936719858368369</v>
      </c>
      <c r="D42" s="553">
        <v>6.0684043148754186E-3</v>
      </c>
      <c r="E42" s="553">
        <v>2.9455518147090262E-3</v>
      </c>
      <c r="F42" s="553">
        <v>9.0139561295844457E-3</v>
      </c>
      <c r="G42" s="286" t="s">
        <v>1770</v>
      </c>
      <c r="H42" s="291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 s="554" t="s">
        <v>79</v>
      </c>
      <c r="B43" s="552">
        <v>2.6514782278419524E-2</v>
      </c>
      <c r="C43" s="555">
        <v>0.46438805973834241</v>
      </c>
      <c r="D43" s="553">
        <v>3.3798394607952617E-4</v>
      </c>
      <c r="E43" s="553">
        <v>1.1010249200072138E-3</v>
      </c>
      <c r="F43" s="553">
        <v>1.43900886608674E-3</v>
      </c>
      <c r="G43" s="286" t="s">
        <v>1770</v>
      </c>
      <c r="H43" s="291"/>
      <c r="I43" s="285"/>
      <c r="L43" s="316"/>
    </row>
    <row r="44" spans="1:28">
      <c r="A44" s="554" t="s">
        <v>89</v>
      </c>
      <c r="B44" s="552">
        <v>-1.1802017620317351E-2</v>
      </c>
      <c r="C44" s="555">
        <v>-1.8508748999681371E-2</v>
      </c>
      <c r="D44" s="553">
        <v>-2.8019783716766856E-4</v>
      </c>
      <c r="E44" s="553">
        <v>0</v>
      </c>
      <c r="F44" s="553">
        <v>-2.8019783716766856E-4</v>
      </c>
      <c r="G44" s="286" t="s">
        <v>1770</v>
      </c>
      <c r="H44" s="291"/>
      <c r="I44" s="285"/>
      <c r="L44" s="316"/>
      <c r="S44" s="317"/>
      <c r="T44" s="317"/>
      <c r="U44" s="317"/>
    </row>
    <row r="45" spans="1:28">
      <c r="A45" s="554" t="s">
        <v>81</v>
      </c>
      <c r="B45" s="552">
        <v>-1.4082344731332963E-2</v>
      </c>
      <c r="C45" s="555">
        <v>-0.61697568889298815</v>
      </c>
      <c r="D45" s="553">
        <v>1.6951499648246546E-3</v>
      </c>
      <c r="E45" s="553">
        <v>1.8445268947018126E-3</v>
      </c>
      <c r="F45" s="553">
        <v>3.5396768595264672E-3</v>
      </c>
      <c r="G45" s="286" t="s">
        <v>1770</v>
      </c>
      <c r="H45" s="291"/>
      <c r="I45" s="285"/>
      <c r="L45" s="316"/>
    </row>
    <row r="46" spans="1:28">
      <c r="A46" s="554" t="s">
        <v>90</v>
      </c>
      <c r="B46" s="552">
        <v>-1.6082177136349962E-2</v>
      </c>
      <c r="C46" s="555">
        <v>-0.12071627284446129</v>
      </c>
      <c r="D46" s="553">
        <v>7.3854983286357609E-4</v>
      </c>
      <c r="E46" s="553">
        <v>0</v>
      </c>
      <c r="F46" s="553">
        <v>7.3854983286357609E-4</v>
      </c>
      <c r="G46" s="286"/>
      <c r="H46" s="291"/>
      <c r="I46" s="285"/>
    </row>
    <row r="47" spans="1:28">
      <c r="A47" s="554" t="s">
        <v>399</v>
      </c>
      <c r="B47" s="552">
        <v>6.4540473840579149E-3</v>
      </c>
      <c r="C47" s="555">
        <v>0.24934039304902203</v>
      </c>
      <c r="D47" s="553">
        <v>1.4901748553277092E-3</v>
      </c>
      <c r="E47" s="553">
        <v>0</v>
      </c>
      <c r="F47" s="553">
        <v>1.4901748553277092E-3</v>
      </c>
      <c r="G47" s="286"/>
      <c r="H47" s="291"/>
      <c r="I47" s="285"/>
    </row>
    <row r="48" spans="1:28">
      <c r="A48" s="554" t="s">
        <v>2145</v>
      </c>
      <c r="B48" s="552">
        <v>1.8639411573568188E-2</v>
      </c>
      <c r="C48" s="555">
        <v>0.38183945653345008</v>
      </c>
      <c r="D48" s="553">
        <v>2.0867435529476211E-3</v>
      </c>
      <c r="E48" s="553">
        <v>0</v>
      </c>
      <c r="F48" s="553">
        <v>2.0867435529476211E-3</v>
      </c>
      <c r="G48" s="286"/>
      <c r="H48" s="291"/>
      <c r="I48" s="285"/>
    </row>
    <row r="49" spans="1:35">
      <c r="A49" s="551" t="s">
        <v>2247</v>
      </c>
      <c r="B49" s="552">
        <v>4.1371718491261351E-3</v>
      </c>
      <c r="C49" s="555">
        <v>6.7295056960515968E-3</v>
      </c>
      <c r="D49" s="553">
        <v>-5.1349780130626846E-5</v>
      </c>
      <c r="E49" s="553">
        <v>0</v>
      </c>
      <c r="F49" s="553">
        <v>-5.1349780130626846E-5</v>
      </c>
      <c r="G49" s="286"/>
      <c r="H49" s="291"/>
      <c r="I49" s="285"/>
    </row>
    <row r="50" spans="1:35">
      <c r="A50" s="554" t="s">
        <v>88</v>
      </c>
      <c r="B50" s="552">
        <v>1.0666167664670656E-2</v>
      </c>
      <c r="C50" s="555">
        <v>0.10883019211706703</v>
      </c>
      <c r="D50" s="553">
        <v>1.0312138028496117E-3</v>
      </c>
      <c r="E50" s="553">
        <v>0</v>
      </c>
      <c r="F50" s="553">
        <v>1.0312138028496117E-3</v>
      </c>
      <c r="G50" s="286"/>
      <c r="H50" s="291"/>
      <c r="I50" s="285"/>
      <c r="O50" s="286">
        <v>1.1100000000000001</v>
      </c>
    </row>
    <row r="51" spans="1:35">
      <c r="A51" s="554" t="s">
        <v>4</v>
      </c>
      <c r="B51" s="552">
        <v>1.1854867680517245E-2</v>
      </c>
      <c r="C51" s="555">
        <v>-0.11361909617053524</v>
      </c>
      <c r="D51" s="553">
        <v>-9.697791541828563E-4</v>
      </c>
      <c r="E51" s="553">
        <v>0</v>
      </c>
      <c r="F51" s="553">
        <v>-9.697791541828563E-4</v>
      </c>
      <c r="G51" s="286"/>
      <c r="H51" s="291"/>
      <c r="I51" s="286"/>
      <c r="O51" s="286">
        <v>-1.4</v>
      </c>
      <c r="P51" s="286" t="s">
        <v>2442</v>
      </c>
    </row>
    <row r="52" spans="1:35">
      <c r="A52" s="554" t="s">
        <v>2261</v>
      </c>
      <c r="B52" s="552">
        <v>-1.0109519797809496E-2</v>
      </c>
      <c r="C52" s="555">
        <v>1.1518409749519809E-2</v>
      </c>
      <c r="D52" s="553">
        <v>-1.1278442879738221E-4</v>
      </c>
      <c r="E52" s="553">
        <v>0</v>
      </c>
      <c r="F52" s="553">
        <v>-1.1278442879738221E-4</v>
      </c>
      <c r="G52" s="286"/>
      <c r="H52" s="291"/>
      <c r="I52" s="285"/>
    </row>
    <row r="53" spans="1:35">
      <c r="A53" s="551" t="s">
        <v>97</v>
      </c>
      <c r="B53" s="552">
        <v>4.8239018954117127E-2</v>
      </c>
      <c r="C53" s="555">
        <v>2.169272739130276</v>
      </c>
      <c r="D53" s="553">
        <v>1.4018008649231464E-2</v>
      </c>
      <c r="E53" s="553">
        <v>7.9637293143105768E-3</v>
      </c>
      <c r="F53" s="553">
        <v>2.1981737963542036E-2</v>
      </c>
      <c r="G53" s="286"/>
      <c r="H53" s="291"/>
      <c r="I53" s="285"/>
    </row>
    <row r="54" spans="1:35">
      <c r="A54"/>
      <c r="B54"/>
      <c r="C54"/>
      <c r="D54"/>
      <c r="E54"/>
      <c r="F54"/>
      <c r="G54" s="286"/>
      <c r="H54" s="291"/>
      <c r="I54" s="285"/>
    </row>
    <row r="55" spans="1:35">
      <c r="A55"/>
      <c r="B55"/>
      <c r="C55"/>
      <c r="D55"/>
      <c r="E55"/>
      <c r="F55"/>
      <c r="G55" s="286"/>
      <c r="H55" s="291"/>
      <c r="I55" s="286"/>
    </row>
    <row r="56" spans="1:35">
      <c r="A56"/>
      <c r="B56"/>
      <c r="C56"/>
      <c r="D56"/>
      <c r="E56"/>
      <c r="F56"/>
      <c r="G56" s="286"/>
      <c r="H56" s="291"/>
      <c r="I56" s="286"/>
    </row>
    <row r="57" spans="1:35">
      <c r="A57"/>
      <c r="B57"/>
      <c r="C57"/>
      <c r="D57"/>
      <c r="E57"/>
      <c r="F57"/>
      <c r="G57" s="286"/>
      <c r="H57" s="291"/>
      <c r="I57" s="286"/>
    </row>
    <row r="58" spans="1:35">
      <c r="A58"/>
      <c r="B58"/>
      <c r="C58"/>
      <c r="D58"/>
      <c r="E58"/>
      <c r="F58"/>
      <c r="G58" s="286"/>
      <c r="H58" s="291"/>
      <c r="I58" s="286"/>
    </row>
    <row r="59" spans="1:35">
      <c r="A59"/>
      <c r="B59"/>
      <c r="C59"/>
      <c r="D59"/>
      <c r="E59"/>
      <c r="F59"/>
      <c r="G59" s="286"/>
      <c r="H59" s="291"/>
      <c r="I59" s="286"/>
    </row>
    <row r="60" spans="1:35">
      <c r="A60"/>
      <c r="B60"/>
      <c r="C60"/>
      <c r="D60"/>
      <c r="E60"/>
      <c r="F60"/>
      <c r="G60" s="286"/>
      <c r="H60" s="291"/>
      <c r="I60" s="286"/>
    </row>
    <row r="61" spans="1:35">
      <c r="A61"/>
      <c r="B61"/>
      <c r="C61"/>
      <c r="D61"/>
      <c r="E61"/>
      <c r="F61"/>
      <c r="G61" s="286"/>
      <c r="H61" s="291"/>
      <c r="I61" s="286"/>
      <c r="AI61" s="320"/>
    </row>
    <row r="62" spans="1:35">
      <c r="A62"/>
      <c r="B62"/>
      <c r="C62"/>
      <c r="D62"/>
      <c r="E62"/>
      <c r="F62"/>
      <c r="G62" s="286"/>
      <c r="H62" s="291"/>
      <c r="I62" s="286"/>
      <c r="AI62" s="320"/>
    </row>
    <row r="63" spans="1:35">
      <c r="A63"/>
      <c r="B63"/>
      <c r="C63"/>
      <c r="D63"/>
      <c r="E63"/>
      <c r="F63"/>
      <c r="G63" s="286"/>
      <c r="H63" s="291"/>
      <c r="I63" s="286"/>
      <c r="AI63" s="320"/>
    </row>
    <row r="64" spans="1:35">
      <c r="A64"/>
      <c r="B64"/>
      <c r="C64"/>
      <c r="D64"/>
      <c r="E64"/>
      <c r="F64"/>
      <c r="G64" s="286"/>
      <c r="H64" s="291"/>
      <c r="I64" s="286"/>
      <c r="AI64" s="320"/>
    </row>
    <row r="65" spans="1:9">
      <c r="A65"/>
      <c r="B65"/>
      <c r="C65"/>
      <c r="D65"/>
      <c r="E65"/>
      <c r="F65"/>
      <c r="G65" s="286"/>
      <c r="H65" s="291"/>
      <c r="I65" s="286"/>
    </row>
    <row r="66" spans="1:9">
      <c r="A66"/>
      <c r="B66"/>
      <c r="C66"/>
      <c r="D66"/>
      <c r="E66"/>
      <c r="F66"/>
      <c r="G66" s="286"/>
      <c r="H66" s="291"/>
      <c r="I66" s="286"/>
    </row>
    <row r="67" spans="1:9">
      <c r="A67"/>
      <c r="B67"/>
      <c r="C67"/>
      <c r="D67"/>
      <c r="E67"/>
      <c r="F67"/>
      <c r="G67" s="286"/>
      <c r="H67" s="291"/>
      <c r="I67" s="286"/>
    </row>
    <row r="68" spans="1:9">
      <c r="A68"/>
      <c r="B68"/>
      <c r="C68"/>
      <c r="D68"/>
      <c r="E68"/>
      <c r="F68"/>
      <c r="G68" s="286"/>
      <c r="H68" s="291"/>
      <c r="I68" s="286"/>
    </row>
    <row r="69" spans="1:9">
      <c r="A69"/>
      <c r="B69"/>
      <c r="C69"/>
      <c r="D69"/>
      <c r="E69"/>
      <c r="F69"/>
      <c r="G69" s="286"/>
      <c r="H69" s="291"/>
      <c r="I69" s="286"/>
    </row>
    <row r="70" spans="1:9">
      <c r="A70"/>
      <c r="B70"/>
      <c r="C70"/>
      <c r="D70"/>
      <c r="E70"/>
      <c r="F70"/>
      <c r="G70" s="286"/>
      <c r="H70" s="291"/>
      <c r="I70" s="286"/>
    </row>
    <row r="71" spans="1:9">
      <c r="A71"/>
      <c r="B71"/>
      <c r="C71"/>
      <c r="D71"/>
      <c r="E71"/>
      <c r="F71"/>
      <c r="G71" s="286"/>
      <c r="H71" s="291"/>
      <c r="I71" s="286"/>
    </row>
    <row r="72" spans="1:9">
      <c r="A72"/>
      <c r="B72"/>
      <c r="C72"/>
      <c r="D72"/>
      <c r="E72"/>
      <c r="F72"/>
      <c r="G72" s="286"/>
      <c r="H72" s="291"/>
      <c r="I72" s="286"/>
    </row>
    <row r="73" spans="1:9">
      <c r="A73"/>
      <c r="B73"/>
      <c r="C73"/>
      <c r="D73"/>
      <c r="E73"/>
      <c r="F73"/>
      <c r="G73" s="286"/>
      <c r="H73" s="291"/>
    </row>
    <row r="74" spans="1:9">
      <c r="A74"/>
      <c r="B74"/>
      <c r="C74"/>
      <c r="D74"/>
      <c r="E74"/>
      <c r="F74"/>
      <c r="G74" s="286"/>
      <c r="H74" s="291"/>
    </row>
    <row r="75" spans="1:9">
      <c r="A75"/>
      <c r="B75"/>
      <c r="C75"/>
      <c r="D75"/>
      <c r="E75"/>
      <c r="F75"/>
      <c r="G75" s="286"/>
      <c r="H75" s="291"/>
    </row>
    <row r="76" spans="1:9">
      <c r="A76"/>
      <c r="B76"/>
      <c r="C76"/>
      <c r="D76"/>
      <c r="E76"/>
      <c r="F76"/>
      <c r="G76" s="286"/>
      <c r="H76" s="291"/>
    </row>
    <row r="77" spans="1:9">
      <c r="A77"/>
      <c r="B77"/>
      <c r="C77"/>
      <c r="D77"/>
      <c r="E77"/>
      <c r="F77"/>
      <c r="G77" s="286"/>
      <c r="H77" s="291"/>
    </row>
    <row r="78" spans="1:9">
      <c r="A78"/>
      <c r="B78"/>
      <c r="C78"/>
      <c r="D78"/>
      <c r="E78"/>
      <c r="F78"/>
      <c r="G78" s="286"/>
      <c r="H78" s="291"/>
    </row>
    <row r="79" spans="1:9">
      <c r="A79"/>
      <c r="B79"/>
      <c r="C79"/>
      <c r="D79"/>
      <c r="E79"/>
      <c r="F79"/>
      <c r="G79" s="286"/>
      <c r="H79" s="291"/>
    </row>
    <row r="80" spans="1:9">
      <c r="A80"/>
      <c r="B80"/>
      <c r="C80"/>
      <c r="D80"/>
      <c r="E80"/>
      <c r="F80"/>
      <c r="G80" s="286"/>
      <c r="H80" s="291"/>
    </row>
    <row r="81" spans="1:8">
      <c r="A81"/>
      <c r="B81"/>
      <c r="C81"/>
      <c r="D81"/>
      <c r="E81"/>
      <c r="F81"/>
      <c r="G81" s="286"/>
      <c r="H81" s="291"/>
    </row>
    <row r="82" spans="1:8">
      <c r="A82"/>
      <c r="B82"/>
      <c r="C82"/>
      <c r="D82"/>
      <c r="E82"/>
      <c r="F82"/>
      <c r="G82" s="286"/>
      <c r="H82" s="291"/>
    </row>
    <row r="83" spans="1:8">
      <c r="A83"/>
      <c r="B83"/>
      <c r="C83"/>
      <c r="D83"/>
      <c r="E83"/>
      <c r="F83"/>
      <c r="G83" s="286"/>
      <c r="H83" s="291"/>
    </row>
    <row r="84" spans="1:8">
      <c r="A84"/>
      <c r="B84"/>
      <c r="C84"/>
      <c r="D84"/>
      <c r="E84"/>
      <c r="F84"/>
      <c r="G84" s="286"/>
      <c r="H84" s="291"/>
    </row>
    <row r="85" spans="1:8">
      <c r="A85"/>
      <c r="B85"/>
      <c r="C85"/>
      <c r="D85"/>
      <c r="E85"/>
      <c r="F85"/>
      <c r="G85" s="286"/>
      <c r="H85" s="291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57" priority="10219" operator="lessThan">
      <formula>0</formula>
    </cfRule>
  </conditionalFormatting>
  <conditionalFormatting sqref="H86:H1048576 F1:H9 F12:G12 G10:G11">
    <cfRule type="cellIs" dxfId="1656" priority="10216" operator="lessThan">
      <formula>0</formula>
    </cfRule>
    <cfRule type="cellIs" dxfId="1655" priority="10217" operator="lessThan">
      <formula>0</formula>
    </cfRule>
  </conditionalFormatting>
  <conditionalFormatting sqref="F136:G1048576 G86:G135">
    <cfRule type="cellIs" dxfId="1654" priority="5852" operator="lessThan">
      <formula>0</formula>
    </cfRule>
  </conditionalFormatting>
  <conditionalFormatting sqref="F136:G1048576 G86:G135">
    <cfRule type="cellIs" dxfId="1653" priority="5851" operator="lessThan">
      <formula>0</formula>
    </cfRule>
  </conditionalFormatting>
  <conditionalFormatting sqref="F136:G1048576 G86:G135">
    <cfRule type="cellIs" dxfId="1652" priority="5849" operator="lessThan">
      <formula>0</formula>
    </cfRule>
    <cfRule type="cellIs" dxfId="1651" priority="5850" operator="lessThan">
      <formula>0</formula>
    </cfRule>
  </conditionalFormatting>
  <conditionalFormatting sqref="F136:G1048576 G86:G135">
    <cfRule type="cellIs" dxfId="1650" priority="5848" operator="lessThan">
      <formula>0</formula>
    </cfRule>
  </conditionalFormatting>
  <conditionalFormatting sqref="F136:G1048576 G86:G135">
    <cfRule type="cellIs" dxfId="1649" priority="5847" operator="lessThan">
      <formula>0</formula>
    </cfRule>
  </conditionalFormatting>
  <conditionalFormatting sqref="F136:G1048576 G86:G135">
    <cfRule type="cellIs" dxfId="1648" priority="5846" operator="lessThan">
      <formula>0</formula>
    </cfRule>
  </conditionalFormatting>
  <conditionalFormatting sqref="F136:G1048576 G86:G135">
    <cfRule type="cellIs" dxfId="1647" priority="5845" operator="lessThan">
      <formula>0</formula>
    </cfRule>
  </conditionalFormatting>
  <conditionalFormatting sqref="F136:G1048576 G86:G135">
    <cfRule type="cellIs" dxfId="1646" priority="5844" operator="lessThan">
      <formula>0</formula>
    </cfRule>
  </conditionalFormatting>
  <conditionalFormatting sqref="F136:G1048576 G86:G135">
    <cfRule type="cellIs" dxfId="1645" priority="5843" operator="lessThan">
      <formula>0</formula>
    </cfRule>
  </conditionalFormatting>
  <conditionalFormatting sqref="F136:G1048576 G86:G135">
    <cfRule type="cellIs" dxfId="1644" priority="5842" operator="lessThan">
      <formula>0</formula>
    </cfRule>
  </conditionalFormatting>
  <conditionalFormatting sqref="F136:G1048576 G86:G135">
    <cfRule type="cellIs" dxfId="1643" priority="5841" operator="lessThan">
      <formula>0</formula>
    </cfRule>
  </conditionalFormatting>
  <conditionalFormatting sqref="F136:G1048576 G86:G135">
    <cfRule type="cellIs" dxfId="1642" priority="5840" operator="lessThan">
      <formula>0</formula>
    </cfRule>
  </conditionalFormatting>
  <conditionalFormatting sqref="F136:G1048576 G86:G135">
    <cfRule type="cellIs" dxfId="1641" priority="5839" operator="lessThan">
      <formula>0</formula>
    </cfRule>
  </conditionalFormatting>
  <conditionalFormatting sqref="F136:G1048576 G86:G135">
    <cfRule type="cellIs" dxfId="1640" priority="5838" operator="lessThan">
      <formula>0</formula>
    </cfRule>
  </conditionalFormatting>
  <conditionalFormatting sqref="F136:G1048576 G86:G135">
    <cfRule type="cellIs" dxfId="1639" priority="5837" operator="lessThan">
      <formula>0</formula>
    </cfRule>
  </conditionalFormatting>
  <conditionalFormatting sqref="F136:G1048576 G86:G135">
    <cfRule type="cellIs" dxfId="1638" priority="5836" operator="lessThan">
      <formula>0</formula>
    </cfRule>
  </conditionalFormatting>
  <conditionalFormatting sqref="F136:G1048576 G86:G135">
    <cfRule type="cellIs" dxfId="1637" priority="5835" operator="lessThan">
      <formula>0</formula>
    </cfRule>
  </conditionalFormatting>
  <conditionalFormatting sqref="F136:G1048576 G86:G135">
    <cfRule type="cellIs" dxfId="1636" priority="5834" operator="lessThan">
      <formula>0</formula>
    </cfRule>
  </conditionalFormatting>
  <conditionalFormatting sqref="F136:G1048576 G86:G135">
    <cfRule type="cellIs" dxfId="1635" priority="5833" operator="lessThan">
      <formula>0</formula>
    </cfRule>
  </conditionalFormatting>
  <conditionalFormatting sqref="F136:G1048576 G86:G135">
    <cfRule type="cellIs" dxfId="1634" priority="5832" operator="lessThan">
      <formula>0</formula>
    </cfRule>
  </conditionalFormatting>
  <conditionalFormatting sqref="F136:G1048576 G86:G135">
    <cfRule type="cellIs" dxfId="1633" priority="5831" operator="lessThan">
      <formula>0</formula>
    </cfRule>
  </conditionalFormatting>
  <conditionalFormatting sqref="F136:G1048576 G86:G135">
    <cfRule type="cellIs" dxfId="1632" priority="5830" operator="lessThan">
      <formula>0</formula>
    </cfRule>
  </conditionalFormatting>
  <conditionalFormatting sqref="F136:G1048576 G86:G135">
    <cfRule type="cellIs" dxfId="1631" priority="5829" operator="lessThan">
      <formula>0</formula>
    </cfRule>
  </conditionalFormatting>
  <conditionalFormatting sqref="F136:G1048576 G86:G135">
    <cfRule type="cellIs" dxfId="1630" priority="5828" operator="lessThan">
      <formula>0</formula>
    </cfRule>
  </conditionalFormatting>
  <conditionalFormatting sqref="F136:G1048576 G86:G135">
    <cfRule type="cellIs" dxfId="1629" priority="5827" operator="lessThan">
      <formula>0</formula>
    </cfRule>
  </conditionalFormatting>
  <conditionalFormatting sqref="F136:G1048576 G86:G135">
    <cfRule type="cellIs" dxfId="1628" priority="5826" operator="lessThan">
      <formula>0</formula>
    </cfRule>
  </conditionalFormatting>
  <conditionalFormatting sqref="F136:G1048576 G86:G135">
    <cfRule type="cellIs" dxfId="1627" priority="5825" operator="lessThan">
      <formula>0</formula>
    </cfRule>
  </conditionalFormatting>
  <conditionalFormatting sqref="F136:G1048576 G86:G135">
    <cfRule type="cellIs" dxfId="1626" priority="5824" operator="lessThan">
      <formula>0</formula>
    </cfRule>
  </conditionalFormatting>
  <conditionalFormatting sqref="F136:G1048576 G86:G135">
    <cfRule type="cellIs" dxfId="1625" priority="5823" operator="lessThan">
      <formula>0</formula>
    </cfRule>
  </conditionalFormatting>
  <conditionalFormatting sqref="F136:G1048576 G86:G135">
    <cfRule type="cellIs" dxfId="1624" priority="5822" operator="lessThan">
      <formula>0</formula>
    </cfRule>
  </conditionalFormatting>
  <conditionalFormatting sqref="F136:G1048576 G86:G135">
    <cfRule type="cellIs" dxfId="1623" priority="5821" operator="lessThan">
      <formula>0</formula>
    </cfRule>
  </conditionalFormatting>
  <conditionalFormatting sqref="F136:G1048576 G86:G135">
    <cfRule type="cellIs" dxfId="1622" priority="5820" operator="lessThan">
      <formula>0</formula>
    </cfRule>
  </conditionalFormatting>
  <conditionalFormatting sqref="F136:G1048576 G86:G135">
    <cfRule type="cellIs" dxfId="1621" priority="5819" operator="lessThan">
      <formula>0</formula>
    </cfRule>
  </conditionalFormatting>
  <conditionalFormatting sqref="F136:G1048576 G86:G135">
    <cfRule type="cellIs" dxfId="1620" priority="5818" operator="lessThan">
      <formula>0</formula>
    </cfRule>
  </conditionalFormatting>
  <conditionalFormatting sqref="F136:G1048576 G86:G135">
    <cfRule type="cellIs" dxfId="1619" priority="5817" operator="lessThan">
      <formula>0</formula>
    </cfRule>
  </conditionalFormatting>
  <conditionalFormatting sqref="F136:G1048576 G86:G135">
    <cfRule type="cellIs" dxfId="1618" priority="5816" operator="lessThan">
      <formula>0</formula>
    </cfRule>
  </conditionalFormatting>
  <conditionalFormatting sqref="F136:G1048576 G86:G135">
    <cfRule type="cellIs" dxfId="1617" priority="5815" operator="lessThan">
      <formula>0</formula>
    </cfRule>
  </conditionalFormatting>
  <conditionalFormatting sqref="F136:G1048576 G86:G135">
    <cfRule type="cellIs" dxfId="1616" priority="5814" operator="lessThan">
      <formula>0</formula>
    </cfRule>
  </conditionalFormatting>
  <conditionalFormatting sqref="F136:G1048576 G86:G135">
    <cfRule type="cellIs" dxfId="1615" priority="5813" operator="lessThan">
      <formula>0</formula>
    </cfRule>
  </conditionalFormatting>
  <conditionalFormatting sqref="F136:G1048576 G86:G135">
    <cfRule type="cellIs" dxfId="1614" priority="5812" operator="lessThan">
      <formula>0</formula>
    </cfRule>
  </conditionalFormatting>
  <conditionalFormatting sqref="F136:G1048576 G86:G135">
    <cfRule type="cellIs" dxfId="1613" priority="5811" operator="lessThan">
      <formula>0</formula>
    </cfRule>
  </conditionalFormatting>
  <conditionalFormatting sqref="F136:G1048576 G86:G135">
    <cfRule type="cellIs" dxfId="1612" priority="5810" operator="lessThan">
      <formula>0</formula>
    </cfRule>
  </conditionalFormatting>
  <conditionalFormatting sqref="F136:G1048576 G86:G135">
    <cfRule type="cellIs" dxfId="1611" priority="5809" operator="lessThan">
      <formula>0</formula>
    </cfRule>
  </conditionalFormatting>
  <conditionalFormatting sqref="F136:G1048576 G86:G135">
    <cfRule type="cellIs" dxfId="1610" priority="5808" operator="lessThan">
      <formula>0</formula>
    </cfRule>
  </conditionalFormatting>
  <conditionalFormatting sqref="F136:G1048576 G86:G135">
    <cfRule type="cellIs" dxfId="1609" priority="5807" operator="lessThan">
      <formula>0</formula>
    </cfRule>
  </conditionalFormatting>
  <conditionalFormatting sqref="F136:G1048576 G86:G135">
    <cfRule type="cellIs" dxfId="1608" priority="5806" operator="lessThan">
      <formula>0</formula>
    </cfRule>
  </conditionalFormatting>
  <conditionalFormatting sqref="F136:G1048576 G86:G135">
    <cfRule type="cellIs" dxfId="1607" priority="5805" operator="lessThan">
      <formula>0</formula>
    </cfRule>
  </conditionalFormatting>
  <conditionalFormatting sqref="F136:G1048576 G86:G135">
    <cfRule type="cellIs" dxfId="1606" priority="5804" operator="lessThan">
      <formula>0</formula>
    </cfRule>
  </conditionalFormatting>
  <conditionalFormatting sqref="F136:G1048576 G86:G135">
    <cfRule type="cellIs" dxfId="1605" priority="5803" operator="lessThan">
      <formula>0</formula>
    </cfRule>
  </conditionalFormatting>
  <conditionalFormatting sqref="F136:G1048576 G86:G135">
    <cfRule type="cellIs" dxfId="1604" priority="5802" operator="lessThan">
      <formula>0</formula>
    </cfRule>
  </conditionalFormatting>
  <conditionalFormatting sqref="F136:G1048576 G86:G135">
    <cfRule type="cellIs" dxfId="1603" priority="5801" operator="lessThan">
      <formula>0</formula>
    </cfRule>
  </conditionalFormatting>
  <conditionalFormatting sqref="F136:G1048576 G86:G135">
    <cfRule type="cellIs" dxfId="1602" priority="5800" operator="lessThan">
      <formula>0</formula>
    </cfRule>
  </conditionalFormatting>
  <conditionalFormatting sqref="F136:G1048576 G86:G135">
    <cfRule type="cellIs" dxfId="1601" priority="5799" operator="lessThan">
      <formula>0</formula>
    </cfRule>
  </conditionalFormatting>
  <conditionalFormatting sqref="F136:G1048576 G86:G135">
    <cfRule type="cellIs" dxfId="1600" priority="5798" operator="lessThan">
      <formula>0</formula>
    </cfRule>
  </conditionalFormatting>
  <conditionalFormatting sqref="F136:G1048576 G86:G135">
    <cfRule type="cellIs" dxfId="1599" priority="5797" operator="lessThan">
      <formula>0</formula>
    </cfRule>
  </conditionalFormatting>
  <conditionalFormatting sqref="F136:G1048576 G86:G135">
    <cfRule type="cellIs" dxfId="1598" priority="5796" operator="lessThan">
      <formula>0</formula>
    </cfRule>
  </conditionalFormatting>
  <conditionalFormatting sqref="F136:G1048576 G86:G135">
    <cfRule type="cellIs" dxfId="1597" priority="5795" operator="lessThan">
      <formula>0</formula>
    </cfRule>
  </conditionalFormatting>
  <conditionalFormatting sqref="F136:G1048576 G86:G135">
    <cfRule type="cellIs" dxfId="1596" priority="5794" operator="lessThan">
      <formula>0</formula>
    </cfRule>
  </conditionalFormatting>
  <conditionalFormatting sqref="F136:G1048576 G86:G135">
    <cfRule type="cellIs" dxfId="1595" priority="5793" operator="lessThan">
      <formula>0</formula>
    </cfRule>
  </conditionalFormatting>
  <conditionalFormatting sqref="F136:G1048576 G86:G135">
    <cfRule type="cellIs" dxfId="1594" priority="5792" operator="lessThan">
      <formula>0</formula>
    </cfRule>
  </conditionalFormatting>
  <conditionalFormatting sqref="F136:G1048576 G86:G135">
    <cfRule type="cellIs" dxfId="1593" priority="5791" operator="lessThan">
      <formula>0</formula>
    </cfRule>
  </conditionalFormatting>
  <conditionalFormatting sqref="F136:G1048576 G86:G135">
    <cfRule type="cellIs" dxfId="1592" priority="5790" operator="lessThan">
      <formula>0</formula>
    </cfRule>
  </conditionalFormatting>
  <conditionalFormatting sqref="F136:G1048576 G86:G135">
    <cfRule type="cellIs" dxfId="1591" priority="5789" operator="lessThan">
      <formula>0</formula>
    </cfRule>
  </conditionalFormatting>
  <conditionalFormatting sqref="F136:G1048576 G86:G135">
    <cfRule type="cellIs" dxfId="1590" priority="5788" operator="lessThan">
      <formula>0</formula>
    </cfRule>
  </conditionalFormatting>
  <conditionalFormatting sqref="F136:G1048576 G86:G135">
    <cfRule type="cellIs" dxfId="1589" priority="5787" operator="lessThan">
      <formula>0</formula>
    </cfRule>
  </conditionalFormatting>
  <conditionalFormatting sqref="F136:G1048576 G86:G135">
    <cfRule type="cellIs" dxfId="1588" priority="5786" operator="lessThan">
      <formula>0</formula>
    </cfRule>
  </conditionalFormatting>
  <conditionalFormatting sqref="F136:G1048576 G86:G135">
    <cfRule type="cellIs" dxfId="1587" priority="5785" operator="lessThan">
      <formula>0</formula>
    </cfRule>
  </conditionalFormatting>
  <conditionalFormatting sqref="F136:G1048576 G86:G135">
    <cfRule type="cellIs" dxfId="1586" priority="5784" operator="lessThan">
      <formula>0</formula>
    </cfRule>
  </conditionalFormatting>
  <conditionalFormatting sqref="F136:G1048576 G86:G135">
    <cfRule type="cellIs" dxfId="1585" priority="5783" operator="lessThan">
      <formula>0</formula>
    </cfRule>
  </conditionalFormatting>
  <conditionalFormatting sqref="F136:G1048576 G86:G135">
    <cfRule type="cellIs" dxfId="1584" priority="5782" operator="lessThan">
      <formula>0</formula>
    </cfRule>
  </conditionalFormatting>
  <conditionalFormatting sqref="F136:G1048576 G86:G135">
    <cfRule type="cellIs" dxfId="1583" priority="5781" operator="lessThan">
      <formula>0</formula>
    </cfRule>
  </conditionalFormatting>
  <conditionalFormatting sqref="F136:G1048576 G86:G135">
    <cfRule type="cellIs" dxfId="1582" priority="5780" operator="lessThan">
      <formula>0</formula>
    </cfRule>
  </conditionalFormatting>
  <conditionalFormatting sqref="F136:G1048576 G86:G135">
    <cfRule type="cellIs" dxfId="1581" priority="5779" operator="lessThan">
      <formula>0</formula>
    </cfRule>
  </conditionalFormatting>
  <conditionalFormatting sqref="F136:G1048576 G86:G135">
    <cfRule type="cellIs" dxfId="1580" priority="5778" operator="lessThan">
      <formula>0</formula>
    </cfRule>
  </conditionalFormatting>
  <conditionalFormatting sqref="F136:G1048576 G86:G135">
    <cfRule type="cellIs" dxfId="1579" priority="5777" operator="lessThan">
      <formula>0</formula>
    </cfRule>
  </conditionalFormatting>
  <conditionalFormatting sqref="F136:G1048576 G86:G135">
    <cfRule type="cellIs" dxfId="1578" priority="5776" operator="lessThan">
      <formula>0</formula>
    </cfRule>
  </conditionalFormatting>
  <conditionalFormatting sqref="F136:G1048576 G86:G135">
    <cfRule type="cellIs" dxfId="1577" priority="5775" operator="lessThan">
      <formula>0</formula>
    </cfRule>
  </conditionalFormatting>
  <conditionalFormatting sqref="F136:G1048576 G86:G135">
    <cfRule type="cellIs" dxfId="1576" priority="5774" operator="lessThan">
      <formula>0</formula>
    </cfRule>
  </conditionalFormatting>
  <conditionalFormatting sqref="F136:G1048576 G86:G135">
    <cfRule type="cellIs" dxfId="1575" priority="5773" operator="lessThan">
      <formula>0</formula>
    </cfRule>
  </conditionalFormatting>
  <conditionalFormatting sqref="F136:G1048576 G86:G135">
    <cfRule type="cellIs" dxfId="1574" priority="5772" operator="lessThan">
      <formula>0</formula>
    </cfRule>
  </conditionalFormatting>
  <conditionalFormatting sqref="F136:G1048576 G86:G135">
    <cfRule type="cellIs" dxfId="1573" priority="5771" operator="lessThan">
      <formula>0</formula>
    </cfRule>
  </conditionalFormatting>
  <conditionalFormatting sqref="F136:G1048576 G86:G135">
    <cfRule type="cellIs" dxfId="1572" priority="5770" operator="lessThan">
      <formula>0</formula>
    </cfRule>
  </conditionalFormatting>
  <conditionalFormatting sqref="F136:G1048576 G86:G135">
    <cfRule type="cellIs" dxfId="1571" priority="5769" operator="lessThan">
      <formula>0</formula>
    </cfRule>
  </conditionalFormatting>
  <conditionalFormatting sqref="F136:G1048576 G86:G135">
    <cfRule type="cellIs" dxfId="1570" priority="5768" operator="lessThan">
      <formula>0</formula>
    </cfRule>
  </conditionalFormatting>
  <conditionalFormatting sqref="F136:G1048576 G86:G135">
    <cfRule type="cellIs" dxfId="1569" priority="5767" operator="lessThan">
      <formula>0</formula>
    </cfRule>
  </conditionalFormatting>
  <conditionalFormatting sqref="F136:G1048576 G86:G135">
    <cfRule type="cellIs" dxfId="1568" priority="5766" operator="lessThan">
      <formula>0</formula>
    </cfRule>
  </conditionalFormatting>
  <conditionalFormatting sqref="F136:G1048576 G86:G135">
    <cfRule type="cellIs" dxfId="1567" priority="5765" operator="lessThan">
      <formula>0</formula>
    </cfRule>
  </conditionalFormatting>
  <conditionalFormatting sqref="F136:G1048576 G86:G135">
    <cfRule type="cellIs" dxfId="1566" priority="5764" operator="lessThan">
      <formula>0</formula>
    </cfRule>
  </conditionalFormatting>
  <conditionalFormatting sqref="F136:G1048576 G86:G135">
    <cfRule type="cellIs" dxfId="1565" priority="5763" operator="lessThan">
      <formula>0</formula>
    </cfRule>
  </conditionalFormatting>
  <conditionalFormatting sqref="F136:G1048576 G86:G135">
    <cfRule type="cellIs" dxfId="1564" priority="5762" operator="lessThan">
      <formula>0</formula>
    </cfRule>
  </conditionalFormatting>
  <conditionalFormatting sqref="F136:G1048576 G86:G135">
    <cfRule type="cellIs" dxfId="1563" priority="5761" operator="lessThan">
      <formula>0</formula>
    </cfRule>
  </conditionalFormatting>
  <conditionalFormatting sqref="F136:G1048576 G86:G135">
    <cfRule type="cellIs" dxfId="1562" priority="5760" operator="lessThan">
      <formula>0</formula>
    </cfRule>
  </conditionalFormatting>
  <conditionalFormatting sqref="F136:G1048576 G86:G135">
    <cfRule type="cellIs" dxfId="1561" priority="5759" operator="lessThan">
      <formula>0</formula>
    </cfRule>
  </conditionalFormatting>
  <conditionalFormatting sqref="F136:G1048576 G86:G135">
    <cfRule type="cellIs" dxfId="1560" priority="5758" operator="lessThan">
      <formula>0</formula>
    </cfRule>
  </conditionalFormatting>
  <conditionalFormatting sqref="F136:G1048576 G86:G135">
    <cfRule type="cellIs" dxfId="1559" priority="5757" operator="lessThan">
      <formula>0</formula>
    </cfRule>
  </conditionalFormatting>
  <conditionalFormatting sqref="F136:G1048576 G86:G135">
    <cfRule type="cellIs" dxfId="1558" priority="5756" operator="lessThan">
      <formula>0</formula>
    </cfRule>
  </conditionalFormatting>
  <conditionalFormatting sqref="F136:G1048576 G86:G135">
    <cfRule type="cellIs" dxfId="1557" priority="5755" operator="lessThan">
      <formula>0</formula>
    </cfRule>
  </conditionalFormatting>
  <conditionalFormatting sqref="F136:G1048576 G86:G135">
    <cfRule type="cellIs" dxfId="1556" priority="5754" operator="lessThan">
      <formula>0</formula>
    </cfRule>
  </conditionalFormatting>
  <conditionalFormatting sqref="F136:G1048576 G86:G135">
    <cfRule type="cellIs" dxfId="1555" priority="5753" operator="lessThan">
      <formula>0</formula>
    </cfRule>
  </conditionalFormatting>
  <conditionalFormatting sqref="F136:G1048576 G86:G135">
    <cfRule type="cellIs" dxfId="1554" priority="5752" operator="lessThan">
      <formula>0</formula>
    </cfRule>
  </conditionalFormatting>
  <conditionalFormatting sqref="F136:G1048576 G86:G135">
    <cfRule type="cellIs" dxfId="1553" priority="5751" operator="lessThan">
      <formula>0</formula>
    </cfRule>
  </conditionalFormatting>
  <conditionalFormatting sqref="F136:G1048576 G86:G135">
    <cfRule type="cellIs" dxfId="1552" priority="5750" operator="lessThan">
      <formula>0</formula>
    </cfRule>
  </conditionalFormatting>
  <conditionalFormatting sqref="F136:G1048576 G86:G135">
    <cfRule type="cellIs" dxfId="1551" priority="5749" operator="lessThan">
      <formula>0</formula>
    </cfRule>
  </conditionalFormatting>
  <conditionalFormatting sqref="F136:G1048576 G86:G135">
    <cfRule type="cellIs" dxfId="1550" priority="5748" operator="lessThan">
      <formula>0</formula>
    </cfRule>
  </conditionalFormatting>
  <conditionalFormatting sqref="F136:G1048576 G86:G135">
    <cfRule type="cellIs" dxfId="1549" priority="5747" operator="lessThan">
      <formula>0</formula>
    </cfRule>
  </conditionalFormatting>
  <conditionalFormatting sqref="F136:G1048576 G86:G135">
    <cfRule type="cellIs" dxfId="1548" priority="5746" operator="lessThan">
      <formula>0</formula>
    </cfRule>
  </conditionalFormatting>
  <conditionalFormatting sqref="F136:G1048576 G86:G135">
    <cfRule type="cellIs" dxfId="1547" priority="5745" operator="lessThan">
      <formula>0</formula>
    </cfRule>
  </conditionalFormatting>
  <conditionalFormatting sqref="F136:G1048576 G86:G135">
    <cfRule type="cellIs" dxfId="1546" priority="5744" operator="lessThan">
      <formula>0</formula>
    </cfRule>
  </conditionalFormatting>
  <conditionalFormatting sqref="F136:G1048576 G86:G135">
    <cfRule type="cellIs" dxfId="1545" priority="5743" operator="lessThan">
      <formula>0</formula>
    </cfRule>
  </conditionalFormatting>
  <conditionalFormatting sqref="F136:G1048576 G86:G135">
    <cfRule type="cellIs" dxfId="1544" priority="5742" operator="lessThan">
      <formula>0</formula>
    </cfRule>
  </conditionalFormatting>
  <conditionalFormatting sqref="F136:G1048576 G86:G135">
    <cfRule type="cellIs" dxfId="1543" priority="5741" operator="lessThan">
      <formula>0</formula>
    </cfRule>
  </conditionalFormatting>
  <conditionalFormatting sqref="F136:G1048576 G86:G135">
    <cfRule type="cellIs" dxfId="1542" priority="5740" operator="lessThan">
      <formula>0</formula>
    </cfRule>
  </conditionalFormatting>
  <conditionalFormatting sqref="F136:G1048576 G86:G135">
    <cfRule type="cellIs" dxfId="1541" priority="5739" operator="lessThan">
      <formula>0</formula>
    </cfRule>
  </conditionalFormatting>
  <conditionalFormatting sqref="F136:G1048576 G86:G135">
    <cfRule type="cellIs" dxfId="1540" priority="5738" operator="lessThan">
      <formula>0</formula>
    </cfRule>
  </conditionalFormatting>
  <conditionalFormatting sqref="F136:G1048576 G86:G135">
    <cfRule type="cellIs" dxfId="1539" priority="5737" operator="lessThan">
      <formula>0</formula>
    </cfRule>
  </conditionalFormatting>
  <conditionalFormatting sqref="F136:G1048576 G86:G135">
    <cfRule type="cellIs" dxfId="1538" priority="5736" operator="lessThan">
      <formula>0</formula>
    </cfRule>
  </conditionalFormatting>
  <conditionalFormatting sqref="F136:G1048576 G86:G135">
    <cfRule type="cellIs" dxfId="1537" priority="5735" operator="lessThan">
      <formula>0</formula>
    </cfRule>
  </conditionalFormatting>
  <conditionalFormatting sqref="F136:G1048576 G86:G135">
    <cfRule type="cellIs" dxfId="1536" priority="5734" operator="lessThan">
      <formula>0</formula>
    </cfRule>
  </conditionalFormatting>
  <conditionalFormatting sqref="F136:G1048576 G86:G135">
    <cfRule type="cellIs" dxfId="1535" priority="5733" operator="lessThan">
      <formula>0</formula>
    </cfRule>
  </conditionalFormatting>
  <conditionalFormatting sqref="F136:G1048576 G86:G135">
    <cfRule type="cellIs" dxfId="1534" priority="5732" operator="lessThan">
      <formula>0</formula>
    </cfRule>
  </conditionalFormatting>
  <conditionalFormatting sqref="F136:G1048576 G86:G135">
    <cfRule type="cellIs" dxfId="1533" priority="5731" operator="lessThan">
      <formula>0</formula>
    </cfRule>
  </conditionalFormatting>
  <conditionalFormatting sqref="F136:G1048576 G86:G135">
    <cfRule type="cellIs" dxfId="1532" priority="5730" operator="lessThan">
      <formula>0</formula>
    </cfRule>
  </conditionalFormatting>
  <conditionalFormatting sqref="F136:G1048576 G86:G135">
    <cfRule type="cellIs" dxfId="1531" priority="5729" operator="lessThan">
      <formula>0</formula>
    </cfRule>
  </conditionalFormatting>
  <conditionalFormatting sqref="F136:G1048576 G86:G135">
    <cfRule type="cellIs" dxfId="1530" priority="5728" operator="lessThan">
      <formula>0</formula>
    </cfRule>
  </conditionalFormatting>
  <conditionalFormatting sqref="F136:G1048576 G86:G135">
    <cfRule type="cellIs" dxfId="1529" priority="5727" operator="lessThan">
      <formula>0</formula>
    </cfRule>
  </conditionalFormatting>
  <conditionalFormatting sqref="F136:G1048576 G86:G135">
    <cfRule type="cellIs" dxfId="1528" priority="5726" operator="lessThan">
      <formula>0</formula>
    </cfRule>
  </conditionalFormatting>
  <conditionalFormatting sqref="F136:G1048576 G86:G135">
    <cfRule type="cellIs" dxfId="1527" priority="5725" operator="lessThan">
      <formula>0</formula>
    </cfRule>
  </conditionalFormatting>
  <conditionalFormatting sqref="F136:G1048576 G86:G135">
    <cfRule type="cellIs" dxfId="1526" priority="5724" operator="lessThan">
      <formula>0</formula>
    </cfRule>
  </conditionalFormatting>
  <conditionalFormatting sqref="F136:G1048576 G86:G135">
    <cfRule type="cellIs" dxfId="1525" priority="5723" operator="lessThan">
      <formula>0</formula>
    </cfRule>
  </conditionalFormatting>
  <conditionalFormatting sqref="F136:G1048576 G86:G135">
    <cfRule type="cellIs" dxfId="1524" priority="5722" operator="lessThan">
      <formula>0</formula>
    </cfRule>
  </conditionalFormatting>
  <conditionalFormatting sqref="F136:G1048576 G86:G135">
    <cfRule type="cellIs" dxfId="1523" priority="5721" operator="lessThan">
      <formula>0</formula>
    </cfRule>
  </conditionalFormatting>
  <conditionalFormatting sqref="F136:G1048576 G86:G135">
    <cfRule type="cellIs" dxfId="1522" priority="5720" operator="lessThan">
      <formula>0</formula>
    </cfRule>
  </conditionalFormatting>
  <conditionalFormatting sqref="F136:G1048576 G86:G135">
    <cfRule type="cellIs" dxfId="1521" priority="5719" operator="lessThan">
      <formula>0</formula>
    </cfRule>
  </conditionalFormatting>
  <conditionalFormatting sqref="F136:G1048576 G86:G135">
    <cfRule type="cellIs" dxfId="1520" priority="5718" operator="lessThan">
      <formula>0</formula>
    </cfRule>
  </conditionalFormatting>
  <conditionalFormatting sqref="F136:G1048576 G86:G135">
    <cfRule type="cellIs" dxfId="1519" priority="5717" operator="lessThan">
      <formula>0</formula>
    </cfRule>
  </conditionalFormatting>
  <conditionalFormatting sqref="F136:G1048576 G86:G135">
    <cfRule type="cellIs" dxfId="1518" priority="5716" operator="lessThan">
      <formula>0</formula>
    </cfRule>
  </conditionalFormatting>
  <conditionalFormatting sqref="F136:G1048576 G86:G135">
    <cfRule type="cellIs" dxfId="1517" priority="5715" operator="lessThan">
      <formula>0</formula>
    </cfRule>
  </conditionalFormatting>
  <conditionalFormatting sqref="F136:G1048576 G86:G135">
    <cfRule type="cellIs" dxfId="1516" priority="5714" operator="lessThan">
      <formula>0</formula>
    </cfRule>
  </conditionalFormatting>
  <conditionalFormatting sqref="F136:G1048576 G86:G135">
    <cfRule type="cellIs" dxfId="1515" priority="5713" operator="lessThan">
      <formula>0</formula>
    </cfRule>
  </conditionalFormatting>
  <conditionalFormatting sqref="F136:G1048576 G86:G135">
    <cfRule type="cellIs" dxfId="1514" priority="5712" operator="lessThan">
      <formula>0</formula>
    </cfRule>
  </conditionalFormatting>
  <conditionalFormatting sqref="F136:G1048576 G86:G135">
    <cfRule type="cellIs" dxfId="1513" priority="5711" operator="lessThan">
      <formula>0</formula>
    </cfRule>
  </conditionalFormatting>
  <conditionalFormatting sqref="F136:G1048576 G86:G135">
    <cfRule type="cellIs" dxfId="1512" priority="5710" operator="lessThan">
      <formula>0</formula>
    </cfRule>
  </conditionalFormatting>
  <conditionalFormatting sqref="F136:G1048576 G86:G135">
    <cfRule type="cellIs" dxfId="1511" priority="5709" operator="lessThan">
      <formula>0</formula>
    </cfRule>
  </conditionalFormatting>
  <conditionalFormatting sqref="F136:G1048576 G86:G135">
    <cfRule type="cellIs" dxfId="1510" priority="5708" operator="lessThan">
      <formula>0</formula>
    </cfRule>
  </conditionalFormatting>
  <conditionalFormatting sqref="F136:G1048576 G86:G135">
    <cfRule type="cellIs" dxfId="1509" priority="5707" operator="lessThan">
      <formula>0</formula>
    </cfRule>
  </conditionalFormatting>
  <conditionalFormatting sqref="F136:G1048576 G86:G135">
    <cfRule type="cellIs" dxfId="1508" priority="5706" operator="lessThan">
      <formula>0</formula>
    </cfRule>
  </conditionalFormatting>
  <conditionalFormatting sqref="F136:G1048576 G86:G135">
    <cfRule type="cellIs" dxfId="1507" priority="5705" operator="lessThan">
      <formula>0</formula>
    </cfRule>
  </conditionalFormatting>
  <conditionalFormatting sqref="F136:G1048576 G86:G135">
    <cfRule type="cellIs" dxfId="1506" priority="5704" operator="lessThan">
      <formula>0</formula>
    </cfRule>
  </conditionalFormatting>
  <conditionalFormatting sqref="F136:G1048576 G86:G135">
    <cfRule type="cellIs" dxfId="1505" priority="5703" operator="lessThan">
      <formula>0</formula>
    </cfRule>
  </conditionalFormatting>
  <conditionalFormatting sqref="F136:G1048576 G86:G135">
    <cfRule type="cellIs" dxfId="1504" priority="5702" operator="lessThan">
      <formula>0</formula>
    </cfRule>
  </conditionalFormatting>
  <conditionalFormatting sqref="F136:G1048576 G86:G135">
    <cfRule type="cellIs" dxfId="1503" priority="5701" operator="lessThan">
      <formula>0</formula>
    </cfRule>
  </conditionalFormatting>
  <conditionalFormatting sqref="F136:G1048576 G86:G135">
    <cfRule type="cellIs" dxfId="1502" priority="5700" operator="lessThan">
      <formula>0</formula>
    </cfRule>
  </conditionalFormatting>
  <conditionalFormatting sqref="F136:G1048576 G86:G135">
    <cfRule type="cellIs" dxfId="1501" priority="5699" operator="lessThan">
      <formula>0</formula>
    </cfRule>
  </conditionalFormatting>
  <conditionalFormatting sqref="F136:G1048576 G86:G135">
    <cfRule type="cellIs" dxfId="1500" priority="5698" operator="lessThan">
      <formula>0</formula>
    </cfRule>
  </conditionalFormatting>
  <conditionalFormatting sqref="F136:G1048576 G86:G135">
    <cfRule type="cellIs" dxfId="1499" priority="5697" operator="lessThan">
      <formula>0</formula>
    </cfRule>
  </conditionalFormatting>
  <conditionalFormatting sqref="F136:G1048576 G86:G135">
    <cfRule type="cellIs" dxfId="1498" priority="5696" operator="lessThan">
      <formula>0</formula>
    </cfRule>
  </conditionalFormatting>
  <conditionalFormatting sqref="F136:G1048576 G86:G135">
    <cfRule type="cellIs" dxfId="1497" priority="5695" operator="lessThan">
      <formula>0</formula>
    </cfRule>
  </conditionalFormatting>
  <conditionalFormatting sqref="F136:G1048576 G86:G135">
    <cfRule type="cellIs" dxfId="1496" priority="5694" operator="lessThan">
      <formula>0</formula>
    </cfRule>
  </conditionalFormatting>
  <conditionalFormatting sqref="F136:G1048576 G86:G135">
    <cfRule type="cellIs" dxfId="1495" priority="5693" operator="lessThan">
      <formula>0</formula>
    </cfRule>
  </conditionalFormatting>
  <conditionalFormatting sqref="F136:G1048576 G86:G135">
    <cfRule type="cellIs" dxfId="1494" priority="5692" operator="lessThan">
      <formula>0</formula>
    </cfRule>
  </conditionalFormatting>
  <conditionalFormatting sqref="F136:G1048576 G86:G135">
    <cfRule type="cellIs" dxfId="1493" priority="5691" operator="lessThan">
      <formula>0</formula>
    </cfRule>
  </conditionalFormatting>
  <conditionalFormatting sqref="F136:G1048576 G86:G135">
    <cfRule type="cellIs" dxfId="1492" priority="5690" operator="lessThan">
      <formula>0</formula>
    </cfRule>
  </conditionalFormatting>
  <conditionalFormatting sqref="F136:G1048576 G86:G135">
    <cfRule type="cellIs" dxfId="1491" priority="5689" operator="lessThan">
      <formula>0</formula>
    </cfRule>
  </conditionalFormatting>
  <conditionalFormatting sqref="F136:G1048576 G86:G135">
    <cfRule type="cellIs" dxfId="1490" priority="5688" operator="lessThan">
      <formula>0</formula>
    </cfRule>
  </conditionalFormatting>
  <conditionalFormatting sqref="F136:G1048576 G86:G135">
    <cfRule type="cellIs" dxfId="1489" priority="5687" operator="lessThan">
      <formula>0</formula>
    </cfRule>
  </conditionalFormatting>
  <conditionalFormatting sqref="F136:G1048576 G86:G135">
    <cfRule type="cellIs" dxfId="1488" priority="5686" operator="lessThan">
      <formula>0</formula>
    </cfRule>
  </conditionalFormatting>
  <conditionalFormatting sqref="F136:G1048576 G86:G135">
    <cfRule type="cellIs" dxfId="1487" priority="5685" operator="lessThan">
      <formula>0</formula>
    </cfRule>
  </conditionalFormatting>
  <conditionalFormatting sqref="F136:G1048576 G86:G135">
    <cfRule type="cellIs" dxfId="1486" priority="5684" operator="lessThan">
      <formula>0</formula>
    </cfRule>
  </conditionalFormatting>
  <conditionalFormatting sqref="F136:G1048576 G86:G135">
    <cfRule type="cellIs" dxfId="1485" priority="5683" operator="lessThan">
      <formula>0</formula>
    </cfRule>
  </conditionalFormatting>
  <conditionalFormatting sqref="F136:G1048576 G86:G135">
    <cfRule type="cellIs" dxfId="1484" priority="5682" operator="lessThan">
      <formula>0</formula>
    </cfRule>
  </conditionalFormatting>
  <conditionalFormatting sqref="F136:G1048576 G86:G135">
    <cfRule type="cellIs" dxfId="1483" priority="5681" operator="lessThan">
      <formula>0</formula>
    </cfRule>
  </conditionalFormatting>
  <conditionalFormatting sqref="F136:G1048576 G86:G135">
    <cfRule type="cellIs" dxfId="1482" priority="5680" operator="lessThan">
      <formula>0</formula>
    </cfRule>
  </conditionalFormatting>
  <conditionalFormatting sqref="F136:G1048576 G86:G135">
    <cfRule type="cellIs" dxfId="1481" priority="5679" operator="lessThan">
      <formula>0</formula>
    </cfRule>
  </conditionalFormatting>
  <conditionalFormatting sqref="F136:G1048576 G86:G135">
    <cfRule type="cellIs" dxfId="1480" priority="5678" operator="lessThan">
      <formula>0</formula>
    </cfRule>
  </conditionalFormatting>
  <conditionalFormatting sqref="F136:G1048576 G86:G135">
    <cfRule type="cellIs" dxfId="1479" priority="5677" operator="lessThan">
      <formula>0</formula>
    </cfRule>
  </conditionalFormatting>
  <conditionalFormatting sqref="F136:G1048576 G86:G135">
    <cfRule type="cellIs" dxfId="1478" priority="5676" operator="lessThan">
      <formula>0</formula>
    </cfRule>
  </conditionalFormatting>
  <conditionalFormatting sqref="F136:G1048576 G86:G135">
    <cfRule type="cellIs" dxfId="1477" priority="5675" operator="lessThan">
      <formula>0</formula>
    </cfRule>
  </conditionalFormatting>
  <conditionalFormatting sqref="F136:G1048576 G86:G135">
    <cfRule type="cellIs" dxfId="1476" priority="5674" operator="lessThan">
      <formula>0</formula>
    </cfRule>
  </conditionalFormatting>
  <conditionalFormatting sqref="F136:G1048576 G86:G135">
    <cfRule type="cellIs" dxfId="1475" priority="5673" operator="lessThan">
      <formula>0</formula>
    </cfRule>
  </conditionalFormatting>
  <conditionalFormatting sqref="F136:G1048576 G86:G135">
    <cfRule type="cellIs" dxfId="1474" priority="5672" operator="lessThan">
      <formula>0</formula>
    </cfRule>
  </conditionalFormatting>
  <conditionalFormatting sqref="F136:G1048576 G86:G135">
    <cfRule type="cellIs" dxfId="1473" priority="5671" operator="lessThan">
      <formula>0</formula>
    </cfRule>
  </conditionalFormatting>
  <conditionalFormatting sqref="F136:G1048576 G86:G135">
    <cfRule type="cellIs" dxfId="1472" priority="5670" operator="lessThan">
      <formula>0</formula>
    </cfRule>
  </conditionalFormatting>
  <conditionalFormatting sqref="F136:G1048576 G86:G135">
    <cfRule type="cellIs" dxfId="1471" priority="5669" operator="lessThan">
      <formula>0</formula>
    </cfRule>
  </conditionalFormatting>
  <conditionalFormatting sqref="F136:G1048576 G86:G135">
    <cfRule type="cellIs" dxfId="1470" priority="5668" operator="lessThan">
      <formula>0</formula>
    </cfRule>
  </conditionalFormatting>
  <conditionalFormatting sqref="F136:G1048576 G86:G135">
    <cfRule type="cellIs" dxfId="1469" priority="5667" operator="lessThan">
      <formula>0</formula>
    </cfRule>
  </conditionalFormatting>
  <conditionalFormatting sqref="F136:G1048576 G86:G135">
    <cfRule type="cellIs" dxfId="1468" priority="5666" operator="lessThan">
      <formula>0</formula>
    </cfRule>
  </conditionalFormatting>
  <conditionalFormatting sqref="F136:G1048576 G86:G135">
    <cfRule type="cellIs" dxfId="1467" priority="5665" operator="lessThan">
      <formula>0</formula>
    </cfRule>
  </conditionalFormatting>
  <conditionalFormatting sqref="F136:G1048576 G86:G135">
    <cfRule type="cellIs" dxfId="1466" priority="5664" operator="lessThan">
      <formula>0</formula>
    </cfRule>
  </conditionalFormatting>
  <conditionalFormatting sqref="F136:G1048576 G86:G135">
    <cfRule type="cellIs" dxfId="1465" priority="5663" operator="lessThan">
      <formula>0</formula>
    </cfRule>
  </conditionalFormatting>
  <conditionalFormatting sqref="F136:G1048576 G86:G135">
    <cfRule type="cellIs" dxfId="1464" priority="5662" operator="lessThan">
      <formula>0</formula>
    </cfRule>
  </conditionalFormatting>
  <conditionalFormatting sqref="F136:G1048576 G86:G135">
    <cfRule type="cellIs" dxfId="1463" priority="5661" operator="lessThan">
      <formula>0</formula>
    </cfRule>
  </conditionalFormatting>
  <conditionalFormatting sqref="F136:G1048576 G86:G135">
    <cfRule type="cellIs" dxfId="1462" priority="5660" operator="lessThan">
      <formula>0</formula>
    </cfRule>
  </conditionalFormatting>
  <conditionalFormatting sqref="F136:G1048576 G86:G135">
    <cfRule type="cellIs" dxfId="1461" priority="5659" operator="lessThan">
      <formula>0</formula>
    </cfRule>
  </conditionalFormatting>
  <conditionalFormatting sqref="F136:G1048576 G86:G135">
    <cfRule type="cellIs" dxfId="1460" priority="5658" operator="lessThan">
      <formula>0</formula>
    </cfRule>
  </conditionalFormatting>
  <conditionalFormatting sqref="F136:G1048576 G86:G135">
    <cfRule type="cellIs" dxfId="1459" priority="5657" operator="lessThan">
      <formula>0</formula>
    </cfRule>
  </conditionalFormatting>
  <conditionalFormatting sqref="F136:G1048576 G86:G135">
    <cfRule type="cellIs" dxfId="1458" priority="5656" operator="lessThan">
      <formula>0</formula>
    </cfRule>
  </conditionalFormatting>
  <conditionalFormatting sqref="F136:G1048576 G86:G135">
    <cfRule type="cellIs" dxfId="1457" priority="5655" operator="lessThan">
      <formula>0</formula>
    </cfRule>
  </conditionalFormatting>
  <conditionalFormatting sqref="F136:G1048576 G86:G135">
    <cfRule type="cellIs" dxfId="1456" priority="5654" operator="lessThan">
      <formula>0</formula>
    </cfRule>
  </conditionalFormatting>
  <conditionalFormatting sqref="F136:G1048576 G86:G135">
    <cfRule type="cellIs" dxfId="1455" priority="5653" operator="lessThan">
      <formula>0</formula>
    </cfRule>
  </conditionalFormatting>
  <conditionalFormatting sqref="F136:G1048576 G86:G135">
    <cfRule type="cellIs" dxfId="1454" priority="5652" operator="lessThan">
      <formula>0</formula>
    </cfRule>
  </conditionalFormatting>
  <conditionalFormatting sqref="F136:G1048576 G86:G135">
    <cfRule type="cellIs" dxfId="1453" priority="5651" operator="lessThan">
      <formula>0</formula>
    </cfRule>
  </conditionalFormatting>
  <conditionalFormatting sqref="F136:G1048576 G86:G135">
    <cfRule type="cellIs" dxfId="1452" priority="5650" operator="lessThan">
      <formula>0</formula>
    </cfRule>
  </conditionalFormatting>
  <conditionalFormatting sqref="F136:G1048576 G86:G135">
    <cfRule type="cellIs" dxfId="1451" priority="5649" operator="lessThan">
      <formula>0</formula>
    </cfRule>
  </conditionalFormatting>
  <conditionalFormatting sqref="F136:G1048576 G86:G135">
    <cfRule type="cellIs" dxfId="1450" priority="5648" operator="lessThan">
      <formula>0</formula>
    </cfRule>
  </conditionalFormatting>
  <conditionalFormatting sqref="F136:G1048576 G86:G135">
    <cfRule type="cellIs" dxfId="1449" priority="5647" operator="lessThan">
      <formula>0</formula>
    </cfRule>
  </conditionalFormatting>
  <conditionalFormatting sqref="F136:G1048576 G86:G135">
    <cfRule type="cellIs" dxfId="1448" priority="5646" operator="lessThan">
      <formula>0</formula>
    </cfRule>
  </conditionalFormatting>
  <conditionalFormatting sqref="F136:G1048576 G86:G135">
    <cfRule type="cellIs" dxfId="1447" priority="5645" operator="lessThan">
      <formula>0</formula>
    </cfRule>
  </conditionalFormatting>
  <conditionalFormatting sqref="F136:G1048576 G86:G135">
    <cfRule type="cellIs" dxfId="1446" priority="5644" operator="lessThan">
      <formula>0</formula>
    </cfRule>
  </conditionalFormatting>
  <conditionalFormatting sqref="F136:G1048576 G86:G135">
    <cfRule type="cellIs" dxfId="1445" priority="5643" operator="lessThan">
      <formula>0</formula>
    </cfRule>
  </conditionalFormatting>
  <conditionalFormatting sqref="F136:G1048576 G86:G135">
    <cfRule type="cellIs" dxfId="1444" priority="5642" operator="lessThan">
      <formula>0</formula>
    </cfRule>
  </conditionalFormatting>
  <conditionalFormatting sqref="F136:G1048576 G86:G135">
    <cfRule type="cellIs" dxfId="1443" priority="5641" operator="lessThan">
      <formula>0</formula>
    </cfRule>
  </conditionalFormatting>
  <conditionalFormatting sqref="F136:G1048576 G86:G135">
    <cfRule type="cellIs" dxfId="1442" priority="5640" operator="lessThan">
      <formula>0</formula>
    </cfRule>
  </conditionalFormatting>
  <conditionalFormatting sqref="F136:G1048576 G86:G135">
    <cfRule type="cellIs" dxfId="1441" priority="5639" operator="lessThan">
      <formula>0</formula>
    </cfRule>
  </conditionalFormatting>
  <conditionalFormatting sqref="F136:G1048576 G86:G135">
    <cfRule type="cellIs" dxfId="1440" priority="5638" operator="lessThan">
      <formula>0</formula>
    </cfRule>
  </conditionalFormatting>
  <conditionalFormatting sqref="F136:G1048576 G86:G135">
    <cfRule type="cellIs" dxfId="1439" priority="5637" operator="lessThan">
      <formula>0</formula>
    </cfRule>
  </conditionalFormatting>
  <conditionalFormatting sqref="F136:G1048576 G86:G135">
    <cfRule type="cellIs" dxfId="1438" priority="5636" operator="lessThan">
      <formula>0</formula>
    </cfRule>
  </conditionalFormatting>
  <conditionalFormatting sqref="F136:G1048576 G86:G135">
    <cfRule type="cellIs" dxfId="1437" priority="5635" operator="lessThan">
      <formula>0</formula>
    </cfRule>
  </conditionalFormatting>
  <conditionalFormatting sqref="F136:G1048576 G86:G135">
    <cfRule type="cellIs" dxfId="1436" priority="5634" operator="lessThan">
      <formula>0</formula>
    </cfRule>
  </conditionalFormatting>
  <conditionalFormatting sqref="F136:G1048576 G86:G135">
    <cfRule type="cellIs" dxfId="1435" priority="5633" operator="lessThan">
      <formula>0</formula>
    </cfRule>
  </conditionalFormatting>
  <conditionalFormatting sqref="F136:G1048576 G86:G135">
    <cfRule type="cellIs" dxfId="1434" priority="5632" operator="lessThan">
      <formula>0</formula>
    </cfRule>
  </conditionalFormatting>
  <conditionalFormatting sqref="F136:G1048576 G86:G135">
    <cfRule type="cellIs" dxfId="1433" priority="5631" operator="lessThan">
      <formula>0</formula>
    </cfRule>
  </conditionalFormatting>
  <conditionalFormatting sqref="F136:G1048576 G86:G135">
    <cfRule type="cellIs" dxfId="1432" priority="5630" operator="lessThan">
      <formula>0</formula>
    </cfRule>
  </conditionalFormatting>
  <conditionalFormatting sqref="F136:G1048576 G86:G135">
    <cfRule type="cellIs" dxfId="1431" priority="5629" operator="lessThan">
      <formula>0</formula>
    </cfRule>
  </conditionalFormatting>
  <conditionalFormatting sqref="F136:G1048576 G86:G135">
    <cfRule type="cellIs" dxfId="1430" priority="5628" operator="lessThan">
      <formula>0</formula>
    </cfRule>
  </conditionalFormatting>
  <conditionalFormatting sqref="F136:G1048576 G86:G135">
    <cfRule type="cellIs" dxfId="1429" priority="5627" operator="lessThan">
      <formula>0</formula>
    </cfRule>
  </conditionalFormatting>
  <conditionalFormatting sqref="F136:G1048576 G86:G135">
    <cfRule type="cellIs" dxfId="1428" priority="5626" operator="lessThan">
      <formula>0</formula>
    </cfRule>
  </conditionalFormatting>
  <conditionalFormatting sqref="F136:G1048576 G86:G135">
    <cfRule type="cellIs" dxfId="1427" priority="5625" operator="lessThan">
      <formula>0</formula>
    </cfRule>
  </conditionalFormatting>
  <conditionalFormatting sqref="F136:G1048576 G86:G135">
    <cfRule type="cellIs" dxfId="1426" priority="5624" operator="lessThan">
      <formula>0</formula>
    </cfRule>
  </conditionalFormatting>
  <conditionalFormatting sqref="F136:G1048576 G86:G135">
    <cfRule type="cellIs" dxfId="1425" priority="5623" operator="lessThan">
      <formula>0</formula>
    </cfRule>
  </conditionalFormatting>
  <conditionalFormatting sqref="F136:G1048576 G86:G135">
    <cfRule type="cellIs" dxfId="1424" priority="5622" operator="lessThan">
      <formula>0</formula>
    </cfRule>
  </conditionalFormatting>
  <conditionalFormatting sqref="F136:G1048576 G86:G135">
    <cfRule type="cellIs" dxfId="1423" priority="5621" operator="lessThan">
      <formula>0</formula>
    </cfRule>
  </conditionalFormatting>
  <conditionalFormatting sqref="F136:G1048576 G86:G135">
    <cfRule type="cellIs" dxfId="1422" priority="5620" operator="lessThan">
      <formula>0</formula>
    </cfRule>
  </conditionalFormatting>
  <conditionalFormatting sqref="F136:G1048576 G86:G135">
    <cfRule type="cellIs" dxfId="1421" priority="5619" operator="lessThan">
      <formula>0</formula>
    </cfRule>
  </conditionalFormatting>
  <conditionalFormatting sqref="F136:G1048576 G86:G135">
    <cfRule type="cellIs" dxfId="1420" priority="5618" operator="lessThan">
      <formula>0</formula>
    </cfRule>
  </conditionalFormatting>
  <conditionalFormatting sqref="F136:G1048576 G86:G135">
    <cfRule type="cellIs" dxfId="1419" priority="5617" operator="lessThan">
      <formula>0</formula>
    </cfRule>
  </conditionalFormatting>
  <conditionalFormatting sqref="F136:G1048576 G86:G135">
    <cfRule type="cellIs" dxfId="1418" priority="5616" operator="lessThan">
      <formula>0</formula>
    </cfRule>
  </conditionalFormatting>
  <conditionalFormatting sqref="F136:G1048576 G86:G135">
    <cfRule type="cellIs" dxfId="1417" priority="5615" operator="lessThan">
      <formula>0</formula>
    </cfRule>
  </conditionalFormatting>
  <conditionalFormatting sqref="F136:G1048576 G86:G135">
    <cfRule type="cellIs" dxfId="1416" priority="5614" operator="lessThan">
      <formula>0</formula>
    </cfRule>
  </conditionalFormatting>
  <conditionalFormatting sqref="F136:G1048576 G86:G135">
    <cfRule type="cellIs" dxfId="1415" priority="5613" operator="lessThan">
      <formula>0</formula>
    </cfRule>
  </conditionalFormatting>
  <conditionalFormatting sqref="F136:G1048576 G86:G135">
    <cfRule type="cellIs" dxfId="1414" priority="5612" operator="lessThan">
      <formula>0</formula>
    </cfRule>
  </conditionalFormatting>
  <conditionalFormatting sqref="F136:G1048576 G86:G135">
    <cfRule type="cellIs" dxfId="1413" priority="5611" operator="lessThan">
      <formula>0</formula>
    </cfRule>
  </conditionalFormatting>
  <conditionalFormatting sqref="F136:G1048576 G86:G135">
    <cfRule type="cellIs" dxfId="1412" priority="5610" operator="lessThan">
      <formula>0</formula>
    </cfRule>
  </conditionalFormatting>
  <conditionalFormatting sqref="F136:G1048576 G86:G135">
    <cfRule type="cellIs" dxfId="1411" priority="5609" operator="lessThan">
      <formula>0</formula>
    </cfRule>
  </conditionalFormatting>
  <conditionalFormatting sqref="F136:G1048576 G86:G135">
    <cfRule type="cellIs" dxfId="1410" priority="5608" operator="lessThan">
      <formula>0</formula>
    </cfRule>
  </conditionalFormatting>
  <conditionalFormatting sqref="F136:G1048576 G86:G135">
    <cfRule type="cellIs" dxfId="1409" priority="5607" operator="lessThan">
      <formula>0</formula>
    </cfRule>
  </conditionalFormatting>
  <conditionalFormatting sqref="F136:G1048576 G86:G135">
    <cfRule type="cellIs" dxfId="1408" priority="5606" operator="lessThan">
      <formula>0</formula>
    </cfRule>
  </conditionalFormatting>
  <conditionalFormatting sqref="F136:G1048576 G86:G135">
    <cfRule type="cellIs" dxfId="1407" priority="5605" operator="lessThan">
      <formula>0</formula>
    </cfRule>
  </conditionalFormatting>
  <conditionalFormatting sqref="F136:G1048576 G86:G135">
    <cfRule type="cellIs" dxfId="1406" priority="5604" operator="lessThan">
      <formula>0</formula>
    </cfRule>
  </conditionalFormatting>
  <conditionalFormatting sqref="F136:G1048576 G86:G135">
    <cfRule type="cellIs" dxfId="1405" priority="5603" operator="lessThan">
      <formula>0</formula>
    </cfRule>
  </conditionalFormatting>
  <conditionalFormatting sqref="F136:G1048576 G86:G135">
    <cfRule type="cellIs" dxfId="1404" priority="5602" operator="lessThan">
      <formula>0</formula>
    </cfRule>
  </conditionalFormatting>
  <conditionalFormatting sqref="F136:G1048576 G86:G135">
    <cfRule type="cellIs" dxfId="1403" priority="5601" operator="lessThan">
      <formula>0</formula>
    </cfRule>
  </conditionalFormatting>
  <conditionalFormatting sqref="F136:G1048576 G86:G135">
    <cfRule type="cellIs" dxfId="1402" priority="5600" operator="lessThan">
      <formula>0</formula>
    </cfRule>
  </conditionalFormatting>
  <conditionalFormatting sqref="F136:G1048576 G86:G135">
    <cfRule type="cellIs" dxfId="1401" priority="5599" operator="lessThan">
      <formula>0</formula>
    </cfRule>
  </conditionalFormatting>
  <conditionalFormatting sqref="F136:G1048576 G86:G135">
    <cfRule type="cellIs" dxfId="1400" priority="5598" operator="lessThan">
      <formula>0</formula>
    </cfRule>
  </conditionalFormatting>
  <conditionalFormatting sqref="F136:G1048576 G86:G135">
    <cfRule type="cellIs" dxfId="1399" priority="5597" operator="lessThan">
      <formula>0</formula>
    </cfRule>
  </conditionalFormatting>
  <conditionalFormatting sqref="F136:G1048576 G61:G135">
    <cfRule type="cellIs" dxfId="1398" priority="5596" operator="lessThan">
      <formula>0</formula>
    </cfRule>
  </conditionalFormatting>
  <conditionalFormatting sqref="F136:G1048576 G61:G135">
    <cfRule type="cellIs" dxfId="1397" priority="5595" operator="lessThan">
      <formula>0</formula>
    </cfRule>
  </conditionalFormatting>
  <conditionalFormatting sqref="F136:G1048576 G61:G135">
    <cfRule type="cellIs" dxfId="1396" priority="5594" operator="lessThan">
      <formula>0</formula>
    </cfRule>
  </conditionalFormatting>
  <conditionalFormatting sqref="F136:G1048576 G61:G135">
    <cfRule type="cellIs" dxfId="1395" priority="5593" operator="lessThan">
      <formula>0</formula>
    </cfRule>
  </conditionalFormatting>
  <conditionalFormatting sqref="F136:G1048576 G61:G135">
    <cfRule type="cellIs" dxfId="1394" priority="5592" operator="lessThan">
      <formula>0</formula>
    </cfRule>
  </conditionalFormatting>
  <conditionalFormatting sqref="F136:G1048576 G61:G135">
    <cfRule type="cellIs" dxfId="1393" priority="5591" operator="lessThan">
      <formula>0</formula>
    </cfRule>
  </conditionalFormatting>
  <conditionalFormatting sqref="F136:G1048576 G61:G135">
    <cfRule type="cellIs" dxfId="1392" priority="5590" operator="lessThan">
      <formula>0</formula>
    </cfRule>
  </conditionalFormatting>
  <conditionalFormatting sqref="F136:G1048576 G61:G135">
    <cfRule type="cellIs" dxfId="1391" priority="5589" operator="lessThan">
      <formula>0</formula>
    </cfRule>
  </conditionalFormatting>
  <conditionalFormatting sqref="F136:G1048576 G61:G135">
    <cfRule type="cellIs" dxfId="1390" priority="5588" operator="lessThan">
      <formula>0</formula>
    </cfRule>
  </conditionalFormatting>
  <conditionalFormatting sqref="F136:G1048576 G61:G135">
    <cfRule type="cellIs" dxfId="1389" priority="5587" operator="lessThan">
      <formula>0</formula>
    </cfRule>
  </conditionalFormatting>
  <conditionalFormatting sqref="F136:G1048576 G61:G135">
    <cfRule type="cellIs" dxfId="1388" priority="5586" operator="lessThan">
      <formula>0</formula>
    </cfRule>
  </conditionalFormatting>
  <conditionalFormatting sqref="F136:G1048576 G61:G135">
    <cfRule type="cellIs" dxfId="1387" priority="5585" operator="lessThan">
      <formula>0</formula>
    </cfRule>
  </conditionalFormatting>
  <conditionalFormatting sqref="F136:G1048576 G61:G135">
    <cfRule type="cellIs" dxfId="1386" priority="5584" operator="lessThan">
      <formula>0</formula>
    </cfRule>
  </conditionalFormatting>
  <conditionalFormatting sqref="F136:G1048576 G61:G135">
    <cfRule type="cellIs" dxfId="1385" priority="5583" operator="lessThan">
      <formula>0</formula>
    </cfRule>
  </conditionalFormatting>
  <conditionalFormatting sqref="F136:G1048576 G61:G135">
    <cfRule type="cellIs" dxfId="1384" priority="5582" operator="lessThan">
      <formula>0</formula>
    </cfRule>
  </conditionalFormatting>
  <conditionalFormatting sqref="F136:G1048576 G61:G135">
    <cfRule type="cellIs" dxfId="1383" priority="5581" operator="lessThan">
      <formula>0</formula>
    </cfRule>
  </conditionalFormatting>
  <conditionalFormatting sqref="F136:G1048576 G61:G135">
    <cfRule type="cellIs" dxfId="1382" priority="5580" operator="lessThan">
      <formula>0</formula>
    </cfRule>
  </conditionalFormatting>
  <conditionalFormatting sqref="F136:G1048576 G61:G135">
    <cfRule type="cellIs" dxfId="1381" priority="5579" operator="lessThan">
      <formula>0</formula>
    </cfRule>
  </conditionalFormatting>
  <conditionalFormatting sqref="F136:G1048576 G61:G135">
    <cfRule type="cellIs" dxfId="1380" priority="5578" operator="lessThan">
      <formula>0</formula>
    </cfRule>
  </conditionalFormatting>
  <conditionalFormatting sqref="F136:G1048576 G61:G135">
    <cfRule type="cellIs" dxfId="1379" priority="5577" operator="lessThan">
      <formula>0</formula>
    </cfRule>
  </conditionalFormatting>
  <conditionalFormatting sqref="F136:G1048576 G61:G135">
    <cfRule type="cellIs" dxfId="1378" priority="5576" operator="lessThan">
      <formula>0</formula>
    </cfRule>
  </conditionalFormatting>
  <conditionalFormatting sqref="F136:G1048576 G61:G135">
    <cfRule type="cellIs" dxfId="1377" priority="5575" operator="lessThan">
      <formula>0</formula>
    </cfRule>
  </conditionalFormatting>
  <conditionalFormatting sqref="F136:G1048576 G61:G135">
    <cfRule type="cellIs" dxfId="1376" priority="5574" operator="lessThan">
      <formula>0</formula>
    </cfRule>
  </conditionalFormatting>
  <conditionalFormatting sqref="F136:G1048576 G61:G135">
    <cfRule type="cellIs" dxfId="1375" priority="5573" operator="lessThan">
      <formula>0</formula>
    </cfRule>
  </conditionalFormatting>
  <conditionalFormatting sqref="F136:G1048576 G61:G135">
    <cfRule type="cellIs" dxfId="1374" priority="5572" operator="lessThan">
      <formula>0</formula>
    </cfRule>
  </conditionalFormatting>
  <conditionalFormatting sqref="F136:G1048576 G61:G135">
    <cfRule type="cellIs" dxfId="1373" priority="5571" operator="lessThan">
      <formula>0</formula>
    </cfRule>
  </conditionalFormatting>
  <conditionalFormatting sqref="F136:G1048576 G61:G135">
    <cfRule type="cellIs" dxfId="1372" priority="5570" operator="lessThan">
      <formula>0</formula>
    </cfRule>
  </conditionalFormatting>
  <conditionalFormatting sqref="F136:G1048576 G61:G135">
    <cfRule type="cellIs" dxfId="1371" priority="5569" operator="lessThan">
      <formula>0</formula>
    </cfRule>
  </conditionalFormatting>
  <conditionalFormatting sqref="F136:G1048576 G61:G135">
    <cfRule type="cellIs" dxfId="1370" priority="5568" operator="lessThan">
      <formula>0</formula>
    </cfRule>
  </conditionalFormatting>
  <conditionalFormatting sqref="F136:G1048576 G61:G135">
    <cfRule type="cellIs" dxfId="1369" priority="5567" operator="lessThan">
      <formula>0</formula>
    </cfRule>
  </conditionalFormatting>
  <conditionalFormatting sqref="F136:G1048576 G61:G135">
    <cfRule type="cellIs" dxfId="1368" priority="5566" operator="lessThan">
      <formula>0</formula>
    </cfRule>
  </conditionalFormatting>
  <conditionalFormatting sqref="F136:G1048576 G61:G135">
    <cfRule type="cellIs" dxfId="1367" priority="5565" operator="lessThan">
      <formula>0</formula>
    </cfRule>
  </conditionalFormatting>
  <conditionalFormatting sqref="F136:G1048576 G61:G135">
    <cfRule type="cellIs" dxfId="1366" priority="5564" operator="lessThan">
      <formula>0</formula>
    </cfRule>
  </conditionalFormatting>
  <conditionalFormatting sqref="F136:G1048576 G61:G135">
    <cfRule type="cellIs" dxfId="1365" priority="5563" operator="lessThan">
      <formula>0</formula>
    </cfRule>
  </conditionalFormatting>
  <conditionalFormatting sqref="F136:G1048576 G61:G135">
    <cfRule type="cellIs" dxfId="1364" priority="5562" operator="lessThan">
      <formula>0</formula>
    </cfRule>
  </conditionalFormatting>
  <conditionalFormatting sqref="F136:G1048576 G61:G135">
    <cfRule type="cellIs" dxfId="1363" priority="5561" operator="lessThan">
      <formula>0</formula>
    </cfRule>
  </conditionalFormatting>
  <conditionalFormatting sqref="F136:G1048576 G61:G135">
    <cfRule type="cellIs" dxfId="1362" priority="5560" operator="lessThan">
      <formula>0</formula>
    </cfRule>
  </conditionalFormatting>
  <conditionalFormatting sqref="F136:G1048576 G61:G135">
    <cfRule type="cellIs" dxfId="1361" priority="5559" operator="lessThan">
      <formula>0</formula>
    </cfRule>
  </conditionalFormatting>
  <conditionalFormatting sqref="F136:G1048576 G61:G135">
    <cfRule type="cellIs" dxfId="1360" priority="5558" operator="lessThan">
      <formula>0</formula>
    </cfRule>
  </conditionalFormatting>
  <conditionalFormatting sqref="F136:G1048576 G61:G135">
    <cfRule type="cellIs" dxfId="1359" priority="5557" operator="lessThan">
      <formula>0</formula>
    </cfRule>
  </conditionalFormatting>
  <conditionalFormatting sqref="F136:G1048576 G61:G135">
    <cfRule type="cellIs" dxfId="1358" priority="5556" operator="lessThan">
      <formula>0</formula>
    </cfRule>
  </conditionalFormatting>
  <conditionalFormatting sqref="F136:G1048576 G61:G135">
    <cfRule type="cellIs" dxfId="1357" priority="5555" operator="lessThan">
      <formula>0</formula>
    </cfRule>
  </conditionalFormatting>
  <conditionalFormatting sqref="F136:G1048576 G61:G135">
    <cfRule type="cellIs" dxfId="1356" priority="5554" operator="lessThan">
      <formula>0</formula>
    </cfRule>
  </conditionalFormatting>
  <conditionalFormatting sqref="F136:G1048576 G61:G135">
    <cfRule type="cellIs" dxfId="1355" priority="5553" operator="lessThan">
      <formula>0</formula>
    </cfRule>
  </conditionalFormatting>
  <conditionalFormatting sqref="F136:G1048576 G61:G135">
    <cfRule type="cellIs" dxfId="1354" priority="5552" operator="lessThan">
      <formula>0</formula>
    </cfRule>
  </conditionalFormatting>
  <conditionalFormatting sqref="F136:G1048576 G61:G135">
    <cfRule type="cellIs" dxfId="1353" priority="5551" operator="lessThan">
      <formula>0</formula>
    </cfRule>
  </conditionalFormatting>
  <conditionalFormatting sqref="F136:G1048576 G61:G135">
    <cfRule type="cellIs" dxfId="1352" priority="5550" operator="lessThan">
      <formula>0</formula>
    </cfRule>
  </conditionalFormatting>
  <conditionalFormatting sqref="F136:G1048576 G61:G135">
    <cfRule type="cellIs" dxfId="1351" priority="5549" operator="lessThan">
      <formula>0</formula>
    </cfRule>
  </conditionalFormatting>
  <conditionalFormatting sqref="F136:G1048576 G61:G135">
    <cfRule type="cellIs" dxfId="1350" priority="5548" operator="lessThan">
      <formula>0</formula>
    </cfRule>
  </conditionalFormatting>
  <conditionalFormatting sqref="F136:G1048576 G61:G135">
    <cfRule type="cellIs" dxfId="1349" priority="5547" operator="lessThan">
      <formula>0</formula>
    </cfRule>
  </conditionalFormatting>
  <conditionalFormatting sqref="F136:G1048576 G61:G135">
    <cfRule type="cellIs" dxfId="1348" priority="5546" operator="lessThan">
      <formula>0</formula>
    </cfRule>
  </conditionalFormatting>
  <conditionalFormatting sqref="F136:G1048576 G61:G135">
    <cfRule type="cellIs" dxfId="1347" priority="5545" operator="lessThan">
      <formula>0</formula>
    </cfRule>
  </conditionalFormatting>
  <conditionalFormatting sqref="F136:G1048576 G61:G135">
    <cfRule type="cellIs" dxfId="1346" priority="5544" operator="lessThan">
      <formula>0</formula>
    </cfRule>
  </conditionalFormatting>
  <conditionalFormatting sqref="F136:G1048576 G61:G135">
    <cfRule type="cellIs" dxfId="1345" priority="5543" operator="lessThan">
      <formula>0</formula>
    </cfRule>
  </conditionalFormatting>
  <conditionalFormatting sqref="F136:G1048576 G61:G135">
    <cfRule type="cellIs" dxfId="1344" priority="5542" operator="lessThan">
      <formula>0</formula>
    </cfRule>
  </conditionalFormatting>
  <conditionalFormatting sqref="F136:G1048576 G61:G135">
    <cfRule type="cellIs" dxfId="1343" priority="5541" operator="lessThan">
      <formula>0</formula>
    </cfRule>
  </conditionalFormatting>
  <conditionalFormatting sqref="F136:G1048576 G61:G135">
    <cfRule type="cellIs" dxfId="1342" priority="5540" operator="lessThan">
      <formula>0</formula>
    </cfRule>
  </conditionalFormatting>
  <conditionalFormatting sqref="F136:G1048576 G61:G135">
    <cfRule type="cellIs" dxfId="1341" priority="5539" operator="lessThan">
      <formula>0</formula>
    </cfRule>
  </conditionalFormatting>
  <conditionalFormatting sqref="F136:G1048576 G61:G135">
    <cfRule type="cellIs" dxfId="1340" priority="5538" operator="lessThan">
      <formula>0</formula>
    </cfRule>
  </conditionalFormatting>
  <conditionalFormatting sqref="F136:G1048576 G61:G135">
    <cfRule type="cellIs" dxfId="1339" priority="5537" operator="lessThan">
      <formula>0</formula>
    </cfRule>
  </conditionalFormatting>
  <conditionalFormatting sqref="F136:G1048576 G61:G135">
    <cfRule type="cellIs" dxfId="1338" priority="5536" operator="lessThan">
      <formula>0</formula>
    </cfRule>
  </conditionalFormatting>
  <conditionalFormatting sqref="F136:G1048576 G61:G135">
    <cfRule type="cellIs" dxfId="1337" priority="5535" operator="lessThan">
      <formula>0</formula>
    </cfRule>
  </conditionalFormatting>
  <conditionalFormatting sqref="F136:G1048576 G61:G135">
    <cfRule type="cellIs" dxfId="1336" priority="5534" operator="lessThan">
      <formula>0</formula>
    </cfRule>
  </conditionalFormatting>
  <conditionalFormatting sqref="F136:G1048576 G61:G135">
    <cfRule type="cellIs" dxfId="1335" priority="5533" operator="lessThan">
      <formula>0</formula>
    </cfRule>
  </conditionalFormatting>
  <conditionalFormatting sqref="F136:G1048576 G61:G135">
    <cfRule type="cellIs" dxfId="1334" priority="5532" operator="lessThan">
      <formula>0</formula>
    </cfRule>
  </conditionalFormatting>
  <conditionalFormatting sqref="F136:G1048576 G61:G135">
    <cfRule type="cellIs" dxfId="1333" priority="5531" operator="lessThan">
      <formula>0</formula>
    </cfRule>
  </conditionalFormatting>
  <conditionalFormatting sqref="F136:G1048576 G61:G135">
    <cfRule type="cellIs" dxfId="1332" priority="5530" operator="lessThan">
      <formula>0</formula>
    </cfRule>
  </conditionalFormatting>
  <conditionalFormatting sqref="F136:G1048576 G61:G135">
    <cfRule type="cellIs" dxfId="1331" priority="5529" operator="lessThan">
      <formula>0</formula>
    </cfRule>
  </conditionalFormatting>
  <conditionalFormatting sqref="F136:G1048576 G61:G135">
    <cfRule type="cellIs" dxfId="1330" priority="5528" operator="lessThan">
      <formula>0</formula>
    </cfRule>
  </conditionalFormatting>
  <conditionalFormatting sqref="F136:G1048576 G61:G135">
    <cfRule type="cellIs" dxfId="1329" priority="5527" operator="lessThan">
      <formula>0</formula>
    </cfRule>
  </conditionalFormatting>
  <conditionalFormatting sqref="F136:G1048576 G61:G135">
    <cfRule type="cellIs" dxfId="1328" priority="5526" operator="lessThan">
      <formula>0</formula>
    </cfRule>
  </conditionalFormatting>
  <conditionalFormatting sqref="F136:G1048576 G61:G135">
    <cfRule type="cellIs" dxfId="1327" priority="5525" operator="lessThan">
      <formula>0</formula>
    </cfRule>
  </conditionalFormatting>
  <conditionalFormatting sqref="F136:G1048576 G61:G135">
    <cfRule type="cellIs" dxfId="1326" priority="5524" operator="lessThan">
      <formula>0</formula>
    </cfRule>
  </conditionalFormatting>
  <conditionalFormatting sqref="F136:G1048576 G61:G135">
    <cfRule type="cellIs" dxfId="1325" priority="5523" operator="lessThan">
      <formula>0</formula>
    </cfRule>
  </conditionalFormatting>
  <conditionalFormatting sqref="F136:G1048576 G61:G135">
    <cfRule type="cellIs" dxfId="1324" priority="5522" operator="lessThan">
      <formula>0</formula>
    </cfRule>
  </conditionalFormatting>
  <conditionalFormatting sqref="F136:G1048576 G61:G135">
    <cfRule type="cellIs" dxfId="1323" priority="5521" operator="lessThan">
      <formula>0</formula>
    </cfRule>
  </conditionalFormatting>
  <conditionalFormatting sqref="F136:G1048576 G61:G135">
    <cfRule type="cellIs" dxfId="1322" priority="5520" operator="lessThan">
      <formula>0</formula>
    </cfRule>
  </conditionalFormatting>
  <conditionalFormatting sqref="F136:G1048576 G61:G135">
    <cfRule type="cellIs" dxfId="1321" priority="5519" operator="lessThan">
      <formula>0</formula>
    </cfRule>
  </conditionalFormatting>
  <conditionalFormatting sqref="F136:G1048576 G61:G135">
    <cfRule type="cellIs" dxfId="1320" priority="5518" operator="lessThan">
      <formula>0</formula>
    </cfRule>
  </conditionalFormatting>
  <conditionalFormatting sqref="F136:G1048576 G61:G135">
    <cfRule type="cellIs" dxfId="1319" priority="5517" operator="lessThan">
      <formula>0</formula>
    </cfRule>
  </conditionalFormatting>
  <conditionalFormatting sqref="F136:G1048576 G61:G135">
    <cfRule type="cellIs" dxfId="1318" priority="5516" operator="lessThan">
      <formula>0</formula>
    </cfRule>
  </conditionalFormatting>
  <conditionalFormatting sqref="F136:G1048576 G61:G135">
    <cfRule type="cellIs" dxfId="1317" priority="5515" operator="lessThan">
      <formula>0</formula>
    </cfRule>
  </conditionalFormatting>
  <conditionalFormatting sqref="F136:G1048576 G61:G135">
    <cfRule type="cellIs" dxfId="1316" priority="5514" operator="lessThan">
      <formula>0</formula>
    </cfRule>
  </conditionalFormatting>
  <conditionalFormatting sqref="F136:G1048576 G61:G135">
    <cfRule type="cellIs" dxfId="1315" priority="5513" operator="lessThan">
      <formula>0</formula>
    </cfRule>
  </conditionalFormatting>
  <conditionalFormatting sqref="F136:G1048576 G61:G135">
    <cfRule type="cellIs" dxfId="1314" priority="5512" operator="lessThan">
      <formula>0</formula>
    </cfRule>
  </conditionalFormatting>
  <conditionalFormatting sqref="F136:G1048576 G61:G135">
    <cfRule type="cellIs" dxfId="1313" priority="5511" operator="lessThan">
      <formula>0</formula>
    </cfRule>
  </conditionalFormatting>
  <conditionalFormatting sqref="F136:G1048576 G61:G135">
    <cfRule type="cellIs" dxfId="1312" priority="5510" operator="lessThan">
      <formula>0</formula>
    </cfRule>
  </conditionalFormatting>
  <conditionalFormatting sqref="F136:G1048576 G61:G135">
    <cfRule type="cellIs" dxfId="1311" priority="5509" operator="lessThan">
      <formula>0</formula>
    </cfRule>
  </conditionalFormatting>
  <conditionalFormatting sqref="F136:G1048576 G61:G135">
    <cfRule type="cellIs" dxfId="1310" priority="5508" operator="lessThan">
      <formula>0</formula>
    </cfRule>
  </conditionalFormatting>
  <conditionalFormatting sqref="F136:G1048576 G61:G135">
    <cfRule type="cellIs" dxfId="1309" priority="5507" operator="lessThan">
      <formula>0</formula>
    </cfRule>
  </conditionalFormatting>
  <conditionalFormatting sqref="F136:G1048576 G61:G135">
    <cfRule type="cellIs" dxfId="1308" priority="5506" operator="lessThan">
      <formula>0</formula>
    </cfRule>
  </conditionalFormatting>
  <conditionalFormatting sqref="F136:G1048576 G61:G135">
    <cfRule type="cellIs" dxfId="1307" priority="5505" operator="lessThan">
      <formula>0</formula>
    </cfRule>
  </conditionalFormatting>
  <conditionalFormatting sqref="F136:G1048576 G61:G135">
    <cfRule type="cellIs" dxfId="1306" priority="5504" operator="lessThan">
      <formula>0</formula>
    </cfRule>
  </conditionalFormatting>
  <conditionalFormatting sqref="F136:G1048576 G61:G135">
    <cfRule type="cellIs" dxfId="1305" priority="5503" operator="lessThan">
      <formula>0</formula>
    </cfRule>
  </conditionalFormatting>
  <conditionalFormatting sqref="F136:G1048576 G61:G135">
    <cfRule type="cellIs" dxfId="1304" priority="5502" operator="lessThan">
      <formula>0</formula>
    </cfRule>
  </conditionalFormatting>
  <conditionalFormatting sqref="F136:G1048576 G61:G135">
    <cfRule type="cellIs" dxfId="1303" priority="5501" operator="lessThan">
      <formula>0</formula>
    </cfRule>
  </conditionalFormatting>
  <conditionalFormatting sqref="F136:G1048576 G61:G135">
    <cfRule type="cellIs" dxfId="1302" priority="5500" operator="lessThan">
      <formula>0</formula>
    </cfRule>
  </conditionalFormatting>
  <conditionalFormatting sqref="F136:G1048576 G61:G135">
    <cfRule type="cellIs" dxfId="1301" priority="5499" operator="lessThan">
      <formula>0</formula>
    </cfRule>
  </conditionalFormatting>
  <conditionalFormatting sqref="F136:G1048576 G61:G135">
    <cfRule type="cellIs" dxfId="1300" priority="5498" operator="lessThan">
      <formula>0</formula>
    </cfRule>
  </conditionalFormatting>
  <conditionalFormatting sqref="F136:G1048576 G61:G135">
    <cfRule type="cellIs" dxfId="1299" priority="5497" operator="lessThan">
      <formula>0</formula>
    </cfRule>
  </conditionalFormatting>
  <conditionalFormatting sqref="F136:G1048576 G61:G135">
    <cfRule type="cellIs" dxfId="1298" priority="5496" operator="lessThan">
      <formula>0</formula>
    </cfRule>
  </conditionalFormatting>
  <conditionalFormatting sqref="F136:G1048576 G61:G135">
    <cfRule type="cellIs" dxfId="1297" priority="5495" operator="lessThan">
      <formula>0</formula>
    </cfRule>
  </conditionalFormatting>
  <conditionalFormatting sqref="F136:G1048576 G61:G135">
    <cfRule type="cellIs" dxfId="1296" priority="5494" operator="lessThan">
      <formula>0</formula>
    </cfRule>
  </conditionalFormatting>
  <conditionalFormatting sqref="F136:G1048576 G61:G135">
    <cfRule type="cellIs" dxfId="1295" priority="5493" operator="lessThan">
      <formula>0</formula>
    </cfRule>
  </conditionalFormatting>
  <conditionalFormatting sqref="F136:G1048576 G61:G135">
    <cfRule type="cellIs" dxfId="1294" priority="5492" operator="lessThan">
      <formula>0</formula>
    </cfRule>
  </conditionalFormatting>
  <conditionalFormatting sqref="F136:G1048576 G61:G135">
    <cfRule type="cellIs" dxfId="1293" priority="5491" operator="lessThan">
      <formula>0</formula>
    </cfRule>
  </conditionalFormatting>
  <conditionalFormatting sqref="F136:G1048576 G61:G135">
    <cfRule type="cellIs" dxfId="1292" priority="5490" operator="lessThan">
      <formula>0</formula>
    </cfRule>
  </conditionalFormatting>
  <conditionalFormatting sqref="F136:G1048576 G61:G135">
    <cfRule type="cellIs" dxfId="1291" priority="5489" operator="lessThan">
      <formula>0</formula>
    </cfRule>
  </conditionalFormatting>
  <conditionalFormatting sqref="F136:G1048576 G61:G135">
    <cfRule type="cellIs" dxfId="1290" priority="5488" operator="lessThan">
      <formula>0</formula>
    </cfRule>
  </conditionalFormatting>
  <conditionalFormatting sqref="F136:G1048576 G61:G135">
    <cfRule type="cellIs" dxfId="1289" priority="5487" operator="lessThan">
      <formula>0</formula>
    </cfRule>
  </conditionalFormatting>
  <conditionalFormatting sqref="F136:G1048576 G61:G135">
    <cfRule type="cellIs" dxfId="1288" priority="5486" operator="lessThan">
      <formula>0</formula>
    </cfRule>
  </conditionalFormatting>
  <conditionalFormatting sqref="F136:G1048576 G61:G135">
    <cfRule type="cellIs" dxfId="1287" priority="5485" operator="lessThan">
      <formula>0</formula>
    </cfRule>
  </conditionalFormatting>
  <conditionalFormatting sqref="F136:G1048576 G61:G135">
    <cfRule type="cellIs" dxfId="1286" priority="5484" operator="lessThan">
      <formula>0</formula>
    </cfRule>
  </conditionalFormatting>
  <conditionalFormatting sqref="F136:G1048576 G61:G135">
    <cfRule type="cellIs" dxfId="1285" priority="5483" operator="lessThan">
      <formula>0</formula>
    </cfRule>
  </conditionalFormatting>
  <conditionalFormatting sqref="F136:G1048576 G61:G135">
    <cfRule type="cellIs" dxfId="1284" priority="5482" operator="lessThan">
      <formula>0</formula>
    </cfRule>
  </conditionalFormatting>
  <conditionalFormatting sqref="F136:G1048576 G61:G135">
    <cfRule type="cellIs" dxfId="1283" priority="5481" operator="lessThan">
      <formula>0</formula>
    </cfRule>
  </conditionalFormatting>
  <conditionalFormatting sqref="F136:G1048576 G61:G135">
    <cfRule type="cellIs" dxfId="1282" priority="5480" operator="lessThan">
      <formula>0</formula>
    </cfRule>
  </conditionalFormatting>
  <conditionalFormatting sqref="F136:G1048576 G61:G135">
    <cfRule type="cellIs" dxfId="1281" priority="5479" operator="lessThan">
      <formula>0</formula>
    </cfRule>
  </conditionalFormatting>
  <conditionalFormatting sqref="F136:G1048576 G61:G135">
    <cfRule type="cellIs" dxfId="1280" priority="5478" operator="lessThan">
      <formula>0</formula>
    </cfRule>
  </conditionalFormatting>
  <conditionalFormatting sqref="F136:G1048576 G61:G135">
    <cfRule type="cellIs" dxfId="1279" priority="5477" operator="lessThan">
      <formula>0</formula>
    </cfRule>
  </conditionalFormatting>
  <conditionalFormatting sqref="F136:G1048576 G61:G135">
    <cfRule type="cellIs" dxfId="1278" priority="5476" operator="lessThan">
      <formula>0</formula>
    </cfRule>
  </conditionalFormatting>
  <conditionalFormatting sqref="F136:G1048576 G61:G135">
    <cfRule type="cellIs" dxfId="1277" priority="5475" operator="lessThan">
      <formula>0</formula>
    </cfRule>
  </conditionalFormatting>
  <conditionalFormatting sqref="F136:G1048576 G61:G135">
    <cfRule type="cellIs" dxfId="1276" priority="5474" operator="lessThan">
      <formula>0</formula>
    </cfRule>
  </conditionalFormatting>
  <conditionalFormatting sqref="F136:G1048576 G61:G135">
    <cfRule type="cellIs" dxfId="1275" priority="5473" operator="lessThan">
      <formula>0</formula>
    </cfRule>
  </conditionalFormatting>
  <conditionalFormatting sqref="F136:G1048576 G61:G135">
    <cfRule type="cellIs" dxfId="1274" priority="5472" operator="lessThan">
      <formula>0</formula>
    </cfRule>
  </conditionalFormatting>
  <conditionalFormatting sqref="F136:G1048576 G61:G135">
    <cfRule type="cellIs" dxfId="1273" priority="5471" operator="lessThan">
      <formula>0</formula>
    </cfRule>
  </conditionalFormatting>
  <conditionalFormatting sqref="F136:G1048576 G61:G135">
    <cfRule type="cellIs" dxfId="1272" priority="5470" operator="lessThan">
      <formula>0</formula>
    </cfRule>
  </conditionalFormatting>
  <conditionalFormatting sqref="F136:G1048576 G61:G135">
    <cfRule type="cellIs" dxfId="1271" priority="5469" operator="lessThan">
      <formula>0</formula>
    </cfRule>
  </conditionalFormatting>
  <conditionalFormatting sqref="F136:G1048576 G61:G135">
    <cfRule type="cellIs" dxfId="1270" priority="5468" operator="lessThan">
      <formula>0</formula>
    </cfRule>
  </conditionalFormatting>
  <conditionalFormatting sqref="F136:G1048576 G61:G135">
    <cfRule type="cellIs" dxfId="1269" priority="5467" operator="lessThan">
      <formula>0</formula>
    </cfRule>
  </conditionalFormatting>
  <conditionalFormatting sqref="F136:G1048576 G61:G135">
    <cfRule type="cellIs" dxfId="1268" priority="5466" operator="lessThan">
      <formula>0</formula>
    </cfRule>
  </conditionalFormatting>
  <conditionalFormatting sqref="F136:G1048576 G61:G135">
    <cfRule type="cellIs" dxfId="1267" priority="5465" operator="lessThan">
      <formula>0</formula>
    </cfRule>
  </conditionalFormatting>
  <conditionalFormatting sqref="F136:G1048576 G61:G135">
    <cfRule type="cellIs" dxfId="1266" priority="5464" operator="lessThan">
      <formula>0</formula>
    </cfRule>
  </conditionalFormatting>
  <conditionalFormatting sqref="F136:G1048576 G61:G135">
    <cfRule type="cellIs" dxfId="1265" priority="5463" operator="lessThan">
      <formula>0</formula>
    </cfRule>
  </conditionalFormatting>
  <conditionalFormatting sqref="F136:G1048576 G61:G135">
    <cfRule type="cellIs" dxfId="1264" priority="5462" operator="lessThan">
      <formula>0</formula>
    </cfRule>
  </conditionalFormatting>
  <conditionalFormatting sqref="F136:G1048576 G61:G135">
    <cfRule type="cellIs" dxfId="1263" priority="5461" operator="lessThan">
      <formula>0</formula>
    </cfRule>
  </conditionalFormatting>
  <conditionalFormatting sqref="F136:G1048576 G61:G135">
    <cfRule type="cellIs" dxfId="1262" priority="5460" operator="lessThan">
      <formula>0</formula>
    </cfRule>
  </conditionalFormatting>
  <conditionalFormatting sqref="F136:G1048576 G61:G135">
    <cfRule type="cellIs" dxfId="1261" priority="5459" operator="lessThan">
      <formula>0</formula>
    </cfRule>
  </conditionalFormatting>
  <conditionalFormatting sqref="F136:G1048576 G61:G135">
    <cfRule type="cellIs" dxfId="1260" priority="5458" operator="lessThan">
      <formula>0</formula>
    </cfRule>
  </conditionalFormatting>
  <conditionalFormatting sqref="F136:G1048576 G61:G135">
    <cfRule type="cellIs" dxfId="1259" priority="5457" operator="lessThan">
      <formula>0</formula>
    </cfRule>
  </conditionalFormatting>
  <conditionalFormatting sqref="F136:G1048576 G61:G135">
    <cfRule type="cellIs" dxfId="1258" priority="5456" operator="lessThan">
      <formula>0</formula>
    </cfRule>
  </conditionalFormatting>
  <conditionalFormatting sqref="F136:G1048576 G61:G135">
    <cfRule type="cellIs" dxfId="1257" priority="5455" operator="lessThan">
      <formula>0</formula>
    </cfRule>
  </conditionalFormatting>
  <conditionalFormatting sqref="F136:G1048576 G61:G135">
    <cfRule type="cellIs" dxfId="1256" priority="5454" operator="lessThan">
      <formula>0</formula>
    </cfRule>
  </conditionalFormatting>
  <conditionalFormatting sqref="F136:G1048576 G61:G135">
    <cfRule type="cellIs" dxfId="1255" priority="5453" operator="lessThan">
      <formula>0</formula>
    </cfRule>
  </conditionalFormatting>
  <conditionalFormatting sqref="F136:G1048576 G61:G135">
    <cfRule type="cellIs" dxfId="1254" priority="5452" operator="lessThan">
      <formula>0</formula>
    </cfRule>
  </conditionalFormatting>
  <conditionalFormatting sqref="F136:G1048576 G61:G135">
    <cfRule type="cellIs" dxfId="1253" priority="5451" operator="lessThan">
      <formula>0</formula>
    </cfRule>
  </conditionalFormatting>
  <conditionalFormatting sqref="F136:G1048576 G61:G135">
    <cfRule type="cellIs" dxfId="1252" priority="5450" operator="lessThan">
      <formula>0</formula>
    </cfRule>
  </conditionalFormatting>
  <conditionalFormatting sqref="F136:G1048576 G61:G135">
    <cfRule type="cellIs" dxfId="1251" priority="5449" operator="lessThan">
      <formula>0</formula>
    </cfRule>
  </conditionalFormatting>
  <conditionalFormatting sqref="F136:G1048576 G61:G135">
    <cfRule type="cellIs" dxfId="1250" priority="5448" operator="lessThan">
      <formula>0</formula>
    </cfRule>
  </conditionalFormatting>
  <conditionalFormatting sqref="F136:G1048576 G61:G135">
    <cfRule type="cellIs" dxfId="1249" priority="5447" operator="lessThan">
      <formula>0</formula>
    </cfRule>
  </conditionalFormatting>
  <conditionalFormatting sqref="F136:G1048576 G61:G135">
    <cfRule type="cellIs" dxfId="1248" priority="5446" operator="lessThan">
      <formula>0</formula>
    </cfRule>
  </conditionalFormatting>
  <conditionalFormatting sqref="F136:G1048576 G61:G135">
    <cfRule type="cellIs" dxfId="1247" priority="5445" operator="lessThan">
      <formula>0</formula>
    </cfRule>
  </conditionalFormatting>
  <conditionalFormatting sqref="F136:G1048576 G61:G135">
    <cfRule type="cellIs" dxfId="1246" priority="5444" operator="lessThan">
      <formula>0</formula>
    </cfRule>
  </conditionalFormatting>
  <conditionalFormatting sqref="F136:G1048576 G61:G135">
    <cfRule type="cellIs" dxfId="1245" priority="5443" operator="lessThan">
      <formula>0</formula>
    </cfRule>
  </conditionalFormatting>
  <conditionalFormatting sqref="F136:G1048576 G61:G135">
    <cfRule type="cellIs" dxfId="1244" priority="5442" operator="lessThan">
      <formula>0</formula>
    </cfRule>
  </conditionalFormatting>
  <conditionalFormatting sqref="F136:G1048576 G61:G135">
    <cfRule type="cellIs" dxfId="1243" priority="5441" operator="lessThan">
      <formula>0</formula>
    </cfRule>
  </conditionalFormatting>
  <conditionalFormatting sqref="F136:G1048576 G61:G135">
    <cfRule type="cellIs" dxfId="1242" priority="5440" operator="lessThan">
      <formula>0</formula>
    </cfRule>
  </conditionalFormatting>
  <conditionalFormatting sqref="F136:G1048576 G61:G135">
    <cfRule type="cellIs" dxfId="1241" priority="5439" operator="lessThan">
      <formula>0</formula>
    </cfRule>
  </conditionalFormatting>
  <conditionalFormatting sqref="F136:G1048576 G61:G135">
    <cfRule type="cellIs" dxfId="1240" priority="5438" operator="lessThan">
      <formula>0</formula>
    </cfRule>
  </conditionalFormatting>
  <conditionalFormatting sqref="F136:G1048576 G61:G135">
    <cfRule type="cellIs" dxfId="1239" priority="5437" operator="lessThan">
      <formula>0</formula>
    </cfRule>
  </conditionalFormatting>
  <conditionalFormatting sqref="F136:G1048576 G61:G135">
    <cfRule type="cellIs" dxfId="1238" priority="5436" operator="lessThan">
      <formula>0</formula>
    </cfRule>
  </conditionalFormatting>
  <conditionalFormatting sqref="G42">
    <cfRule type="cellIs" dxfId="1237" priority="4733" operator="lessThan">
      <formula>0</formula>
    </cfRule>
  </conditionalFormatting>
  <conditionalFormatting sqref="G42">
    <cfRule type="cellIs" dxfId="1236" priority="4732" operator="lessThan">
      <formula>0</formula>
    </cfRule>
  </conditionalFormatting>
  <conditionalFormatting sqref="G42">
    <cfRule type="cellIs" dxfId="1235" priority="4731" operator="lessThan">
      <formula>0</formula>
    </cfRule>
  </conditionalFormatting>
  <conditionalFormatting sqref="G42">
    <cfRule type="cellIs" dxfId="1234" priority="4730" operator="lessThan">
      <formula>0</formula>
    </cfRule>
  </conditionalFormatting>
  <conditionalFormatting sqref="G42">
    <cfRule type="cellIs" dxfId="1233" priority="4729" operator="lessThan">
      <formula>0</formula>
    </cfRule>
  </conditionalFormatting>
  <conditionalFormatting sqref="G42">
    <cfRule type="cellIs" dxfId="1232" priority="4728" operator="lessThan">
      <formula>0</formula>
    </cfRule>
  </conditionalFormatting>
  <conditionalFormatting sqref="G42">
    <cfRule type="cellIs" dxfId="1231" priority="4727" operator="lessThan">
      <formula>0</formula>
    </cfRule>
  </conditionalFormatting>
  <conditionalFormatting sqref="G42">
    <cfRule type="cellIs" dxfId="1230" priority="4726" operator="lessThan">
      <formula>0</formula>
    </cfRule>
  </conditionalFormatting>
  <conditionalFormatting sqref="G42">
    <cfRule type="cellIs" dxfId="1229" priority="4725" operator="lessThan">
      <formula>0</formula>
    </cfRule>
  </conditionalFormatting>
  <conditionalFormatting sqref="G42">
    <cfRule type="cellIs" dxfId="1228" priority="4724" operator="lessThan">
      <formula>0</formula>
    </cfRule>
  </conditionalFormatting>
  <conditionalFormatting sqref="G42">
    <cfRule type="cellIs" dxfId="1227" priority="4723" operator="lessThan">
      <formula>0</formula>
    </cfRule>
  </conditionalFormatting>
  <conditionalFormatting sqref="G42">
    <cfRule type="cellIs" dxfId="1226" priority="4722" operator="lessThan">
      <formula>0</formula>
    </cfRule>
  </conditionalFormatting>
  <conditionalFormatting sqref="G42">
    <cfRule type="cellIs" dxfId="1225" priority="4721" operator="lessThan">
      <formula>0</formula>
    </cfRule>
  </conditionalFormatting>
  <conditionalFormatting sqref="G42">
    <cfRule type="cellIs" dxfId="1224" priority="4720" operator="lessThan">
      <formula>0</formula>
    </cfRule>
  </conditionalFormatting>
  <conditionalFormatting sqref="G42">
    <cfRule type="cellIs" dxfId="1223" priority="4719" operator="lessThan">
      <formula>0</formula>
    </cfRule>
  </conditionalFormatting>
  <conditionalFormatting sqref="G42">
    <cfRule type="cellIs" dxfId="1222" priority="4718" operator="lessThan">
      <formula>0</formula>
    </cfRule>
  </conditionalFormatting>
  <conditionalFormatting sqref="G42">
    <cfRule type="cellIs" dxfId="1221" priority="4717" operator="lessThan">
      <formula>0</formula>
    </cfRule>
  </conditionalFormatting>
  <conditionalFormatting sqref="G42">
    <cfRule type="cellIs" dxfId="1220" priority="4716" operator="lessThan">
      <formula>0</formula>
    </cfRule>
  </conditionalFormatting>
  <conditionalFormatting sqref="G42">
    <cfRule type="cellIs" dxfId="1219" priority="4715" operator="lessThan">
      <formula>0</formula>
    </cfRule>
  </conditionalFormatting>
  <conditionalFormatting pivot="1" sqref="F13:F53">
    <cfRule type="cellIs" dxfId="1218" priority="3660" operator="lessThan">
      <formula>0</formula>
    </cfRule>
  </conditionalFormatting>
  <conditionalFormatting sqref="H86:H1048576">
    <cfRule type="cellIs" dxfId="1217" priority="3456" operator="lessThan">
      <formula>0</formula>
    </cfRule>
  </conditionalFormatting>
  <conditionalFormatting sqref="H86:H1048576">
    <cfRule type="cellIs" dxfId="1216" priority="3455" operator="lessThan">
      <formula>0</formula>
    </cfRule>
  </conditionalFormatting>
  <conditionalFormatting sqref="H86:H1048576">
    <cfRule type="cellIs" dxfId="1215" priority="3454" operator="lessThan">
      <formula>0</formula>
    </cfRule>
  </conditionalFormatting>
  <conditionalFormatting sqref="H86:H1048576">
    <cfRule type="cellIs" dxfId="1214" priority="3453" operator="lessThan">
      <formula>0</formula>
    </cfRule>
  </conditionalFormatting>
  <conditionalFormatting sqref="H86:H1048576">
    <cfRule type="cellIs" dxfId="1213" priority="3452" operator="lessThan">
      <formula>0</formula>
    </cfRule>
  </conditionalFormatting>
  <conditionalFormatting sqref="H86:H1048576">
    <cfRule type="cellIs" dxfId="1212" priority="3451" operator="lessThan">
      <formula>0</formula>
    </cfRule>
  </conditionalFormatting>
  <conditionalFormatting sqref="H86:H1048576">
    <cfRule type="cellIs" dxfId="1211" priority="3450" operator="lessThan">
      <formula>0</formula>
    </cfRule>
  </conditionalFormatting>
  <conditionalFormatting sqref="H86:H1048576">
    <cfRule type="cellIs" dxfId="1210" priority="3449" operator="lessThan">
      <formula>0</formula>
    </cfRule>
  </conditionalFormatting>
  <conditionalFormatting sqref="H86:H1048576">
    <cfRule type="cellIs" dxfId="1209" priority="3448" operator="lessThan">
      <formula>0</formula>
    </cfRule>
  </conditionalFormatting>
  <conditionalFormatting sqref="H86:H1048576">
    <cfRule type="cellIs" dxfId="1208" priority="3447" operator="lessThan">
      <formula>0</formula>
    </cfRule>
  </conditionalFormatting>
  <conditionalFormatting sqref="H86:H1048576">
    <cfRule type="cellIs" dxfId="1207" priority="3446" operator="lessThan">
      <formula>0</formula>
    </cfRule>
  </conditionalFormatting>
  <conditionalFormatting sqref="H86:H1048576">
    <cfRule type="cellIs" dxfId="1206" priority="3445" operator="lessThan">
      <formula>0</formula>
    </cfRule>
  </conditionalFormatting>
  <conditionalFormatting sqref="H86:H1048576">
    <cfRule type="cellIs" dxfId="1205" priority="3444" operator="lessThan">
      <formula>0</formula>
    </cfRule>
  </conditionalFormatting>
  <conditionalFormatting sqref="H86:H1048576">
    <cfRule type="cellIs" dxfId="1204" priority="3443" operator="lessThan">
      <formula>0</formula>
    </cfRule>
  </conditionalFormatting>
  <conditionalFormatting sqref="H86:H1048576">
    <cfRule type="cellIs" dxfId="1203" priority="3442" operator="lessThan">
      <formula>0</formula>
    </cfRule>
  </conditionalFormatting>
  <conditionalFormatting sqref="H86:H1048576">
    <cfRule type="cellIs" dxfId="1202" priority="3441" operator="lessThan">
      <formula>0</formula>
    </cfRule>
  </conditionalFormatting>
  <conditionalFormatting sqref="H86:H1048576">
    <cfRule type="cellIs" dxfId="1201" priority="3440" operator="lessThan">
      <formula>0</formula>
    </cfRule>
  </conditionalFormatting>
  <conditionalFormatting sqref="H86:H1048576">
    <cfRule type="cellIs" dxfId="1200" priority="3439" operator="lessThan">
      <formula>0</formula>
    </cfRule>
  </conditionalFormatting>
  <conditionalFormatting sqref="H86:H1048576">
    <cfRule type="cellIs" dxfId="1199" priority="3438" operator="lessThan">
      <formula>0</formula>
    </cfRule>
  </conditionalFormatting>
  <conditionalFormatting sqref="H86:H1048576">
    <cfRule type="cellIs" dxfId="1198" priority="3437" operator="lessThan">
      <formula>0</formula>
    </cfRule>
  </conditionalFormatting>
  <conditionalFormatting sqref="H86:H1048576">
    <cfRule type="cellIs" dxfId="1197" priority="3436" operator="lessThan">
      <formula>0</formula>
    </cfRule>
  </conditionalFormatting>
  <conditionalFormatting sqref="H86:H1048576">
    <cfRule type="cellIs" dxfId="1196" priority="3435" operator="lessThan">
      <formula>0</formula>
    </cfRule>
  </conditionalFormatting>
  <conditionalFormatting sqref="H86:H1048576">
    <cfRule type="cellIs" dxfId="1195" priority="3434" operator="lessThan">
      <formula>0</formula>
    </cfRule>
  </conditionalFormatting>
  <conditionalFormatting sqref="H86:H1048576">
    <cfRule type="cellIs" dxfId="1194" priority="3433" operator="lessThan">
      <formula>0</formula>
    </cfRule>
  </conditionalFormatting>
  <conditionalFormatting sqref="H86:H1048576">
    <cfRule type="cellIs" dxfId="1193" priority="3432" operator="lessThan">
      <formula>0</formula>
    </cfRule>
  </conditionalFormatting>
  <conditionalFormatting sqref="H86:H1048576">
    <cfRule type="cellIs" dxfId="1192" priority="3431" operator="lessThan">
      <formula>0</formula>
    </cfRule>
  </conditionalFormatting>
  <conditionalFormatting sqref="H86:H1048576">
    <cfRule type="cellIs" dxfId="1191" priority="3430" operator="lessThan">
      <formula>0</formula>
    </cfRule>
  </conditionalFormatting>
  <conditionalFormatting sqref="H86:H1048576">
    <cfRule type="cellIs" dxfId="1190" priority="3429" operator="lessThan">
      <formula>0</formula>
    </cfRule>
  </conditionalFormatting>
  <conditionalFormatting sqref="H86:H1048576">
    <cfRule type="cellIs" dxfId="1189" priority="3428" operator="lessThan">
      <formula>0</formula>
    </cfRule>
  </conditionalFormatting>
  <conditionalFormatting sqref="H86:H1048576">
    <cfRule type="cellIs" dxfId="1188" priority="3427" operator="lessThan">
      <formula>0</formula>
    </cfRule>
  </conditionalFormatting>
  <conditionalFormatting sqref="H86:H1048576">
    <cfRule type="cellIs" dxfId="1187" priority="3426" operator="lessThan">
      <formula>0</formula>
    </cfRule>
  </conditionalFormatting>
  <conditionalFormatting sqref="H86:H1048576">
    <cfRule type="cellIs" dxfId="1186" priority="3425" operator="lessThan">
      <formula>0</formula>
    </cfRule>
  </conditionalFormatting>
  <conditionalFormatting sqref="H86:H1048576">
    <cfRule type="cellIs" dxfId="1185" priority="3424" operator="lessThan">
      <formula>0</formula>
    </cfRule>
  </conditionalFormatting>
  <conditionalFormatting sqref="H86:H1048576">
    <cfRule type="cellIs" dxfId="1184" priority="3423" operator="lessThan">
      <formula>0</formula>
    </cfRule>
  </conditionalFormatting>
  <conditionalFormatting sqref="H86:H1048576">
    <cfRule type="cellIs" dxfId="1183" priority="3422" operator="lessThan">
      <formula>0</formula>
    </cfRule>
  </conditionalFormatting>
  <conditionalFormatting sqref="H86:H1048576">
    <cfRule type="cellIs" dxfId="1182" priority="3421" operator="lessThan">
      <formula>0</formula>
    </cfRule>
  </conditionalFormatting>
  <conditionalFormatting sqref="H86:H1048576">
    <cfRule type="cellIs" dxfId="1181" priority="3420" operator="lessThan">
      <formula>0</formula>
    </cfRule>
  </conditionalFormatting>
  <conditionalFormatting sqref="H86:H1048576">
    <cfRule type="cellIs" dxfId="1180" priority="3419" operator="lessThan">
      <formula>0</formula>
    </cfRule>
  </conditionalFormatting>
  <conditionalFormatting sqref="H86:H1048576">
    <cfRule type="cellIs" dxfId="1179" priority="3418" operator="lessThan">
      <formula>0</formula>
    </cfRule>
  </conditionalFormatting>
  <conditionalFormatting sqref="H86:H1048576">
    <cfRule type="cellIs" dxfId="1178" priority="3417" operator="lessThan">
      <formula>0</formula>
    </cfRule>
  </conditionalFormatting>
  <conditionalFormatting sqref="H86:H1048576">
    <cfRule type="cellIs" dxfId="1177" priority="3416" operator="lessThan">
      <formula>0</formula>
    </cfRule>
  </conditionalFormatting>
  <conditionalFormatting sqref="H86:H1048576">
    <cfRule type="cellIs" dxfId="1176" priority="3415" operator="lessThan">
      <formula>0</formula>
    </cfRule>
  </conditionalFormatting>
  <conditionalFormatting sqref="H86:H1048576">
    <cfRule type="cellIs" dxfId="1175" priority="3414" operator="lessThan">
      <formula>0</formula>
    </cfRule>
  </conditionalFormatting>
  <conditionalFormatting sqref="H86:H1048576">
    <cfRule type="cellIs" dxfId="1174" priority="3413" operator="lessThan">
      <formula>0</formula>
    </cfRule>
  </conditionalFormatting>
  <conditionalFormatting sqref="H86:H1048576">
    <cfRule type="cellIs" dxfId="1173" priority="3412" operator="lessThan">
      <formula>0</formula>
    </cfRule>
  </conditionalFormatting>
  <conditionalFormatting sqref="H86:H1048576">
    <cfRule type="cellIs" dxfId="1172" priority="3411" operator="lessThan">
      <formula>0</formula>
    </cfRule>
  </conditionalFormatting>
  <conditionalFormatting sqref="H86:H1048576">
    <cfRule type="cellIs" dxfId="1171" priority="3410" operator="lessThan">
      <formula>0</formula>
    </cfRule>
  </conditionalFormatting>
  <conditionalFormatting sqref="H86:H1048576">
    <cfRule type="cellIs" dxfId="1170" priority="3409" operator="lessThan">
      <formula>0</formula>
    </cfRule>
  </conditionalFormatting>
  <conditionalFormatting sqref="H86:H1048576">
    <cfRule type="cellIs" dxfId="1169" priority="3408" operator="lessThan">
      <formula>0</formula>
    </cfRule>
  </conditionalFormatting>
  <conditionalFormatting sqref="H86:H1048576">
    <cfRule type="cellIs" dxfId="1168" priority="3407" operator="lessThan">
      <formula>0</formula>
    </cfRule>
  </conditionalFormatting>
  <conditionalFormatting sqref="H86:H1048576">
    <cfRule type="cellIs" dxfId="1167" priority="3406" operator="lessThan">
      <formula>0</formula>
    </cfRule>
  </conditionalFormatting>
  <conditionalFormatting sqref="H86:H1048576">
    <cfRule type="cellIs" dxfId="1166" priority="3405" operator="lessThan">
      <formula>0</formula>
    </cfRule>
  </conditionalFormatting>
  <conditionalFormatting sqref="H86:H1048576">
    <cfRule type="cellIs" dxfId="1165" priority="3404" operator="lessThan">
      <formula>0</formula>
    </cfRule>
  </conditionalFormatting>
  <conditionalFormatting sqref="H86:H1048576">
    <cfRule type="cellIs" dxfId="1164" priority="3403" operator="lessThan">
      <formula>0</formula>
    </cfRule>
  </conditionalFormatting>
  <conditionalFormatting sqref="H86:H1048576">
    <cfRule type="cellIs" dxfId="1163" priority="3402" operator="lessThan">
      <formula>0</formula>
    </cfRule>
  </conditionalFormatting>
  <conditionalFormatting sqref="H86:H1048576">
    <cfRule type="cellIs" dxfId="1162" priority="3401" operator="lessThan">
      <formula>0</formula>
    </cfRule>
  </conditionalFormatting>
  <conditionalFormatting sqref="H86:H1048576">
    <cfRule type="cellIs" dxfId="1161" priority="3400" operator="lessThan">
      <formula>0</formula>
    </cfRule>
  </conditionalFormatting>
  <conditionalFormatting sqref="H86:H1048576">
    <cfRule type="cellIs" dxfId="1160" priority="3399" operator="lessThan">
      <formula>0</formula>
    </cfRule>
  </conditionalFormatting>
  <conditionalFormatting sqref="H86:H1048576">
    <cfRule type="cellIs" dxfId="1159" priority="3398" operator="lessThan">
      <formula>0</formula>
    </cfRule>
  </conditionalFormatting>
  <conditionalFormatting sqref="H86:H1048576">
    <cfRule type="cellIs" dxfId="1158" priority="3397" operator="lessThan">
      <formula>0</formula>
    </cfRule>
  </conditionalFormatting>
  <conditionalFormatting sqref="H86:H1048576">
    <cfRule type="cellIs" dxfId="1157" priority="3396" operator="lessThan">
      <formula>0</formula>
    </cfRule>
  </conditionalFormatting>
  <conditionalFormatting sqref="H86:H1048576">
    <cfRule type="cellIs" dxfId="1156" priority="3395" operator="lessThan">
      <formula>0</formula>
    </cfRule>
  </conditionalFormatting>
  <conditionalFormatting sqref="H86:H1048576">
    <cfRule type="cellIs" dxfId="1155" priority="3394" operator="lessThan">
      <formula>0</formula>
    </cfRule>
  </conditionalFormatting>
  <conditionalFormatting sqref="H86:H1048576">
    <cfRule type="cellIs" dxfId="1154" priority="3393" operator="lessThan">
      <formula>0</formula>
    </cfRule>
  </conditionalFormatting>
  <conditionalFormatting sqref="H86:H1048576">
    <cfRule type="cellIs" dxfId="1153" priority="3392" operator="lessThan">
      <formula>0</formula>
    </cfRule>
  </conditionalFormatting>
  <conditionalFormatting sqref="H86:H1048576">
    <cfRule type="cellIs" dxfId="1152" priority="3391" operator="lessThan">
      <formula>0</formula>
    </cfRule>
  </conditionalFormatting>
  <conditionalFormatting sqref="H86:H1048576">
    <cfRule type="cellIs" dxfId="1151" priority="3390" operator="lessThan">
      <formula>0</formula>
    </cfRule>
  </conditionalFormatting>
  <conditionalFormatting sqref="H86:H1048576">
    <cfRule type="cellIs" dxfId="1150" priority="3389" operator="lessThan">
      <formula>0</formula>
    </cfRule>
  </conditionalFormatting>
  <conditionalFormatting sqref="H86:H1048576">
    <cfRule type="cellIs" dxfId="1149" priority="3388" operator="lessThan">
      <formula>0</formula>
    </cfRule>
  </conditionalFormatting>
  <conditionalFormatting sqref="H86:H1048576">
    <cfRule type="cellIs" dxfId="1148" priority="3387" operator="lessThan">
      <formula>0</formula>
    </cfRule>
  </conditionalFormatting>
  <conditionalFormatting sqref="H86:H1048576">
    <cfRule type="cellIs" dxfId="1147" priority="3386" operator="lessThan">
      <formula>0</formula>
    </cfRule>
  </conditionalFormatting>
  <conditionalFormatting sqref="H86:H1048576">
    <cfRule type="cellIs" dxfId="1146" priority="3385" operator="lessThan">
      <formula>0</formula>
    </cfRule>
  </conditionalFormatting>
  <conditionalFormatting sqref="H86:H1048576">
    <cfRule type="cellIs" dxfId="1145" priority="3384" operator="lessThan">
      <formula>0</formula>
    </cfRule>
  </conditionalFormatting>
  <conditionalFormatting sqref="H86:H1048576">
    <cfRule type="cellIs" dxfId="1144" priority="3383" operator="lessThan">
      <formula>0</formula>
    </cfRule>
  </conditionalFormatting>
  <conditionalFormatting sqref="H86:H1048576">
    <cfRule type="cellIs" dxfId="1143" priority="3382" operator="lessThan">
      <formula>0</formula>
    </cfRule>
  </conditionalFormatting>
  <conditionalFormatting sqref="H86:H1048576">
    <cfRule type="cellIs" dxfId="1142" priority="3381" operator="lessThan">
      <formula>0</formula>
    </cfRule>
  </conditionalFormatting>
  <conditionalFormatting sqref="H86:H1048576">
    <cfRule type="cellIs" dxfId="1141" priority="3380" operator="lessThan">
      <formula>0</formula>
    </cfRule>
  </conditionalFormatting>
  <conditionalFormatting sqref="H86:H1048576">
    <cfRule type="cellIs" dxfId="1140" priority="3379" operator="lessThan">
      <formula>0</formula>
    </cfRule>
  </conditionalFormatting>
  <conditionalFormatting sqref="H86:H1048576">
    <cfRule type="cellIs" dxfId="1139" priority="3378" operator="lessThan">
      <formula>0</formula>
    </cfRule>
  </conditionalFormatting>
  <conditionalFormatting sqref="H86:H1048576">
    <cfRule type="cellIs" dxfId="1138" priority="3377" operator="lessThan">
      <formula>0</formula>
    </cfRule>
  </conditionalFormatting>
  <conditionalFormatting sqref="H86:H1048576">
    <cfRule type="cellIs" dxfId="1137" priority="3376" operator="lessThan">
      <formula>0</formula>
    </cfRule>
  </conditionalFormatting>
  <conditionalFormatting sqref="H86:H1048576">
    <cfRule type="cellIs" dxfId="1136" priority="3375" operator="lessThan">
      <formula>0</formula>
    </cfRule>
  </conditionalFormatting>
  <conditionalFormatting sqref="H86:H1048576">
    <cfRule type="cellIs" dxfId="1135" priority="3374" operator="lessThan">
      <formula>0</formula>
    </cfRule>
  </conditionalFormatting>
  <conditionalFormatting sqref="H86:H1048576">
    <cfRule type="cellIs" dxfId="1134" priority="3373" operator="lessThan">
      <formula>0</formula>
    </cfRule>
  </conditionalFormatting>
  <conditionalFormatting sqref="H86:H1048576">
    <cfRule type="cellIs" dxfId="1133" priority="3372" operator="lessThan">
      <formula>0</formula>
    </cfRule>
  </conditionalFormatting>
  <conditionalFormatting sqref="H86:H1048576">
    <cfRule type="cellIs" dxfId="1132" priority="3371" operator="lessThan">
      <formula>0</formula>
    </cfRule>
  </conditionalFormatting>
  <conditionalFormatting sqref="H86:H1048576">
    <cfRule type="cellIs" dxfId="1131" priority="3370" operator="lessThan">
      <formula>0</formula>
    </cfRule>
  </conditionalFormatting>
  <conditionalFormatting sqref="H86:H1048576">
    <cfRule type="cellIs" dxfId="1130" priority="3369" operator="lessThan">
      <formula>0</formula>
    </cfRule>
  </conditionalFormatting>
  <conditionalFormatting sqref="H86:H1048576">
    <cfRule type="cellIs" dxfId="1129" priority="3368" operator="lessThan">
      <formula>0</formula>
    </cfRule>
  </conditionalFormatting>
  <conditionalFormatting sqref="H86:H1048576">
    <cfRule type="cellIs" dxfId="1128" priority="3367" operator="lessThan">
      <formula>0</formula>
    </cfRule>
  </conditionalFormatting>
  <conditionalFormatting sqref="H86:H1048576">
    <cfRule type="cellIs" dxfId="1127" priority="3366" operator="lessThan">
      <formula>0</formula>
    </cfRule>
  </conditionalFormatting>
  <conditionalFormatting sqref="H86:H1048576">
    <cfRule type="cellIs" dxfId="1126" priority="3365" operator="lessThan">
      <formula>0</formula>
    </cfRule>
  </conditionalFormatting>
  <conditionalFormatting sqref="H86:H1048576">
    <cfRule type="cellIs" dxfId="1125" priority="3364" operator="lessThan">
      <formula>0</formula>
    </cfRule>
  </conditionalFormatting>
  <conditionalFormatting sqref="H86:H1048576">
    <cfRule type="cellIs" dxfId="1124" priority="3363" operator="lessThan">
      <formula>0</formula>
    </cfRule>
  </conditionalFormatting>
  <conditionalFormatting sqref="H86:H1048576">
    <cfRule type="cellIs" dxfId="1123" priority="3362" operator="lessThan">
      <formula>0</formula>
    </cfRule>
  </conditionalFormatting>
  <conditionalFormatting sqref="H86:H1048576">
    <cfRule type="cellIs" dxfId="1122" priority="3361" operator="lessThan">
      <formula>0</formula>
    </cfRule>
  </conditionalFormatting>
  <conditionalFormatting sqref="H86:H1048576">
    <cfRule type="cellIs" dxfId="1121" priority="3360" operator="lessThan">
      <formula>0</formula>
    </cfRule>
  </conditionalFormatting>
  <conditionalFormatting sqref="H86:H1048576">
    <cfRule type="cellIs" dxfId="1120" priority="3359" operator="lessThan">
      <formula>0</formula>
    </cfRule>
  </conditionalFormatting>
  <conditionalFormatting sqref="H86:H1048576">
    <cfRule type="cellIs" dxfId="1119" priority="3358" operator="lessThan">
      <formula>0</formula>
    </cfRule>
  </conditionalFormatting>
  <conditionalFormatting sqref="H86:H1048576">
    <cfRule type="cellIs" dxfId="1118" priority="3357" operator="lessThan">
      <formula>0</formula>
    </cfRule>
  </conditionalFormatting>
  <conditionalFormatting sqref="H86:H1048576">
    <cfRule type="cellIs" dxfId="1117" priority="3356" operator="lessThan">
      <formula>0</formula>
    </cfRule>
  </conditionalFormatting>
  <conditionalFormatting sqref="H86:H1048576">
    <cfRule type="cellIs" dxfId="1116" priority="3355" operator="lessThan">
      <formula>0</formula>
    </cfRule>
  </conditionalFormatting>
  <conditionalFormatting sqref="H86:H1048576">
    <cfRule type="cellIs" dxfId="1115" priority="3354" operator="lessThan">
      <formula>0</formula>
    </cfRule>
  </conditionalFormatting>
  <conditionalFormatting sqref="H86:H1048576">
    <cfRule type="cellIs" dxfId="1114" priority="3353" operator="lessThan">
      <formula>0</formula>
    </cfRule>
  </conditionalFormatting>
  <conditionalFormatting sqref="H86:H1048576">
    <cfRule type="cellIs" dxfId="1113" priority="3352" operator="lessThan">
      <formula>0</formula>
    </cfRule>
  </conditionalFormatting>
  <conditionalFormatting sqref="H86:H1048576">
    <cfRule type="cellIs" dxfId="1112" priority="3351" operator="lessThan">
      <formula>0</formula>
    </cfRule>
  </conditionalFormatting>
  <conditionalFormatting sqref="H86:H1048576">
    <cfRule type="cellIs" dxfId="1111" priority="3350" operator="lessThan">
      <formula>0</formula>
    </cfRule>
  </conditionalFormatting>
  <conditionalFormatting sqref="H86:H1048576">
    <cfRule type="cellIs" dxfId="1110" priority="3349" operator="lessThan">
      <formula>0</formula>
    </cfRule>
  </conditionalFormatting>
  <conditionalFormatting sqref="H86:H1048576">
    <cfRule type="cellIs" dxfId="1109" priority="3348" operator="lessThan">
      <formula>0</formula>
    </cfRule>
  </conditionalFormatting>
  <conditionalFormatting sqref="H86:H1048576">
    <cfRule type="cellIs" dxfId="1108" priority="3347" operator="lessThan">
      <formula>0</formula>
    </cfRule>
  </conditionalFormatting>
  <conditionalFormatting sqref="H86:H1048576">
    <cfRule type="cellIs" dxfId="1107" priority="3346" operator="lessThan">
      <formula>0</formula>
    </cfRule>
  </conditionalFormatting>
  <conditionalFormatting sqref="H86:H1048576">
    <cfRule type="cellIs" dxfId="1106" priority="3345" operator="lessThan">
      <formula>0</formula>
    </cfRule>
  </conditionalFormatting>
  <conditionalFormatting sqref="H86:H1048576">
    <cfRule type="cellIs" dxfId="1105" priority="3344" operator="lessThan">
      <formula>0</formula>
    </cfRule>
  </conditionalFormatting>
  <conditionalFormatting sqref="H86:H1048576">
    <cfRule type="cellIs" dxfId="1104" priority="3343" operator="lessThan">
      <formula>0</formula>
    </cfRule>
  </conditionalFormatting>
  <conditionalFormatting sqref="H86:H1048576">
    <cfRule type="cellIs" dxfId="1103" priority="3342" operator="lessThan">
      <formula>0</formula>
    </cfRule>
  </conditionalFormatting>
  <conditionalFormatting sqref="H86:H1048576">
    <cfRule type="cellIs" dxfId="1102" priority="3341" operator="lessThan">
      <formula>0</formula>
    </cfRule>
  </conditionalFormatting>
  <conditionalFormatting sqref="H86:H1048576">
    <cfRule type="cellIs" dxfId="1101" priority="3340" operator="lessThan">
      <formula>0</formula>
    </cfRule>
  </conditionalFormatting>
  <conditionalFormatting sqref="H86:H1048576">
    <cfRule type="cellIs" dxfId="1100" priority="3339" operator="lessThan">
      <formula>0</formula>
    </cfRule>
  </conditionalFormatting>
  <conditionalFormatting sqref="H86:H1048576">
    <cfRule type="cellIs" dxfId="1099" priority="3338" operator="lessThan">
      <formula>0</formula>
    </cfRule>
  </conditionalFormatting>
  <conditionalFormatting sqref="H86:H1048576">
    <cfRule type="cellIs" dxfId="1098" priority="3337" operator="lessThan">
      <formula>0</formula>
    </cfRule>
  </conditionalFormatting>
  <conditionalFormatting sqref="H86:H1048576">
    <cfRule type="cellIs" dxfId="1097" priority="3336" operator="lessThan">
      <formula>0</formula>
    </cfRule>
  </conditionalFormatting>
  <conditionalFormatting sqref="H86:H1048576">
    <cfRule type="cellIs" dxfId="1096" priority="3335" operator="lessThan">
      <formula>0</formula>
    </cfRule>
  </conditionalFormatting>
  <conditionalFormatting sqref="H86:H1048576">
    <cfRule type="cellIs" dxfId="1095" priority="3334" operator="lessThan">
      <formula>0</formula>
    </cfRule>
  </conditionalFormatting>
  <conditionalFormatting sqref="H86:H1048576">
    <cfRule type="cellIs" dxfId="1094" priority="3333" operator="lessThan">
      <formula>0</formula>
    </cfRule>
  </conditionalFormatting>
  <conditionalFormatting sqref="H86:H1048576">
    <cfRule type="cellIs" dxfId="1093" priority="3332" operator="lessThan">
      <formula>0</formula>
    </cfRule>
  </conditionalFormatting>
  <conditionalFormatting sqref="H86:H1048576">
    <cfRule type="cellIs" dxfId="1092" priority="3331" operator="lessThan">
      <formula>0</formula>
    </cfRule>
  </conditionalFormatting>
  <conditionalFormatting sqref="H86:H1048576">
    <cfRule type="cellIs" dxfId="1091" priority="3330" operator="lessThan">
      <formula>0</formula>
    </cfRule>
  </conditionalFormatting>
  <conditionalFormatting sqref="H86:H1048576">
    <cfRule type="cellIs" dxfId="1090" priority="3329" operator="lessThan">
      <formula>0</formula>
    </cfRule>
  </conditionalFormatting>
  <conditionalFormatting sqref="H86:H1048576">
    <cfRule type="cellIs" dxfId="1089" priority="3328" operator="lessThan">
      <formula>0</formula>
    </cfRule>
  </conditionalFormatting>
  <conditionalFormatting sqref="H86:H1048576">
    <cfRule type="cellIs" dxfId="1088" priority="3327" operator="lessThan">
      <formula>0</formula>
    </cfRule>
  </conditionalFormatting>
  <conditionalFormatting sqref="H86:H1048576">
    <cfRule type="cellIs" dxfId="1087" priority="3326" operator="lessThan">
      <formula>0</formula>
    </cfRule>
  </conditionalFormatting>
  <conditionalFormatting sqref="H86:H1048576">
    <cfRule type="cellIs" dxfId="1086" priority="3325" operator="lessThan">
      <formula>0</formula>
    </cfRule>
  </conditionalFormatting>
  <conditionalFormatting sqref="H86:H1048576">
    <cfRule type="cellIs" dxfId="1085" priority="3324" operator="lessThan">
      <formula>0</formula>
    </cfRule>
  </conditionalFormatting>
  <conditionalFormatting sqref="H86:H1048576">
    <cfRule type="cellIs" dxfId="1084" priority="3323" operator="lessThan">
      <formula>0</formula>
    </cfRule>
  </conditionalFormatting>
  <conditionalFormatting sqref="H86:H1048576">
    <cfRule type="cellIs" dxfId="1083" priority="3322" operator="lessThan">
      <formula>0</formula>
    </cfRule>
  </conditionalFormatting>
  <conditionalFormatting sqref="H86:H1048576">
    <cfRule type="cellIs" dxfId="1082" priority="3321" operator="lessThan">
      <formula>0</formula>
    </cfRule>
  </conditionalFormatting>
  <conditionalFormatting sqref="H86:H1048576">
    <cfRule type="cellIs" dxfId="1081" priority="3320" operator="lessThan">
      <formula>0</formula>
    </cfRule>
  </conditionalFormatting>
  <conditionalFormatting sqref="H86:H1048576">
    <cfRule type="cellIs" dxfId="1080" priority="3319" operator="lessThan">
      <formula>0</formula>
    </cfRule>
  </conditionalFormatting>
  <conditionalFormatting sqref="H86:H1048576">
    <cfRule type="cellIs" dxfId="1079" priority="3318" operator="lessThan">
      <formula>0</formula>
    </cfRule>
  </conditionalFormatting>
  <conditionalFormatting sqref="H86:H1048576">
    <cfRule type="cellIs" dxfId="1078" priority="3317" operator="lessThan">
      <formula>0</formula>
    </cfRule>
  </conditionalFormatting>
  <conditionalFormatting sqref="H86:H1048576">
    <cfRule type="cellIs" dxfId="1077" priority="3316" operator="lessThan">
      <formula>0</formula>
    </cfRule>
  </conditionalFormatting>
  <conditionalFormatting sqref="H86:H1048576">
    <cfRule type="cellIs" dxfId="1076" priority="3315" operator="lessThan">
      <formula>0</formula>
    </cfRule>
  </conditionalFormatting>
  <conditionalFormatting sqref="H86:H1048576">
    <cfRule type="cellIs" dxfId="1075" priority="3314" operator="lessThan">
      <formula>0</formula>
    </cfRule>
  </conditionalFormatting>
  <conditionalFormatting sqref="H86:H1048576">
    <cfRule type="cellIs" dxfId="1074" priority="3313" operator="lessThan">
      <formula>0</formula>
    </cfRule>
  </conditionalFormatting>
  <conditionalFormatting sqref="H86:H1048576">
    <cfRule type="cellIs" dxfId="1073" priority="3312" operator="lessThan">
      <formula>0</formula>
    </cfRule>
  </conditionalFormatting>
  <conditionalFormatting sqref="H86:H1048576">
    <cfRule type="cellIs" dxfId="1072" priority="3311" operator="lessThan">
      <formula>0</formula>
    </cfRule>
  </conditionalFormatting>
  <conditionalFormatting sqref="H86:H1048576">
    <cfRule type="cellIs" dxfId="1071" priority="3310" operator="lessThan">
      <formula>0</formula>
    </cfRule>
  </conditionalFormatting>
  <conditionalFormatting sqref="H86:H1048576">
    <cfRule type="cellIs" dxfId="1070" priority="3309" operator="lessThan">
      <formula>0</formula>
    </cfRule>
  </conditionalFormatting>
  <conditionalFormatting sqref="H86:H1048576">
    <cfRule type="cellIs" dxfId="1069" priority="3308" operator="lessThan">
      <formula>0</formula>
    </cfRule>
  </conditionalFormatting>
  <conditionalFormatting sqref="H86:H1048576">
    <cfRule type="cellIs" dxfId="1068" priority="3307" operator="lessThan">
      <formula>0</formula>
    </cfRule>
  </conditionalFormatting>
  <conditionalFormatting sqref="H86:H1048576">
    <cfRule type="cellIs" dxfId="1067" priority="3306" operator="lessThan">
      <formula>0</formula>
    </cfRule>
  </conditionalFormatting>
  <conditionalFormatting sqref="H86:H1048576">
    <cfRule type="cellIs" dxfId="1066" priority="3305" operator="lessThan">
      <formula>0</formula>
    </cfRule>
  </conditionalFormatting>
  <conditionalFormatting sqref="H86:H1048576">
    <cfRule type="cellIs" dxfId="1065" priority="3304" operator="lessThan">
      <formula>0</formula>
    </cfRule>
  </conditionalFormatting>
  <conditionalFormatting sqref="H86:H1048576">
    <cfRule type="cellIs" dxfId="1064" priority="3303" operator="lessThan">
      <formula>0</formula>
    </cfRule>
  </conditionalFormatting>
  <conditionalFormatting sqref="H86:H1048576">
    <cfRule type="cellIs" dxfId="1063" priority="3302" operator="lessThan">
      <formula>0</formula>
    </cfRule>
  </conditionalFormatting>
  <conditionalFormatting sqref="H86:H1048576">
    <cfRule type="cellIs" dxfId="1062" priority="3301" operator="lessThan">
      <formula>0</formula>
    </cfRule>
  </conditionalFormatting>
  <conditionalFormatting sqref="H86:H1048576">
    <cfRule type="cellIs" dxfId="1061" priority="3300" operator="lessThan">
      <formula>0</formula>
    </cfRule>
  </conditionalFormatting>
  <conditionalFormatting sqref="H86:H1048576">
    <cfRule type="cellIs" dxfId="1060" priority="3299" operator="lessThan">
      <formula>0</formula>
    </cfRule>
  </conditionalFormatting>
  <conditionalFormatting sqref="H86:H1048576">
    <cfRule type="cellIs" dxfId="1059" priority="3298" operator="lessThan">
      <formula>0</formula>
    </cfRule>
  </conditionalFormatting>
  <conditionalFormatting sqref="H86:H1048576">
    <cfRule type="cellIs" dxfId="1058" priority="3297" operator="lessThan">
      <formula>0</formula>
    </cfRule>
  </conditionalFormatting>
  <conditionalFormatting sqref="H86:H1048576">
    <cfRule type="cellIs" dxfId="1057" priority="3296" operator="lessThan">
      <formula>0</formula>
    </cfRule>
  </conditionalFormatting>
  <conditionalFormatting sqref="H86:H1048576">
    <cfRule type="cellIs" dxfId="1056" priority="3295" operator="lessThan">
      <formula>0</formula>
    </cfRule>
  </conditionalFormatting>
  <conditionalFormatting sqref="H86:H1048576">
    <cfRule type="cellIs" dxfId="1055" priority="3294" operator="lessThan">
      <formula>0</formula>
    </cfRule>
  </conditionalFormatting>
  <conditionalFormatting sqref="H86:H1048576">
    <cfRule type="cellIs" dxfId="1054" priority="3293" operator="lessThan">
      <formula>0</formula>
    </cfRule>
  </conditionalFormatting>
  <conditionalFormatting sqref="H86:H1048576">
    <cfRule type="cellIs" dxfId="1053" priority="3292" operator="lessThan">
      <formula>0</formula>
    </cfRule>
  </conditionalFormatting>
  <conditionalFormatting sqref="H86:H1048576">
    <cfRule type="cellIs" dxfId="1052" priority="3291" operator="lessThan">
      <formula>0</formula>
    </cfRule>
  </conditionalFormatting>
  <conditionalFormatting sqref="H86:H1048576">
    <cfRule type="cellIs" dxfId="1051" priority="3290" operator="lessThan">
      <formula>0</formula>
    </cfRule>
  </conditionalFormatting>
  <conditionalFormatting sqref="H86:H1048576">
    <cfRule type="cellIs" dxfId="1050" priority="3289" operator="lessThan">
      <formula>0</formula>
    </cfRule>
  </conditionalFormatting>
  <conditionalFormatting sqref="H86:H1048576">
    <cfRule type="cellIs" dxfId="1049" priority="3288" operator="lessThan">
      <formula>0</formula>
    </cfRule>
  </conditionalFormatting>
  <conditionalFormatting sqref="H86:H1048576">
    <cfRule type="cellIs" dxfId="1048" priority="3287" operator="lessThan">
      <formula>0</formula>
    </cfRule>
  </conditionalFormatting>
  <conditionalFormatting sqref="H86:H1048576">
    <cfRule type="cellIs" dxfId="1047" priority="3286" operator="lessThan">
      <formula>0</formula>
    </cfRule>
  </conditionalFormatting>
  <conditionalFormatting sqref="H86:H1048576">
    <cfRule type="cellIs" dxfId="1046" priority="3285" operator="lessThan">
      <formula>0</formula>
    </cfRule>
  </conditionalFormatting>
  <conditionalFormatting sqref="H86:H1048576">
    <cfRule type="cellIs" dxfId="1045" priority="3284" operator="lessThan">
      <formula>0</formula>
    </cfRule>
  </conditionalFormatting>
  <conditionalFormatting sqref="H86:H1048576">
    <cfRule type="cellIs" dxfId="1044" priority="3283" operator="lessThan">
      <formula>0</formula>
    </cfRule>
  </conditionalFormatting>
  <conditionalFormatting sqref="H86:H1048576">
    <cfRule type="cellIs" dxfId="1043" priority="3282" operator="lessThan">
      <formula>0</formula>
    </cfRule>
  </conditionalFormatting>
  <conditionalFormatting sqref="H86:H1048576">
    <cfRule type="cellIs" dxfId="1042" priority="3281" operator="lessThan">
      <formula>0</formula>
    </cfRule>
  </conditionalFormatting>
  <conditionalFormatting sqref="H86:H1048576">
    <cfRule type="cellIs" dxfId="1041" priority="3280" operator="lessThan">
      <formula>0</formula>
    </cfRule>
  </conditionalFormatting>
  <conditionalFormatting sqref="H86:H1048576">
    <cfRule type="cellIs" dxfId="1040" priority="3279" operator="lessThan">
      <formula>0</formula>
    </cfRule>
  </conditionalFormatting>
  <conditionalFormatting sqref="H86:H1048576">
    <cfRule type="cellIs" dxfId="1039" priority="3278" operator="lessThan">
      <formula>0</formula>
    </cfRule>
  </conditionalFormatting>
  <conditionalFormatting sqref="H86:H1048576">
    <cfRule type="cellIs" dxfId="1038" priority="3277" operator="lessThan">
      <formula>0</formula>
    </cfRule>
  </conditionalFormatting>
  <conditionalFormatting sqref="H86:H1048576">
    <cfRule type="cellIs" dxfId="1037" priority="3276" operator="lessThan">
      <formula>0</formula>
    </cfRule>
  </conditionalFormatting>
  <conditionalFormatting sqref="H86:H1048576">
    <cfRule type="cellIs" dxfId="1036" priority="3275" operator="lessThan">
      <formula>0</formula>
    </cfRule>
  </conditionalFormatting>
  <conditionalFormatting sqref="H86:H1048576">
    <cfRule type="cellIs" dxfId="1035" priority="3274" operator="lessThan">
      <formula>0</formula>
    </cfRule>
  </conditionalFormatting>
  <conditionalFormatting sqref="H86:H1048576">
    <cfRule type="cellIs" dxfId="1034" priority="3273" operator="lessThan">
      <formula>0</formula>
    </cfRule>
  </conditionalFormatting>
  <conditionalFormatting sqref="H86:H1048576">
    <cfRule type="cellIs" dxfId="1033" priority="3272" operator="lessThan">
      <formula>0</formula>
    </cfRule>
  </conditionalFormatting>
  <conditionalFormatting sqref="H86:H1048576">
    <cfRule type="cellIs" dxfId="1032" priority="3271" operator="lessThan">
      <formula>0</formula>
    </cfRule>
  </conditionalFormatting>
  <conditionalFormatting sqref="H86:H1048576">
    <cfRule type="cellIs" dxfId="1031" priority="3270" operator="lessThan">
      <formula>0</formula>
    </cfRule>
  </conditionalFormatting>
  <conditionalFormatting sqref="H86:H1048576">
    <cfRule type="cellIs" dxfId="1030" priority="3269" operator="lessThan">
      <formula>0</formula>
    </cfRule>
  </conditionalFormatting>
  <conditionalFormatting sqref="H86:H1048576">
    <cfRule type="cellIs" dxfId="1029" priority="3268" operator="lessThan">
      <formula>0</formula>
    </cfRule>
  </conditionalFormatting>
  <conditionalFormatting sqref="H86:H1048576">
    <cfRule type="cellIs" dxfId="1028" priority="3267" operator="lessThan">
      <formula>0</formula>
    </cfRule>
  </conditionalFormatting>
  <conditionalFormatting sqref="H86:H1048576">
    <cfRule type="cellIs" dxfId="1027" priority="3266" operator="lessThan">
      <formula>0</formula>
    </cfRule>
  </conditionalFormatting>
  <conditionalFormatting sqref="H86:H1048576">
    <cfRule type="cellIs" dxfId="1026" priority="3265" operator="lessThan">
      <formula>0</formula>
    </cfRule>
  </conditionalFormatting>
  <conditionalFormatting sqref="H86:H1048576">
    <cfRule type="cellIs" dxfId="1025" priority="3264" operator="lessThan">
      <formula>0</formula>
    </cfRule>
  </conditionalFormatting>
  <conditionalFormatting sqref="H86:H1048576">
    <cfRule type="cellIs" dxfId="1024" priority="3263" operator="lessThan">
      <formula>0</formula>
    </cfRule>
  </conditionalFormatting>
  <conditionalFormatting sqref="H86:H1048576">
    <cfRule type="cellIs" dxfId="1023" priority="3262" operator="lessThan">
      <formula>0</formula>
    </cfRule>
  </conditionalFormatting>
  <conditionalFormatting sqref="H86:H1048576">
    <cfRule type="cellIs" dxfId="1022" priority="3261" operator="lessThan">
      <formula>0</formula>
    </cfRule>
  </conditionalFormatting>
  <conditionalFormatting sqref="H86:H1048576">
    <cfRule type="cellIs" dxfId="1021" priority="3260" operator="lessThan">
      <formula>0</formula>
    </cfRule>
  </conditionalFormatting>
  <conditionalFormatting sqref="H86:H1048576">
    <cfRule type="cellIs" dxfId="1020" priority="3259" operator="lessThan">
      <formula>0</formula>
    </cfRule>
  </conditionalFormatting>
  <conditionalFormatting sqref="H86:H1048576">
    <cfRule type="cellIs" dxfId="1019" priority="3258" operator="lessThan">
      <formula>0</formula>
    </cfRule>
  </conditionalFormatting>
  <conditionalFormatting sqref="H86:H1048576">
    <cfRule type="cellIs" dxfId="1018" priority="3257" operator="lessThan">
      <formula>0</formula>
    </cfRule>
  </conditionalFormatting>
  <conditionalFormatting sqref="H86:H1048576">
    <cfRule type="cellIs" dxfId="1017" priority="3256" operator="lessThan">
      <formula>0</formula>
    </cfRule>
  </conditionalFormatting>
  <conditionalFormatting sqref="H86:H1048576">
    <cfRule type="cellIs" dxfId="1016" priority="3255" operator="lessThan">
      <formula>0</formula>
    </cfRule>
  </conditionalFormatting>
  <conditionalFormatting sqref="H86:H1048576">
    <cfRule type="cellIs" dxfId="1015" priority="3254" operator="lessThan">
      <formula>0</formula>
    </cfRule>
  </conditionalFormatting>
  <conditionalFormatting sqref="H86:H1048576">
    <cfRule type="cellIs" dxfId="1014" priority="3253" operator="lessThan">
      <formula>0</formula>
    </cfRule>
  </conditionalFormatting>
  <conditionalFormatting sqref="H86:H1048576">
    <cfRule type="cellIs" dxfId="1013" priority="3252" operator="lessThan">
      <formula>0</formula>
    </cfRule>
  </conditionalFormatting>
  <conditionalFormatting sqref="H86:H1048576">
    <cfRule type="cellIs" dxfId="1012" priority="3251" operator="lessThan">
      <formula>0</formula>
    </cfRule>
  </conditionalFormatting>
  <conditionalFormatting sqref="H86:H1048576">
    <cfRule type="cellIs" dxfId="1011" priority="3250" operator="lessThan">
      <formula>0</formula>
    </cfRule>
  </conditionalFormatting>
  <conditionalFormatting sqref="H86:H1048576">
    <cfRule type="cellIs" dxfId="1010" priority="3249" operator="lessThan">
      <formula>0</formula>
    </cfRule>
  </conditionalFormatting>
  <conditionalFormatting sqref="H86:H1048576">
    <cfRule type="cellIs" dxfId="1009" priority="3248" operator="lessThan">
      <formula>0</formula>
    </cfRule>
  </conditionalFormatting>
  <conditionalFormatting sqref="H86:H1048576">
    <cfRule type="cellIs" dxfId="1008" priority="3247" operator="lessThan">
      <formula>0</formula>
    </cfRule>
  </conditionalFormatting>
  <conditionalFormatting sqref="H86:H1048576">
    <cfRule type="cellIs" dxfId="1007" priority="3246" operator="lessThan">
      <formula>0</formula>
    </cfRule>
  </conditionalFormatting>
  <conditionalFormatting sqref="H86:H1048576">
    <cfRule type="cellIs" dxfId="1006" priority="3245" operator="lessThan">
      <formula>0</formula>
    </cfRule>
  </conditionalFormatting>
  <conditionalFormatting sqref="H86:H1048576">
    <cfRule type="cellIs" dxfId="1005" priority="3244" operator="lessThan">
      <formula>0</formula>
    </cfRule>
  </conditionalFormatting>
  <conditionalFormatting sqref="H86:H1048576">
    <cfRule type="cellIs" dxfId="1004" priority="3243" operator="lessThan">
      <formula>0</formula>
    </cfRule>
  </conditionalFormatting>
  <conditionalFormatting sqref="H86:H1048576">
    <cfRule type="cellIs" dxfId="1003" priority="3242" operator="lessThan">
      <formula>0</formula>
    </cfRule>
  </conditionalFormatting>
  <conditionalFormatting sqref="H86:H1048576">
    <cfRule type="cellIs" dxfId="1002" priority="3241" operator="lessThan">
      <formula>0</formula>
    </cfRule>
  </conditionalFormatting>
  <conditionalFormatting sqref="H86:H1048576">
    <cfRule type="cellIs" dxfId="1001" priority="3240" operator="lessThan">
      <formula>0</formula>
    </cfRule>
  </conditionalFormatting>
  <conditionalFormatting sqref="H86:H1048576">
    <cfRule type="cellIs" dxfId="1000" priority="3239" operator="lessThan">
      <formula>0</formula>
    </cfRule>
  </conditionalFormatting>
  <conditionalFormatting sqref="H86:H1048576">
    <cfRule type="cellIs" dxfId="999" priority="3238" operator="lessThan">
      <formula>0</formula>
    </cfRule>
  </conditionalFormatting>
  <conditionalFormatting sqref="H86:H1048576">
    <cfRule type="cellIs" dxfId="998" priority="3237" operator="lessThan">
      <formula>0</formula>
    </cfRule>
  </conditionalFormatting>
  <conditionalFormatting sqref="H86:H1048576">
    <cfRule type="cellIs" dxfId="997" priority="3236" operator="lessThan">
      <formula>0</formula>
    </cfRule>
  </conditionalFormatting>
  <conditionalFormatting sqref="H86:H1048576">
    <cfRule type="cellIs" dxfId="996" priority="3235" operator="lessThan">
      <formula>0</formula>
    </cfRule>
  </conditionalFormatting>
  <conditionalFormatting sqref="H86:H1048576">
    <cfRule type="cellIs" dxfId="995" priority="3234" operator="lessThan">
      <formula>0</formula>
    </cfRule>
  </conditionalFormatting>
  <conditionalFormatting sqref="H86:H1048576">
    <cfRule type="cellIs" dxfId="994" priority="3233" operator="lessThan">
      <formula>0</formula>
    </cfRule>
  </conditionalFormatting>
  <conditionalFormatting sqref="H86:H1048576">
    <cfRule type="cellIs" dxfId="993" priority="3232" operator="lessThan">
      <formula>0</formula>
    </cfRule>
  </conditionalFormatting>
  <conditionalFormatting sqref="H86:H1048576">
    <cfRule type="cellIs" dxfId="992" priority="3231" operator="lessThan">
      <formula>0</formula>
    </cfRule>
  </conditionalFormatting>
  <conditionalFormatting sqref="H86:H1048576">
    <cfRule type="cellIs" dxfId="991" priority="3230" operator="lessThan">
      <formula>0</formula>
    </cfRule>
  </conditionalFormatting>
  <conditionalFormatting sqref="H86:H1048576">
    <cfRule type="cellIs" dxfId="990" priority="3229" operator="lessThan">
      <formula>0</formula>
    </cfRule>
  </conditionalFormatting>
  <conditionalFormatting sqref="H86:H1048576">
    <cfRule type="cellIs" dxfId="989" priority="3228" operator="lessThan">
      <formula>0</formula>
    </cfRule>
  </conditionalFormatting>
  <conditionalFormatting sqref="H86:H1048576">
    <cfRule type="cellIs" dxfId="988" priority="3227" operator="lessThan">
      <formula>0</formula>
    </cfRule>
  </conditionalFormatting>
  <conditionalFormatting sqref="H86:H1048576">
    <cfRule type="cellIs" dxfId="987" priority="3226" operator="lessThan">
      <formula>0</formula>
    </cfRule>
  </conditionalFormatting>
  <conditionalFormatting sqref="H86:H1048576">
    <cfRule type="cellIs" dxfId="986" priority="3225" operator="lessThan">
      <formula>0</formula>
    </cfRule>
  </conditionalFormatting>
  <conditionalFormatting sqref="H86:H1048576">
    <cfRule type="cellIs" dxfId="985" priority="3224" operator="lessThan">
      <formula>0</formula>
    </cfRule>
  </conditionalFormatting>
  <conditionalFormatting sqref="H86:H1048576">
    <cfRule type="cellIs" dxfId="984" priority="3223" operator="lessThan">
      <formula>0</formula>
    </cfRule>
  </conditionalFormatting>
  <conditionalFormatting sqref="H86:H1048576">
    <cfRule type="cellIs" dxfId="983" priority="3222" operator="lessThan">
      <formula>0</formula>
    </cfRule>
  </conditionalFormatting>
  <conditionalFormatting sqref="H86:H1048576">
    <cfRule type="cellIs" dxfId="982" priority="3221" operator="lessThan">
      <formula>0</formula>
    </cfRule>
  </conditionalFormatting>
  <conditionalFormatting sqref="H86:H1048576">
    <cfRule type="cellIs" dxfId="981" priority="3220" operator="lessThan">
      <formula>0</formula>
    </cfRule>
  </conditionalFormatting>
  <conditionalFormatting sqref="H86:H1048576">
    <cfRule type="cellIs" dxfId="980" priority="3219" operator="lessThan">
      <formula>0</formula>
    </cfRule>
  </conditionalFormatting>
  <conditionalFormatting sqref="H86:H1048576">
    <cfRule type="cellIs" dxfId="979" priority="3218" operator="lessThan">
      <formula>0</formula>
    </cfRule>
  </conditionalFormatting>
  <conditionalFormatting sqref="H86:H1048576">
    <cfRule type="cellIs" dxfId="978" priority="3217" operator="lessThan">
      <formula>0</formula>
    </cfRule>
  </conditionalFormatting>
  <conditionalFormatting sqref="H86:H1048576">
    <cfRule type="cellIs" dxfId="977" priority="3216" operator="lessThan">
      <formula>0</formula>
    </cfRule>
  </conditionalFormatting>
  <conditionalFormatting sqref="H86:H1048576">
    <cfRule type="cellIs" dxfId="976" priority="3215" operator="lessThan">
      <formula>0</formula>
    </cfRule>
  </conditionalFormatting>
  <conditionalFormatting sqref="H86:H1048576">
    <cfRule type="cellIs" dxfId="975" priority="3214" operator="lessThan">
      <formula>0</formula>
    </cfRule>
  </conditionalFormatting>
  <conditionalFormatting sqref="H86:H1048576">
    <cfRule type="cellIs" dxfId="974" priority="3213" operator="lessThan">
      <formula>0</formula>
    </cfRule>
  </conditionalFormatting>
  <conditionalFormatting sqref="H86:H1048576">
    <cfRule type="cellIs" dxfId="973" priority="3212" operator="lessThan">
      <formula>0</formula>
    </cfRule>
  </conditionalFormatting>
  <conditionalFormatting sqref="H86:H1048576">
    <cfRule type="cellIs" dxfId="972" priority="3211" operator="lessThan">
      <formula>0</formula>
    </cfRule>
  </conditionalFormatting>
  <conditionalFormatting sqref="H86:H1048576">
    <cfRule type="cellIs" dxfId="971" priority="3210" operator="lessThan">
      <formula>0</formula>
    </cfRule>
  </conditionalFormatting>
  <conditionalFormatting sqref="H86:H1048576">
    <cfRule type="cellIs" dxfId="970" priority="3209" operator="lessThan">
      <formula>0</formula>
    </cfRule>
  </conditionalFormatting>
  <conditionalFormatting sqref="H86:H1048576">
    <cfRule type="cellIs" dxfId="969" priority="3208" operator="lessThan">
      <formula>0</formula>
    </cfRule>
  </conditionalFormatting>
  <conditionalFormatting sqref="H86:H1048576">
    <cfRule type="cellIs" dxfId="968" priority="3207" operator="lessThan">
      <formula>0</formula>
    </cfRule>
  </conditionalFormatting>
  <conditionalFormatting sqref="H86:H1048576">
    <cfRule type="cellIs" dxfId="967" priority="3206" operator="lessThan">
      <formula>0</formula>
    </cfRule>
  </conditionalFormatting>
  <conditionalFormatting sqref="H86:H1048576">
    <cfRule type="cellIs" dxfId="966" priority="3205" operator="lessThan">
      <formula>0</formula>
    </cfRule>
  </conditionalFormatting>
  <conditionalFormatting sqref="H86:H1048576">
    <cfRule type="cellIs" dxfId="965" priority="3204" operator="lessThan">
      <formula>0</formula>
    </cfRule>
  </conditionalFormatting>
  <conditionalFormatting sqref="H10:H1048576">
    <cfRule type="cellIs" dxfId="964" priority="3203" operator="lessThan">
      <formula>0</formula>
    </cfRule>
  </conditionalFormatting>
  <conditionalFormatting sqref="H10:H1048576">
    <cfRule type="cellIs" dxfId="963" priority="3202" operator="lessThan">
      <formula>0</formula>
    </cfRule>
  </conditionalFormatting>
  <conditionalFormatting sqref="H10:H1048576">
    <cfRule type="cellIs" dxfId="962" priority="3201" operator="lessThan">
      <formula>0</formula>
    </cfRule>
  </conditionalFormatting>
  <conditionalFormatting sqref="H10:H1048576">
    <cfRule type="cellIs" dxfId="961" priority="3200" operator="lessThan">
      <formula>0</formula>
    </cfRule>
  </conditionalFormatting>
  <conditionalFormatting sqref="H10:H1048576">
    <cfRule type="cellIs" dxfId="960" priority="3199" operator="lessThan">
      <formula>0</formula>
    </cfRule>
  </conditionalFormatting>
  <conditionalFormatting sqref="H10:H1048576">
    <cfRule type="cellIs" dxfId="959" priority="3198" operator="lessThan">
      <formula>0</formula>
    </cfRule>
  </conditionalFormatting>
  <conditionalFormatting sqref="H10:H1048576">
    <cfRule type="cellIs" dxfId="958" priority="3197" operator="lessThan">
      <formula>0</formula>
    </cfRule>
  </conditionalFormatting>
  <conditionalFormatting sqref="H10:H1048576">
    <cfRule type="cellIs" dxfId="957" priority="3196" operator="lessThan">
      <formula>0</formula>
    </cfRule>
  </conditionalFormatting>
  <conditionalFormatting sqref="H10:H1048576">
    <cfRule type="cellIs" dxfId="956" priority="3195" operator="lessThan">
      <formula>0</formula>
    </cfRule>
  </conditionalFormatting>
  <conditionalFormatting sqref="H10:H1048576">
    <cfRule type="cellIs" dxfId="955" priority="3194" operator="lessThan">
      <formula>0</formula>
    </cfRule>
  </conditionalFormatting>
  <conditionalFormatting sqref="H10:H1048576">
    <cfRule type="cellIs" dxfId="954" priority="3193" operator="lessThan">
      <formula>0</formula>
    </cfRule>
  </conditionalFormatting>
  <conditionalFormatting sqref="H10:H1048576">
    <cfRule type="cellIs" dxfId="953" priority="3192" operator="lessThan">
      <formula>0</formula>
    </cfRule>
  </conditionalFormatting>
  <conditionalFormatting sqref="H10:H1048576">
    <cfRule type="cellIs" dxfId="952" priority="3191" operator="lessThan">
      <formula>0</formula>
    </cfRule>
  </conditionalFormatting>
  <conditionalFormatting sqref="H10:H1048576">
    <cfRule type="cellIs" dxfId="951" priority="3190" operator="lessThan">
      <formula>0</formula>
    </cfRule>
  </conditionalFormatting>
  <conditionalFormatting sqref="H10:H1048576">
    <cfRule type="cellIs" dxfId="950" priority="3189" operator="lessThan">
      <formula>0</formula>
    </cfRule>
  </conditionalFormatting>
  <conditionalFormatting sqref="H10:H1048576">
    <cfRule type="cellIs" dxfId="949" priority="3188" operator="lessThan">
      <formula>0</formula>
    </cfRule>
  </conditionalFormatting>
  <conditionalFormatting sqref="H10:H1048576">
    <cfRule type="cellIs" dxfId="948" priority="3187" operator="lessThan">
      <formula>0</formula>
    </cfRule>
  </conditionalFormatting>
  <conditionalFormatting sqref="H10:H1048576">
    <cfRule type="cellIs" dxfId="947" priority="3186" operator="lessThan">
      <formula>0</formula>
    </cfRule>
  </conditionalFormatting>
  <conditionalFormatting sqref="H10:H1048576">
    <cfRule type="cellIs" dxfId="946" priority="3185" operator="lessThan">
      <formula>0</formula>
    </cfRule>
  </conditionalFormatting>
  <conditionalFormatting sqref="H10:H1048576">
    <cfRule type="cellIs" dxfId="945" priority="3184" operator="lessThan">
      <formula>0</formula>
    </cfRule>
  </conditionalFormatting>
  <conditionalFormatting sqref="H10:H1048576">
    <cfRule type="cellIs" dxfId="944" priority="3183" operator="lessThan">
      <formula>0</formula>
    </cfRule>
  </conditionalFormatting>
  <conditionalFormatting sqref="H10:H1048576">
    <cfRule type="cellIs" dxfId="943" priority="3182" operator="lessThan">
      <formula>0</formula>
    </cfRule>
  </conditionalFormatting>
  <conditionalFormatting sqref="H10:H1048576">
    <cfRule type="cellIs" dxfId="942" priority="3181" operator="lessThan">
      <formula>0</formula>
    </cfRule>
  </conditionalFormatting>
  <conditionalFormatting sqref="H10:H1048576">
    <cfRule type="cellIs" dxfId="941" priority="3180" operator="lessThan">
      <formula>0</formula>
    </cfRule>
  </conditionalFormatting>
  <conditionalFormatting sqref="H10:H1048576">
    <cfRule type="cellIs" dxfId="940" priority="3179" operator="lessThan">
      <formula>0</formula>
    </cfRule>
  </conditionalFormatting>
  <conditionalFormatting sqref="H10:H1048576">
    <cfRule type="cellIs" dxfId="939" priority="3178" operator="lessThan">
      <formula>0</formula>
    </cfRule>
  </conditionalFormatting>
  <conditionalFormatting sqref="H10:H1048576">
    <cfRule type="cellIs" dxfId="938" priority="3177" operator="lessThan">
      <formula>0</formula>
    </cfRule>
  </conditionalFormatting>
  <conditionalFormatting sqref="H10:H1048576">
    <cfRule type="cellIs" dxfId="937" priority="3176" operator="lessThan">
      <formula>0</formula>
    </cfRule>
  </conditionalFormatting>
  <conditionalFormatting sqref="H10:H1048576">
    <cfRule type="cellIs" dxfId="936" priority="3175" operator="lessThan">
      <formula>0</formula>
    </cfRule>
  </conditionalFormatting>
  <conditionalFormatting sqref="H10:H1048576">
    <cfRule type="cellIs" dxfId="935" priority="3174" operator="lessThan">
      <formula>0</formula>
    </cfRule>
  </conditionalFormatting>
  <conditionalFormatting sqref="H10:H1048576">
    <cfRule type="cellIs" dxfId="934" priority="3173" operator="lessThan">
      <formula>0</formula>
    </cfRule>
  </conditionalFormatting>
  <conditionalFormatting sqref="H10:H1048576">
    <cfRule type="cellIs" dxfId="933" priority="3172" operator="lessThan">
      <formula>0</formula>
    </cfRule>
  </conditionalFormatting>
  <conditionalFormatting sqref="H10:H1048576">
    <cfRule type="cellIs" dxfId="932" priority="3171" operator="lessThan">
      <formula>0</formula>
    </cfRule>
  </conditionalFormatting>
  <conditionalFormatting sqref="H10:H1048576">
    <cfRule type="cellIs" dxfId="931" priority="3170" operator="lessThan">
      <formula>0</formula>
    </cfRule>
  </conditionalFormatting>
  <conditionalFormatting sqref="H10:H1048576">
    <cfRule type="cellIs" dxfId="930" priority="3169" operator="lessThan">
      <formula>0</formula>
    </cfRule>
  </conditionalFormatting>
  <conditionalFormatting sqref="H10:H1048576">
    <cfRule type="cellIs" dxfId="929" priority="3168" operator="lessThan">
      <formula>0</formula>
    </cfRule>
  </conditionalFormatting>
  <conditionalFormatting sqref="H10:H1048576">
    <cfRule type="cellIs" dxfId="928" priority="3167" operator="lessThan">
      <formula>0</formula>
    </cfRule>
  </conditionalFormatting>
  <conditionalFormatting sqref="H10:H1048576">
    <cfRule type="cellIs" dxfId="927" priority="3166" operator="lessThan">
      <formula>0</formula>
    </cfRule>
  </conditionalFormatting>
  <conditionalFormatting sqref="H10:H1048576">
    <cfRule type="cellIs" dxfId="926" priority="3165" operator="lessThan">
      <formula>0</formula>
    </cfRule>
  </conditionalFormatting>
  <conditionalFormatting sqref="H10:H1048576">
    <cfRule type="cellIs" dxfId="925" priority="3164" operator="lessThan">
      <formula>0</formula>
    </cfRule>
  </conditionalFormatting>
  <conditionalFormatting sqref="H10:H1048576">
    <cfRule type="cellIs" dxfId="924" priority="3163" operator="lessThan">
      <formula>0</formula>
    </cfRule>
  </conditionalFormatting>
  <conditionalFormatting sqref="H10:H1048576">
    <cfRule type="cellIs" dxfId="923" priority="3162" operator="lessThan">
      <formula>0</formula>
    </cfRule>
  </conditionalFormatting>
  <conditionalFormatting sqref="H10:H1048576">
    <cfRule type="cellIs" dxfId="922" priority="3161" operator="lessThan">
      <formula>0</formula>
    </cfRule>
  </conditionalFormatting>
  <conditionalFormatting sqref="H10:H1048576">
    <cfRule type="cellIs" dxfId="921" priority="3160" operator="lessThan">
      <formula>0</formula>
    </cfRule>
  </conditionalFormatting>
  <conditionalFormatting sqref="H10:H1048576">
    <cfRule type="cellIs" dxfId="920" priority="3159" operator="lessThan">
      <formula>0</formula>
    </cfRule>
  </conditionalFormatting>
  <conditionalFormatting sqref="H10:H1048576">
    <cfRule type="cellIs" dxfId="919" priority="3158" operator="lessThan">
      <formula>0</formula>
    </cfRule>
  </conditionalFormatting>
  <conditionalFormatting sqref="H10:H1048576">
    <cfRule type="cellIs" dxfId="918" priority="3157" operator="lessThan">
      <formula>0</formula>
    </cfRule>
  </conditionalFormatting>
  <conditionalFormatting sqref="H10:H1048576">
    <cfRule type="cellIs" dxfId="917" priority="3156" operator="lessThan">
      <formula>0</formula>
    </cfRule>
  </conditionalFormatting>
  <conditionalFormatting sqref="H10:H1048576">
    <cfRule type="cellIs" dxfId="916" priority="3155" operator="lessThan">
      <formula>0</formula>
    </cfRule>
  </conditionalFormatting>
  <conditionalFormatting sqref="H10:H1048576">
    <cfRule type="cellIs" dxfId="915" priority="3154" operator="lessThan">
      <formula>0</formula>
    </cfRule>
  </conditionalFormatting>
  <conditionalFormatting sqref="H10:H1048576">
    <cfRule type="cellIs" dxfId="914" priority="3153" operator="lessThan">
      <formula>0</formula>
    </cfRule>
  </conditionalFormatting>
  <conditionalFormatting sqref="H10:H1048576">
    <cfRule type="cellIs" dxfId="913" priority="3152" operator="lessThan">
      <formula>0</formula>
    </cfRule>
  </conditionalFormatting>
  <conditionalFormatting sqref="H10:H1048576">
    <cfRule type="cellIs" dxfId="912" priority="3151" operator="lessThan">
      <formula>0</formula>
    </cfRule>
  </conditionalFormatting>
  <conditionalFormatting sqref="H10:H1048576">
    <cfRule type="cellIs" dxfId="911" priority="3150" operator="lessThan">
      <formula>0</formula>
    </cfRule>
  </conditionalFormatting>
  <conditionalFormatting sqref="H10:H1048576">
    <cfRule type="cellIs" dxfId="910" priority="3149" operator="lessThan">
      <formula>0</formula>
    </cfRule>
  </conditionalFormatting>
  <conditionalFormatting sqref="H10:H1048576">
    <cfRule type="cellIs" dxfId="909" priority="3148" operator="lessThan">
      <formula>0</formula>
    </cfRule>
  </conditionalFormatting>
  <conditionalFormatting sqref="H10:H1048576">
    <cfRule type="cellIs" dxfId="908" priority="3147" operator="lessThan">
      <formula>0</formula>
    </cfRule>
  </conditionalFormatting>
  <conditionalFormatting sqref="H10:H1048576">
    <cfRule type="cellIs" dxfId="907" priority="3146" operator="lessThan">
      <formula>0</formula>
    </cfRule>
  </conditionalFormatting>
  <conditionalFormatting sqref="H10:H1048576">
    <cfRule type="cellIs" dxfId="906" priority="3145" operator="lessThan">
      <formula>0</formula>
    </cfRule>
  </conditionalFormatting>
  <conditionalFormatting sqref="H10:H1048576">
    <cfRule type="cellIs" dxfId="905" priority="3144" operator="lessThan">
      <formula>0</formula>
    </cfRule>
  </conditionalFormatting>
  <conditionalFormatting sqref="H10:H1048576">
    <cfRule type="cellIs" dxfId="904" priority="3143" operator="lessThan">
      <formula>0</formula>
    </cfRule>
  </conditionalFormatting>
  <conditionalFormatting sqref="H10:H1048576">
    <cfRule type="cellIs" dxfId="903" priority="3142" operator="lessThan">
      <formula>0</formula>
    </cfRule>
  </conditionalFormatting>
  <conditionalFormatting sqref="H10:H1048576">
    <cfRule type="cellIs" dxfId="902" priority="3141" operator="lessThan">
      <formula>0</formula>
    </cfRule>
  </conditionalFormatting>
  <conditionalFormatting sqref="H10:H1048576">
    <cfRule type="cellIs" dxfId="901" priority="3140" operator="lessThan">
      <formula>0</formula>
    </cfRule>
  </conditionalFormatting>
  <conditionalFormatting sqref="H10:H1048576">
    <cfRule type="cellIs" dxfId="900" priority="3139" operator="lessThan">
      <formula>0</formula>
    </cfRule>
  </conditionalFormatting>
  <conditionalFormatting sqref="H10:H1048576">
    <cfRule type="cellIs" dxfId="899" priority="3138" operator="lessThan">
      <formula>0</formula>
    </cfRule>
  </conditionalFormatting>
  <conditionalFormatting sqref="H10:H1048576">
    <cfRule type="cellIs" dxfId="898" priority="3137" operator="lessThan">
      <formula>0</formula>
    </cfRule>
  </conditionalFormatting>
  <conditionalFormatting sqref="H10:H1048576">
    <cfRule type="cellIs" dxfId="897" priority="3136" operator="lessThan">
      <formula>0</formula>
    </cfRule>
  </conditionalFormatting>
  <conditionalFormatting sqref="H10:H1048576">
    <cfRule type="cellIs" dxfId="896" priority="3135" operator="lessThan">
      <formula>0</formula>
    </cfRule>
  </conditionalFormatting>
  <conditionalFormatting sqref="H10:H1048576">
    <cfRule type="cellIs" dxfId="895" priority="3134" operator="lessThan">
      <formula>0</formula>
    </cfRule>
  </conditionalFormatting>
  <conditionalFormatting sqref="H10:H1048576">
    <cfRule type="cellIs" dxfId="894" priority="3133" operator="lessThan">
      <formula>0</formula>
    </cfRule>
  </conditionalFormatting>
  <conditionalFormatting sqref="H10:H1048576">
    <cfRule type="cellIs" dxfId="893" priority="3132" operator="lessThan">
      <formula>0</formula>
    </cfRule>
  </conditionalFormatting>
  <conditionalFormatting sqref="H10:H1048576">
    <cfRule type="cellIs" dxfId="892" priority="3131" operator="lessThan">
      <formula>0</formula>
    </cfRule>
  </conditionalFormatting>
  <conditionalFormatting sqref="H10:H1048576">
    <cfRule type="cellIs" dxfId="891" priority="3130" operator="lessThan">
      <formula>0</formula>
    </cfRule>
  </conditionalFormatting>
  <conditionalFormatting sqref="H10:H1048576">
    <cfRule type="cellIs" dxfId="890" priority="3129" operator="lessThan">
      <formula>0</formula>
    </cfRule>
  </conditionalFormatting>
  <conditionalFormatting sqref="H10:H1048576">
    <cfRule type="cellIs" dxfId="889" priority="3128" operator="lessThan">
      <formula>0</formula>
    </cfRule>
  </conditionalFormatting>
  <conditionalFormatting sqref="H10:H1048576">
    <cfRule type="cellIs" dxfId="888" priority="3127" operator="lessThan">
      <formula>0</formula>
    </cfRule>
  </conditionalFormatting>
  <conditionalFormatting sqref="H10:H1048576">
    <cfRule type="cellIs" dxfId="887" priority="3126" operator="lessThan">
      <formula>0</formula>
    </cfRule>
  </conditionalFormatting>
  <conditionalFormatting sqref="H10:H1048576">
    <cfRule type="cellIs" dxfId="886" priority="3125" operator="lessThan">
      <formula>0</formula>
    </cfRule>
  </conditionalFormatting>
  <conditionalFormatting sqref="H10:H1048576">
    <cfRule type="cellIs" dxfId="885" priority="3124" operator="lessThan">
      <formula>0</formula>
    </cfRule>
  </conditionalFormatting>
  <conditionalFormatting sqref="H10:H1048576">
    <cfRule type="cellIs" dxfId="884" priority="3123" operator="lessThan">
      <formula>0</formula>
    </cfRule>
  </conditionalFormatting>
  <conditionalFormatting sqref="H10:H1048576">
    <cfRule type="cellIs" dxfId="883" priority="3122" operator="lessThan">
      <formula>0</formula>
    </cfRule>
  </conditionalFormatting>
  <conditionalFormatting sqref="H10:H1048576">
    <cfRule type="cellIs" dxfId="882" priority="3121" operator="lessThan">
      <formula>0</formula>
    </cfRule>
  </conditionalFormatting>
  <conditionalFormatting sqref="H10:H1048576">
    <cfRule type="cellIs" dxfId="881" priority="3120" operator="lessThan">
      <formula>0</formula>
    </cfRule>
  </conditionalFormatting>
  <conditionalFormatting sqref="H10:H1048576">
    <cfRule type="cellIs" dxfId="880" priority="3119" operator="lessThan">
      <formula>0</formula>
    </cfRule>
  </conditionalFormatting>
  <conditionalFormatting sqref="H10:H1048576">
    <cfRule type="cellIs" dxfId="879" priority="3118" operator="lessThan">
      <formula>0</formula>
    </cfRule>
  </conditionalFormatting>
  <conditionalFormatting sqref="H10:H1048576">
    <cfRule type="cellIs" dxfId="878" priority="3117" operator="lessThan">
      <formula>0</formula>
    </cfRule>
  </conditionalFormatting>
  <conditionalFormatting sqref="H10:H1048576">
    <cfRule type="cellIs" dxfId="877" priority="3116" operator="lessThan">
      <formula>0</formula>
    </cfRule>
  </conditionalFormatting>
  <conditionalFormatting sqref="H10:H1048576">
    <cfRule type="cellIs" dxfId="876" priority="3115" operator="lessThan">
      <formula>0</formula>
    </cfRule>
  </conditionalFormatting>
  <conditionalFormatting sqref="H10:H1048576">
    <cfRule type="cellIs" dxfId="875" priority="3114" operator="lessThan">
      <formula>0</formula>
    </cfRule>
  </conditionalFormatting>
  <conditionalFormatting sqref="H10:H1048576">
    <cfRule type="cellIs" dxfId="874" priority="3113" operator="lessThan">
      <formula>0</formula>
    </cfRule>
  </conditionalFormatting>
  <conditionalFormatting sqref="H10:H1048576">
    <cfRule type="cellIs" dxfId="873" priority="3112" operator="lessThan">
      <formula>0</formula>
    </cfRule>
  </conditionalFormatting>
  <conditionalFormatting sqref="H10:H1048576">
    <cfRule type="cellIs" dxfId="872" priority="3111" operator="lessThan">
      <formula>0</formula>
    </cfRule>
  </conditionalFormatting>
  <conditionalFormatting sqref="H10:H1048576">
    <cfRule type="cellIs" dxfId="871" priority="3110" operator="lessThan">
      <formula>0</formula>
    </cfRule>
  </conditionalFormatting>
  <conditionalFormatting sqref="H10:H1048576">
    <cfRule type="cellIs" dxfId="870" priority="3109" operator="lessThan">
      <formula>0</formula>
    </cfRule>
  </conditionalFormatting>
  <conditionalFormatting sqref="H10:H1048576">
    <cfRule type="cellIs" dxfId="869" priority="3108" operator="lessThan">
      <formula>0</formula>
    </cfRule>
  </conditionalFormatting>
  <conditionalFormatting sqref="H10:H1048576">
    <cfRule type="cellIs" dxfId="868" priority="3107" operator="lessThan">
      <formula>0</formula>
    </cfRule>
  </conditionalFormatting>
  <conditionalFormatting sqref="H10:H1048576">
    <cfRule type="cellIs" dxfId="867" priority="3106" operator="lessThan">
      <formula>0</formula>
    </cfRule>
  </conditionalFormatting>
  <conditionalFormatting sqref="H10:H1048576">
    <cfRule type="cellIs" dxfId="866" priority="3105" operator="lessThan">
      <formula>0</formula>
    </cfRule>
  </conditionalFormatting>
  <conditionalFormatting sqref="H10:H1048576">
    <cfRule type="cellIs" dxfId="865" priority="3104" operator="lessThan">
      <formula>0</formula>
    </cfRule>
  </conditionalFormatting>
  <conditionalFormatting sqref="H10:H1048576">
    <cfRule type="cellIs" dxfId="864" priority="3103" operator="lessThan">
      <formula>0</formula>
    </cfRule>
  </conditionalFormatting>
  <conditionalFormatting sqref="H10:H1048576">
    <cfRule type="cellIs" dxfId="863" priority="3102" operator="lessThan">
      <formula>0</formula>
    </cfRule>
  </conditionalFormatting>
  <conditionalFormatting sqref="H10:H1048576">
    <cfRule type="cellIs" dxfId="862" priority="3101" operator="lessThan">
      <formula>0</formula>
    </cfRule>
  </conditionalFormatting>
  <conditionalFormatting sqref="H10:H1048576">
    <cfRule type="cellIs" dxfId="861" priority="3100" operator="lessThan">
      <formula>0</formula>
    </cfRule>
  </conditionalFormatting>
  <conditionalFormatting sqref="H10:H1048576">
    <cfRule type="cellIs" dxfId="860" priority="3099" operator="lessThan">
      <formula>0</formula>
    </cfRule>
  </conditionalFormatting>
  <conditionalFormatting sqref="H10:H1048576">
    <cfRule type="cellIs" dxfId="859" priority="3098" operator="lessThan">
      <formula>0</formula>
    </cfRule>
  </conditionalFormatting>
  <conditionalFormatting sqref="H10:H1048576">
    <cfRule type="cellIs" dxfId="858" priority="3097" operator="lessThan">
      <formula>0</formula>
    </cfRule>
  </conditionalFormatting>
  <conditionalFormatting sqref="H10:H1048576">
    <cfRule type="cellIs" dxfId="857" priority="3096" operator="lessThan">
      <formula>0</formula>
    </cfRule>
  </conditionalFormatting>
  <conditionalFormatting sqref="H10:H1048576">
    <cfRule type="cellIs" dxfId="856" priority="3095" operator="lessThan">
      <formula>0</formula>
    </cfRule>
  </conditionalFormatting>
  <conditionalFormatting sqref="H10:H1048576">
    <cfRule type="cellIs" dxfId="855" priority="3094" operator="lessThan">
      <formula>0</formula>
    </cfRule>
  </conditionalFormatting>
  <conditionalFormatting sqref="H10:H1048576">
    <cfRule type="cellIs" dxfId="854" priority="3093" operator="lessThan">
      <formula>0</formula>
    </cfRule>
  </conditionalFormatting>
  <conditionalFormatting sqref="H10:H1048576">
    <cfRule type="cellIs" dxfId="853" priority="3092" operator="lessThan">
      <formula>0</formula>
    </cfRule>
  </conditionalFormatting>
  <conditionalFormatting sqref="H10:H1048576">
    <cfRule type="cellIs" dxfId="852" priority="3091" operator="lessThan">
      <formula>0</formula>
    </cfRule>
  </conditionalFormatting>
  <conditionalFormatting sqref="H10:H1048576">
    <cfRule type="cellIs" dxfId="851" priority="3090" operator="lessThan">
      <formula>0</formula>
    </cfRule>
  </conditionalFormatting>
  <conditionalFormatting sqref="H10:H1048576">
    <cfRule type="cellIs" dxfId="850" priority="3089" operator="lessThan">
      <formula>0</formula>
    </cfRule>
  </conditionalFormatting>
  <conditionalFormatting sqref="H10:H1048576">
    <cfRule type="cellIs" dxfId="849" priority="3088" operator="lessThan">
      <formula>0</formula>
    </cfRule>
  </conditionalFormatting>
  <conditionalFormatting sqref="H10:H1048576">
    <cfRule type="cellIs" dxfId="848" priority="3087" operator="lessThan">
      <formula>0</formula>
    </cfRule>
  </conditionalFormatting>
  <conditionalFormatting sqref="H10:H1048576">
    <cfRule type="cellIs" dxfId="847" priority="3086" operator="lessThan">
      <formula>0</formula>
    </cfRule>
  </conditionalFormatting>
  <conditionalFormatting sqref="H10:H1048576">
    <cfRule type="cellIs" dxfId="846" priority="3085" operator="lessThan">
      <formula>0</formula>
    </cfRule>
  </conditionalFormatting>
  <conditionalFormatting sqref="H10:H1048576">
    <cfRule type="cellIs" dxfId="845" priority="3084" operator="lessThan">
      <formula>0</formula>
    </cfRule>
  </conditionalFormatting>
  <conditionalFormatting sqref="H10:H1048576">
    <cfRule type="cellIs" dxfId="844" priority="3083" operator="lessThan">
      <formula>0</formula>
    </cfRule>
  </conditionalFormatting>
  <conditionalFormatting sqref="H10:H1048576">
    <cfRule type="cellIs" dxfId="843" priority="3082" operator="lessThan">
      <formula>0</formula>
    </cfRule>
  </conditionalFormatting>
  <conditionalFormatting sqref="H10:H1048576">
    <cfRule type="cellIs" dxfId="842" priority="3081" operator="lessThan">
      <formula>0</formula>
    </cfRule>
  </conditionalFormatting>
  <conditionalFormatting sqref="H10:H1048576">
    <cfRule type="cellIs" dxfId="841" priority="3080" operator="lessThan">
      <formula>0</formula>
    </cfRule>
  </conditionalFormatting>
  <conditionalFormatting sqref="H10:H1048576">
    <cfRule type="cellIs" dxfId="840" priority="3079" operator="lessThan">
      <formula>0</formula>
    </cfRule>
  </conditionalFormatting>
  <conditionalFormatting sqref="H10:H1048576">
    <cfRule type="cellIs" dxfId="839" priority="3078" operator="lessThan">
      <formula>0</formula>
    </cfRule>
  </conditionalFormatting>
  <conditionalFormatting sqref="H10:H1048576">
    <cfRule type="cellIs" dxfId="838" priority="3077" operator="lessThan">
      <formula>0</formula>
    </cfRule>
  </conditionalFormatting>
  <conditionalFormatting sqref="H10:H1048576">
    <cfRule type="cellIs" dxfId="837" priority="3076" operator="lessThan">
      <formula>0</formula>
    </cfRule>
  </conditionalFormatting>
  <conditionalFormatting sqref="H10:H1048576">
    <cfRule type="cellIs" dxfId="836" priority="3075" operator="lessThan">
      <formula>0</formula>
    </cfRule>
  </conditionalFormatting>
  <conditionalFormatting sqref="H10:H1048576">
    <cfRule type="cellIs" dxfId="835" priority="3074" operator="lessThan">
      <formula>0</formula>
    </cfRule>
  </conditionalFormatting>
  <conditionalFormatting sqref="H10:H1048576">
    <cfRule type="cellIs" dxfId="834" priority="3073" operator="lessThan">
      <formula>0</formula>
    </cfRule>
  </conditionalFormatting>
  <conditionalFormatting sqref="H10:H1048576">
    <cfRule type="cellIs" dxfId="833" priority="3072" operator="lessThan">
      <formula>0</formula>
    </cfRule>
  </conditionalFormatting>
  <conditionalFormatting sqref="H10:H1048576">
    <cfRule type="cellIs" dxfId="832" priority="3071" operator="lessThan">
      <formula>0</formula>
    </cfRule>
  </conditionalFormatting>
  <conditionalFormatting sqref="H10:H1048576">
    <cfRule type="cellIs" dxfId="831" priority="3070" operator="lessThan">
      <formula>0</formula>
    </cfRule>
  </conditionalFormatting>
  <conditionalFormatting sqref="H10:H1048576">
    <cfRule type="cellIs" dxfId="830" priority="3069" operator="lessThan">
      <formula>0</formula>
    </cfRule>
  </conditionalFormatting>
  <conditionalFormatting sqref="H10:H1048576">
    <cfRule type="cellIs" dxfId="829" priority="3068" operator="lessThan">
      <formula>0</formula>
    </cfRule>
  </conditionalFormatting>
  <conditionalFormatting sqref="H10:H1048576">
    <cfRule type="cellIs" dxfId="828" priority="3067" operator="lessThan">
      <formula>0</formula>
    </cfRule>
  </conditionalFormatting>
  <conditionalFormatting sqref="H10:H1048576">
    <cfRule type="cellIs" dxfId="827" priority="3066" operator="lessThan">
      <formula>0</formula>
    </cfRule>
  </conditionalFormatting>
  <conditionalFormatting sqref="H10:H1048576">
    <cfRule type="cellIs" dxfId="826" priority="3065" operator="lessThan">
      <formula>0</formula>
    </cfRule>
  </conditionalFormatting>
  <conditionalFormatting sqref="H10:H1048576">
    <cfRule type="cellIs" dxfId="825" priority="3064" operator="lessThan">
      <formula>0</formula>
    </cfRule>
  </conditionalFormatting>
  <conditionalFormatting sqref="H10:H1048576">
    <cfRule type="cellIs" dxfId="824" priority="3063" operator="lessThan">
      <formula>0</formula>
    </cfRule>
  </conditionalFormatting>
  <conditionalFormatting sqref="H10:H1048576">
    <cfRule type="cellIs" dxfId="823" priority="3062" operator="lessThan">
      <formula>0</formula>
    </cfRule>
  </conditionalFormatting>
  <conditionalFormatting sqref="H10:H1048576">
    <cfRule type="cellIs" dxfId="822" priority="3061" operator="lessThan">
      <formula>0</formula>
    </cfRule>
  </conditionalFormatting>
  <conditionalFormatting sqref="H10:H1048576">
    <cfRule type="cellIs" dxfId="821" priority="3060" operator="lessThan">
      <formula>0</formula>
    </cfRule>
  </conditionalFormatting>
  <conditionalFormatting sqref="H10:H1048576">
    <cfRule type="cellIs" dxfId="820" priority="3059" operator="lessThan">
      <formula>0</formula>
    </cfRule>
  </conditionalFormatting>
  <conditionalFormatting sqref="H10:H1048576">
    <cfRule type="cellIs" dxfId="819" priority="3058" operator="lessThan">
      <formula>0</formula>
    </cfRule>
  </conditionalFormatting>
  <conditionalFormatting sqref="H10:H1048576">
    <cfRule type="cellIs" dxfId="818" priority="3057" operator="lessThan">
      <formula>0</formula>
    </cfRule>
  </conditionalFormatting>
  <conditionalFormatting sqref="H10:H1048576">
    <cfRule type="cellIs" dxfId="817" priority="3056" operator="lessThan">
      <formula>0</formula>
    </cfRule>
  </conditionalFormatting>
  <conditionalFormatting sqref="H10:H1048576">
    <cfRule type="cellIs" dxfId="816" priority="3055" operator="lessThan">
      <formula>0</formula>
    </cfRule>
  </conditionalFormatting>
  <conditionalFormatting sqref="H10:H1048576">
    <cfRule type="cellIs" dxfId="815" priority="3054" operator="lessThan">
      <formula>0</formula>
    </cfRule>
  </conditionalFormatting>
  <conditionalFormatting sqref="H10:H1048576">
    <cfRule type="cellIs" dxfId="814" priority="3053" operator="lessThan">
      <formula>0</formula>
    </cfRule>
  </conditionalFormatting>
  <conditionalFormatting sqref="H10:H1048576">
    <cfRule type="cellIs" dxfId="813" priority="3052" operator="lessThan">
      <formula>0</formula>
    </cfRule>
  </conditionalFormatting>
  <conditionalFormatting sqref="H10:H1048576">
    <cfRule type="cellIs" dxfId="812" priority="3051" operator="lessThan">
      <formula>0</formula>
    </cfRule>
  </conditionalFormatting>
  <conditionalFormatting sqref="H10:H1048576">
    <cfRule type="cellIs" dxfId="811" priority="3050" operator="lessThan">
      <formula>0</formula>
    </cfRule>
  </conditionalFormatting>
  <conditionalFormatting sqref="H10:H1048576">
    <cfRule type="cellIs" dxfId="810" priority="3049" operator="lessThan">
      <formula>0</formula>
    </cfRule>
  </conditionalFormatting>
  <conditionalFormatting sqref="H10:H1048576">
    <cfRule type="cellIs" dxfId="809" priority="3048" operator="lessThan">
      <formula>0</formula>
    </cfRule>
  </conditionalFormatting>
  <conditionalFormatting sqref="H10:H1048576">
    <cfRule type="cellIs" dxfId="808" priority="3047" operator="lessThan">
      <formula>0</formula>
    </cfRule>
  </conditionalFormatting>
  <conditionalFormatting sqref="H10:H1048576">
    <cfRule type="cellIs" dxfId="807" priority="3046" operator="lessThan">
      <formula>0</formula>
    </cfRule>
  </conditionalFormatting>
  <conditionalFormatting sqref="H10:H1048576">
    <cfRule type="cellIs" dxfId="806" priority="3045" operator="lessThan">
      <formula>0</formula>
    </cfRule>
  </conditionalFormatting>
  <conditionalFormatting sqref="H10:H1048576">
    <cfRule type="cellIs" dxfId="805" priority="3044" operator="lessThan">
      <formula>0</formula>
    </cfRule>
  </conditionalFormatting>
  <conditionalFormatting sqref="H10:H1048576">
    <cfRule type="cellIs" dxfId="804" priority="3043" operator="lessThan">
      <formula>0</formula>
    </cfRule>
  </conditionalFormatting>
  <conditionalFormatting sqref="H10:H1048576">
    <cfRule type="cellIs" dxfId="803" priority="3042" operator="lessThan">
      <formula>0</formula>
    </cfRule>
  </conditionalFormatting>
  <conditionalFormatting sqref="H10:H1048576">
    <cfRule type="cellIs" dxfId="802" priority="3041" operator="lessThan">
      <formula>0</formula>
    </cfRule>
  </conditionalFormatting>
  <conditionalFormatting sqref="H10:H1048576">
    <cfRule type="cellIs" dxfId="801" priority="3040" operator="lessThan">
      <formula>0</formula>
    </cfRule>
  </conditionalFormatting>
  <conditionalFormatting sqref="H10:H1048576">
    <cfRule type="cellIs" dxfId="800" priority="3039" operator="lessThan">
      <formula>0</formula>
    </cfRule>
  </conditionalFormatting>
  <conditionalFormatting sqref="H10:H1048576">
    <cfRule type="cellIs" dxfId="799" priority="3038" operator="lessThan">
      <formula>0</formula>
    </cfRule>
  </conditionalFormatting>
  <conditionalFormatting sqref="H10:H1048576">
    <cfRule type="cellIs" dxfId="798" priority="3037" operator="lessThan">
      <formula>0</formula>
    </cfRule>
  </conditionalFormatting>
  <conditionalFormatting sqref="H10:H1048576">
    <cfRule type="cellIs" dxfId="797" priority="3036" operator="lessThan">
      <formula>0</formula>
    </cfRule>
  </conditionalFormatting>
  <conditionalFormatting sqref="H10:H1048576">
    <cfRule type="cellIs" dxfId="796" priority="3035" operator="lessThan">
      <formula>0</formula>
    </cfRule>
  </conditionalFormatting>
  <conditionalFormatting sqref="H10:H1048576">
    <cfRule type="cellIs" dxfId="795" priority="3034" operator="lessThan">
      <formula>0</formula>
    </cfRule>
  </conditionalFormatting>
  <conditionalFormatting sqref="H10:H1048576">
    <cfRule type="cellIs" dxfId="794" priority="3033" operator="lessThan">
      <formula>0</formula>
    </cfRule>
  </conditionalFormatting>
  <conditionalFormatting sqref="H10:H1048576">
    <cfRule type="cellIs" dxfId="793" priority="3032" operator="lessThan">
      <formula>0</formula>
    </cfRule>
  </conditionalFormatting>
  <conditionalFormatting sqref="H10:H1048576">
    <cfRule type="cellIs" dxfId="792" priority="3031" operator="lessThan">
      <formula>0</formula>
    </cfRule>
  </conditionalFormatting>
  <conditionalFormatting sqref="H10:H1048576">
    <cfRule type="cellIs" dxfId="791" priority="3030" operator="lessThan">
      <formula>0</formula>
    </cfRule>
  </conditionalFormatting>
  <conditionalFormatting sqref="H10:H1048576">
    <cfRule type="cellIs" dxfId="790" priority="3029" operator="lessThan">
      <formula>0</formula>
    </cfRule>
  </conditionalFormatting>
  <conditionalFormatting sqref="H10:H1048576">
    <cfRule type="cellIs" dxfId="789" priority="3028" operator="lessThan">
      <formula>0</formula>
    </cfRule>
  </conditionalFormatting>
  <conditionalFormatting sqref="H10:H1048576">
    <cfRule type="cellIs" dxfId="788" priority="3027" operator="lessThan">
      <formula>0</formula>
    </cfRule>
  </conditionalFormatting>
  <conditionalFormatting sqref="H10:H1048576">
    <cfRule type="cellIs" dxfId="787" priority="3026" operator="lessThan">
      <formula>0</formula>
    </cfRule>
  </conditionalFormatting>
  <conditionalFormatting sqref="H10:H1048576">
    <cfRule type="cellIs" dxfId="786" priority="3025" operator="lessThan">
      <formula>0</formula>
    </cfRule>
  </conditionalFormatting>
  <conditionalFormatting sqref="H10:H1048576">
    <cfRule type="cellIs" dxfId="785" priority="3024" operator="lessThan">
      <formula>0</formula>
    </cfRule>
  </conditionalFormatting>
  <conditionalFormatting sqref="H10:H1048576">
    <cfRule type="cellIs" dxfId="784" priority="3023" operator="lessThan">
      <formula>0</formula>
    </cfRule>
  </conditionalFormatting>
  <conditionalFormatting sqref="H10:H1048576">
    <cfRule type="cellIs" dxfId="783" priority="3022" operator="lessThan">
      <formula>0</formula>
    </cfRule>
  </conditionalFormatting>
  <conditionalFormatting sqref="H10:H1048576">
    <cfRule type="cellIs" dxfId="782" priority="3021" operator="lessThan">
      <formula>0</formula>
    </cfRule>
  </conditionalFormatting>
  <conditionalFormatting sqref="H10:H1048576">
    <cfRule type="cellIs" dxfId="781" priority="3020" operator="lessThan">
      <formula>0</formula>
    </cfRule>
  </conditionalFormatting>
  <conditionalFormatting sqref="H10:H1048576">
    <cfRule type="cellIs" dxfId="780" priority="3019" operator="lessThan">
      <formula>0</formula>
    </cfRule>
  </conditionalFormatting>
  <conditionalFormatting sqref="H10:H1048576">
    <cfRule type="cellIs" dxfId="779" priority="3018" operator="lessThan">
      <formula>0</formula>
    </cfRule>
  </conditionalFormatting>
  <conditionalFormatting sqref="H10:H1048576">
    <cfRule type="cellIs" dxfId="778" priority="3017" operator="lessThan">
      <formula>0</formula>
    </cfRule>
  </conditionalFormatting>
  <conditionalFormatting sqref="H10:H1048576">
    <cfRule type="cellIs" dxfId="777" priority="3016" operator="lessThan">
      <formula>0</formula>
    </cfRule>
  </conditionalFormatting>
  <conditionalFormatting sqref="H10:H1048576">
    <cfRule type="cellIs" dxfId="776" priority="3015" operator="lessThan">
      <formula>0</formula>
    </cfRule>
  </conditionalFormatting>
  <conditionalFormatting sqref="H10:H1048576">
    <cfRule type="cellIs" dxfId="775" priority="3014" operator="lessThan">
      <formula>0</formula>
    </cfRule>
  </conditionalFormatting>
  <conditionalFormatting sqref="H10:H1048576">
    <cfRule type="cellIs" dxfId="774" priority="3013" operator="lessThan">
      <formula>0</formula>
    </cfRule>
  </conditionalFormatting>
  <conditionalFormatting sqref="H10:H1048576">
    <cfRule type="cellIs" dxfId="773" priority="3012" operator="lessThan">
      <formula>0</formula>
    </cfRule>
  </conditionalFormatting>
  <conditionalFormatting sqref="H10:H1048576">
    <cfRule type="cellIs" dxfId="772" priority="3011" operator="lessThan">
      <formula>0</formula>
    </cfRule>
  </conditionalFormatting>
  <conditionalFormatting sqref="H10:H1048576">
    <cfRule type="cellIs" dxfId="771" priority="3010" operator="lessThan">
      <formula>0</formula>
    </cfRule>
  </conditionalFormatting>
  <conditionalFormatting sqref="H10:H1048576">
    <cfRule type="cellIs" dxfId="770" priority="3009" operator="lessThan">
      <formula>0</formula>
    </cfRule>
  </conditionalFormatting>
  <conditionalFormatting sqref="H10:H1048576">
    <cfRule type="cellIs" dxfId="769" priority="3008" operator="lessThan">
      <formula>0</formula>
    </cfRule>
  </conditionalFormatting>
  <conditionalFormatting sqref="H10:H1048576">
    <cfRule type="cellIs" dxfId="768" priority="3007" operator="lessThan">
      <formula>0</formula>
    </cfRule>
  </conditionalFormatting>
  <conditionalFormatting sqref="H10:H1048576">
    <cfRule type="cellIs" dxfId="767" priority="3006" operator="lessThan">
      <formula>0</formula>
    </cfRule>
  </conditionalFormatting>
  <conditionalFormatting sqref="H10:H1048576">
    <cfRule type="cellIs" dxfId="766" priority="3005" operator="lessThan">
      <formula>0</formula>
    </cfRule>
  </conditionalFormatting>
  <conditionalFormatting sqref="H10:H1048576">
    <cfRule type="cellIs" dxfId="765" priority="3004" operator="lessThan">
      <formula>0</formula>
    </cfRule>
  </conditionalFormatting>
  <conditionalFormatting sqref="H10:H1048576">
    <cfRule type="cellIs" dxfId="764" priority="3003" operator="lessThan">
      <formula>0</formula>
    </cfRule>
  </conditionalFormatting>
  <conditionalFormatting sqref="H10:H1048576">
    <cfRule type="cellIs" dxfId="763" priority="3002" operator="lessThan">
      <formula>0</formula>
    </cfRule>
  </conditionalFormatting>
  <conditionalFormatting sqref="H10:H1048576">
    <cfRule type="cellIs" dxfId="762" priority="3001" operator="lessThan">
      <formula>0</formula>
    </cfRule>
  </conditionalFormatting>
  <conditionalFormatting sqref="H10:H1048576">
    <cfRule type="cellIs" dxfId="761" priority="3000" operator="lessThan">
      <formula>0</formula>
    </cfRule>
  </conditionalFormatting>
  <conditionalFormatting sqref="H10:H1048576">
    <cfRule type="cellIs" dxfId="760" priority="2999" operator="lessThan">
      <formula>0</formula>
    </cfRule>
  </conditionalFormatting>
  <conditionalFormatting sqref="H10:H1048576">
    <cfRule type="cellIs" dxfId="759" priority="2998" operator="lessThan">
      <formula>0</formula>
    </cfRule>
  </conditionalFormatting>
  <conditionalFormatting sqref="H10:H1048576">
    <cfRule type="cellIs" dxfId="758" priority="2997" operator="lessThan">
      <formula>0</formula>
    </cfRule>
  </conditionalFormatting>
  <conditionalFormatting sqref="H10:H1048576">
    <cfRule type="cellIs" dxfId="757" priority="2996" operator="lessThan">
      <formula>0</formula>
    </cfRule>
  </conditionalFormatting>
  <conditionalFormatting sqref="H10:H1048576">
    <cfRule type="cellIs" dxfId="756" priority="2995" operator="lessThan">
      <formula>0</formula>
    </cfRule>
  </conditionalFormatting>
  <conditionalFormatting sqref="H10:H1048576">
    <cfRule type="cellIs" dxfId="755" priority="2994" operator="lessThan">
      <formula>0</formula>
    </cfRule>
  </conditionalFormatting>
  <conditionalFormatting sqref="H10:H1048576">
    <cfRule type="cellIs" dxfId="754" priority="2993" operator="lessThan">
      <formula>0</formula>
    </cfRule>
  </conditionalFormatting>
  <conditionalFormatting sqref="H10:H1048576">
    <cfRule type="cellIs" dxfId="753" priority="2992" operator="lessThan">
      <formula>0</formula>
    </cfRule>
  </conditionalFormatting>
  <conditionalFormatting sqref="H10:H1048576">
    <cfRule type="cellIs" dxfId="752" priority="2991" operator="lessThan">
      <formula>0</formula>
    </cfRule>
  </conditionalFormatting>
  <conditionalFormatting sqref="H10:H1048576">
    <cfRule type="cellIs" dxfId="751" priority="2990" operator="lessThan">
      <formula>0</formula>
    </cfRule>
  </conditionalFormatting>
  <conditionalFormatting sqref="H10:H1048576">
    <cfRule type="cellIs" dxfId="750" priority="2989" operator="lessThan">
      <formula>0</formula>
    </cfRule>
  </conditionalFormatting>
  <conditionalFormatting sqref="H10:H1048576">
    <cfRule type="cellIs" dxfId="749" priority="2988" operator="lessThan">
      <formula>0</formula>
    </cfRule>
  </conditionalFormatting>
  <conditionalFormatting sqref="H10:H1048576">
    <cfRule type="cellIs" dxfId="748" priority="2987" operator="lessThan">
      <formula>0</formula>
    </cfRule>
  </conditionalFormatting>
  <conditionalFormatting sqref="H10:H1048576">
    <cfRule type="cellIs" dxfId="747" priority="2986" operator="lessThan">
      <formula>0</formula>
    </cfRule>
  </conditionalFormatting>
  <conditionalFormatting sqref="H10:H1048576">
    <cfRule type="cellIs" dxfId="746" priority="2985" operator="lessThan">
      <formula>0</formula>
    </cfRule>
  </conditionalFormatting>
  <conditionalFormatting sqref="H10:H1048576">
    <cfRule type="cellIs" dxfId="745" priority="2984" operator="lessThan">
      <formula>0</formula>
    </cfRule>
  </conditionalFormatting>
  <conditionalFormatting sqref="H10:H1048576">
    <cfRule type="cellIs" dxfId="744" priority="2983" operator="lessThan">
      <formula>0</formula>
    </cfRule>
  </conditionalFormatting>
  <conditionalFormatting sqref="H10:H1048576">
    <cfRule type="cellIs" dxfId="743" priority="2982" operator="lessThan">
      <formula>0</formula>
    </cfRule>
  </conditionalFormatting>
  <conditionalFormatting sqref="H10:H1048576">
    <cfRule type="cellIs" dxfId="742" priority="2981" operator="lessThan">
      <formula>0</formula>
    </cfRule>
  </conditionalFormatting>
  <conditionalFormatting sqref="H10:H1048576">
    <cfRule type="cellIs" dxfId="741" priority="2980" operator="lessThan">
      <formula>0</formula>
    </cfRule>
  </conditionalFormatting>
  <conditionalFormatting sqref="H10:H1048576">
    <cfRule type="cellIs" dxfId="740" priority="2979" operator="lessThan">
      <formula>0</formula>
    </cfRule>
  </conditionalFormatting>
  <conditionalFormatting sqref="H10:H1048576">
    <cfRule type="cellIs" dxfId="739" priority="2978" operator="lessThan">
      <formula>0</formula>
    </cfRule>
  </conditionalFormatting>
  <conditionalFormatting sqref="H10:H1048576">
    <cfRule type="cellIs" dxfId="738" priority="2977" operator="lessThan">
      <formula>0</formula>
    </cfRule>
  </conditionalFormatting>
  <conditionalFormatting sqref="H10:H1048576">
    <cfRule type="cellIs" dxfId="737" priority="2976" operator="lessThan">
      <formula>0</formula>
    </cfRule>
  </conditionalFormatting>
  <conditionalFormatting sqref="H10:H1048576">
    <cfRule type="cellIs" dxfId="736" priority="2975" operator="lessThan">
      <formula>0</formula>
    </cfRule>
  </conditionalFormatting>
  <conditionalFormatting sqref="H10:H1048576">
    <cfRule type="cellIs" dxfId="735" priority="2974" operator="lessThan">
      <formula>0</formula>
    </cfRule>
  </conditionalFormatting>
  <conditionalFormatting sqref="H10:H1048576">
    <cfRule type="cellIs" dxfId="734" priority="2973" operator="lessThan">
      <formula>0</formula>
    </cfRule>
  </conditionalFormatting>
  <conditionalFormatting sqref="H10:H1048576">
    <cfRule type="cellIs" dxfId="733" priority="2972" operator="lessThan">
      <formula>0</formula>
    </cfRule>
  </conditionalFormatting>
  <conditionalFormatting sqref="H10:H1048576">
    <cfRule type="cellIs" dxfId="732" priority="2971" operator="lessThan">
      <formula>0</formula>
    </cfRule>
  </conditionalFormatting>
  <conditionalFormatting sqref="H10:H1048576">
    <cfRule type="cellIs" dxfId="731" priority="2970" operator="lessThan">
      <formula>0</formula>
    </cfRule>
  </conditionalFormatting>
  <conditionalFormatting sqref="H10:H1048576">
    <cfRule type="cellIs" dxfId="730" priority="2969" operator="lessThan">
      <formula>0</formula>
    </cfRule>
  </conditionalFormatting>
  <conditionalFormatting sqref="H10:H1048576">
    <cfRule type="cellIs" dxfId="729" priority="2968" operator="lessThan">
      <formula>0</formula>
    </cfRule>
  </conditionalFormatting>
  <conditionalFormatting sqref="H10:H1048576">
    <cfRule type="cellIs" dxfId="728" priority="2967" operator="lessThan">
      <formula>0</formula>
    </cfRule>
  </conditionalFormatting>
  <conditionalFormatting sqref="H10:H1048576">
    <cfRule type="cellIs" dxfId="727" priority="2966" operator="lessThan">
      <formula>0</formula>
    </cfRule>
  </conditionalFormatting>
  <conditionalFormatting sqref="H10:H1048576">
    <cfRule type="cellIs" dxfId="726" priority="2965" operator="lessThan">
      <formula>0</formula>
    </cfRule>
  </conditionalFormatting>
  <conditionalFormatting sqref="H10:H1048576">
    <cfRule type="cellIs" dxfId="725" priority="2964" operator="lessThan">
      <formula>0</formula>
    </cfRule>
  </conditionalFormatting>
  <conditionalFormatting sqref="H10:H1048576">
    <cfRule type="cellIs" dxfId="724" priority="2963" operator="lessThan">
      <formula>0</formula>
    </cfRule>
  </conditionalFormatting>
  <conditionalFormatting sqref="H10:H1048576">
    <cfRule type="cellIs" dxfId="723" priority="2962" operator="lessThan">
      <formula>0</formula>
    </cfRule>
  </conditionalFormatting>
  <conditionalFormatting sqref="H10:H1048576">
    <cfRule type="cellIs" dxfId="722" priority="2961" operator="lessThan">
      <formula>0</formula>
    </cfRule>
  </conditionalFormatting>
  <conditionalFormatting sqref="H10:H1048576">
    <cfRule type="cellIs" dxfId="721" priority="2960" operator="lessThan">
      <formula>0</formula>
    </cfRule>
  </conditionalFormatting>
  <conditionalFormatting sqref="H10:H1048576">
    <cfRule type="cellIs" dxfId="720" priority="2959" operator="lessThan">
      <formula>0</formula>
    </cfRule>
  </conditionalFormatting>
  <conditionalFormatting sqref="H10:H1048576">
    <cfRule type="cellIs" dxfId="719" priority="2958" operator="lessThan">
      <formula>0</formula>
    </cfRule>
  </conditionalFormatting>
  <conditionalFormatting sqref="H10:H1048576">
    <cfRule type="cellIs" dxfId="718" priority="2957" operator="lessThan">
      <formula>0</formula>
    </cfRule>
  </conditionalFormatting>
  <conditionalFormatting sqref="H10:H1048576">
    <cfRule type="cellIs" dxfId="717" priority="2956" operator="lessThan">
      <formula>0</formula>
    </cfRule>
  </conditionalFormatting>
  <conditionalFormatting sqref="H10:H1048576">
    <cfRule type="cellIs" dxfId="716" priority="2955" operator="lessThan">
      <formula>0</formula>
    </cfRule>
  </conditionalFormatting>
  <conditionalFormatting sqref="H10:H1048576">
    <cfRule type="cellIs" dxfId="715" priority="2954" operator="lessThan">
      <formula>0</formula>
    </cfRule>
  </conditionalFormatting>
  <conditionalFormatting sqref="H10:H1048576">
    <cfRule type="cellIs" dxfId="714" priority="2953" operator="lessThan">
      <formula>0</formula>
    </cfRule>
  </conditionalFormatting>
  <conditionalFormatting sqref="H10:H1048576">
    <cfRule type="cellIs" dxfId="713" priority="2952" operator="lessThan">
      <formula>0</formula>
    </cfRule>
  </conditionalFormatting>
  <conditionalFormatting sqref="H10:H1048576">
    <cfRule type="cellIs" dxfId="712" priority="2951" operator="lessThan">
      <formula>0</formula>
    </cfRule>
  </conditionalFormatting>
  <conditionalFormatting sqref="H10:H1048576">
    <cfRule type="cellIs" dxfId="711" priority="2950" operator="lessThan">
      <formula>0</formula>
    </cfRule>
  </conditionalFormatting>
  <conditionalFormatting sqref="H10:H1048576">
    <cfRule type="cellIs" dxfId="710" priority="2949" operator="lessThan">
      <formula>0</formula>
    </cfRule>
  </conditionalFormatting>
  <conditionalFormatting sqref="H10:H1048576">
    <cfRule type="cellIs" dxfId="709" priority="2948" operator="lessThan">
      <formula>0</formula>
    </cfRule>
  </conditionalFormatting>
  <conditionalFormatting sqref="H10:H1048576">
    <cfRule type="cellIs" dxfId="708" priority="2947" operator="lessThan">
      <formula>0</formula>
    </cfRule>
  </conditionalFormatting>
  <conditionalFormatting sqref="H10:H1048576">
    <cfRule type="cellIs" dxfId="707" priority="2946" operator="lessThan">
      <formula>0</formula>
    </cfRule>
  </conditionalFormatting>
  <conditionalFormatting sqref="H10:H1048576">
    <cfRule type="cellIs" dxfId="706" priority="2945" operator="lessThan">
      <formula>0</formula>
    </cfRule>
  </conditionalFormatting>
  <conditionalFormatting sqref="H10:H1048576">
    <cfRule type="cellIs" dxfId="705" priority="2944" operator="lessThan">
      <formula>0</formula>
    </cfRule>
  </conditionalFormatting>
  <conditionalFormatting sqref="H10:H1048576">
    <cfRule type="cellIs" dxfId="704" priority="2943" operator="lessThan">
      <formula>0</formula>
    </cfRule>
  </conditionalFormatting>
  <conditionalFormatting sqref="H10:H1048576">
    <cfRule type="cellIs" dxfId="703" priority="2942" operator="lessThan">
      <formula>0</formula>
    </cfRule>
  </conditionalFormatting>
  <conditionalFormatting sqref="H10:H1048576">
    <cfRule type="cellIs" dxfId="702" priority="2941" operator="lessThan">
      <formula>0</formula>
    </cfRule>
  </conditionalFormatting>
  <conditionalFormatting sqref="H10:H1048576">
    <cfRule type="cellIs" dxfId="701" priority="2940" operator="lessThan">
      <formula>0</formula>
    </cfRule>
  </conditionalFormatting>
  <conditionalFormatting sqref="H10:H1048576">
    <cfRule type="cellIs" dxfId="700" priority="2939" operator="lessThan">
      <formula>0</formula>
    </cfRule>
  </conditionalFormatting>
  <conditionalFormatting sqref="H10:H1048576">
    <cfRule type="cellIs" dxfId="699" priority="2938" operator="lessThan">
      <formula>0</formula>
    </cfRule>
  </conditionalFormatting>
  <conditionalFormatting sqref="H10:H1048576">
    <cfRule type="cellIs" dxfId="698" priority="2937" operator="lessThan">
      <formula>0</formula>
    </cfRule>
  </conditionalFormatting>
  <conditionalFormatting sqref="H10:H1048576">
    <cfRule type="cellIs" dxfId="697" priority="2936" operator="lessThan">
      <formula>0</formula>
    </cfRule>
  </conditionalFormatting>
  <conditionalFormatting sqref="H10:H1048576">
    <cfRule type="cellIs" dxfId="696" priority="2935" operator="lessThan">
      <formula>0</formula>
    </cfRule>
  </conditionalFormatting>
  <conditionalFormatting sqref="H10:H1048576">
    <cfRule type="cellIs" dxfId="695" priority="2934" operator="lessThan">
      <formula>0</formula>
    </cfRule>
  </conditionalFormatting>
  <conditionalFormatting sqref="H10:H1048576">
    <cfRule type="cellIs" dxfId="694" priority="2933" operator="lessThan">
      <formula>0</formula>
    </cfRule>
  </conditionalFormatting>
  <conditionalFormatting sqref="H10:H1048576">
    <cfRule type="cellIs" dxfId="693" priority="2932" operator="lessThan">
      <formula>0</formula>
    </cfRule>
  </conditionalFormatting>
  <conditionalFormatting sqref="H10:H1048576">
    <cfRule type="cellIs" dxfId="692" priority="2931" operator="lessThan">
      <formula>0</formula>
    </cfRule>
  </conditionalFormatting>
  <conditionalFormatting sqref="H10:H1048576">
    <cfRule type="cellIs" dxfId="691" priority="2930" operator="lessThan">
      <formula>0</formula>
    </cfRule>
  </conditionalFormatting>
  <conditionalFormatting sqref="H10:H1048576">
    <cfRule type="cellIs" dxfId="690" priority="2929" operator="lessThan">
      <formula>0</formula>
    </cfRule>
  </conditionalFormatting>
  <conditionalFormatting sqref="H10:H1048576">
    <cfRule type="cellIs" dxfId="689" priority="2928" operator="lessThan">
      <formula>0</formula>
    </cfRule>
  </conditionalFormatting>
  <conditionalFormatting sqref="H10:H1048576">
    <cfRule type="cellIs" dxfId="688" priority="2927" operator="lessThan">
      <formula>0</formula>
    </cfRule>
  </conditionalFormatting>
  <conditionalFormatting sqref="H10:H1048576">
    <cfRule type="cellIs" dxfId="687" priority="2926" operator="lessThan">
      <formula>0</formula>
    </cfRule>
  </conditionalFormatting>
  <conditionalFormatting sqref="H10:H1048576">
    <cfRule type="cellIs" dxfId="686" priority="2925" operator="lessThan">
      <formula>0</formula>
    </cfRule>
  </conditionalFormatting>
  <conditionalFormatting sqref="H10:H1048576">
    <cfRule type="cellIs" dxfId="685" priority="2924" operator="lessThan">
      <formula>0</formula>
    </cfRule>
  </conditionalFormatting>
  <conditionalFormatting sqref="H10:H1048576">
    <cfRule type="cellIs" dxfId="684" priority="2923" operator="lessThan">
      <formula>0</formula>
    </cfRule>
  </conditionalFormatting>
  <conditionalFormatting sqref="H10:H1048576">
    <cfRule type="cellIs" dxfId="683" priority="2922" operator="lessThan">
      <formula>0</formula>
    </cfRule>
  </conditionalFormatting>
  <conditionalFormatting sqref="H10:H1048576">
    <cfRule type="cellIs" dxfId="682" priority="2921" operator="lessThan">
      <formula>0</formula>
    </cfRule>
  </conditionalFormatting>
  <conditionalFormatting sqref="H10:H1048576">
    <cfRule type="cellIs" dxfId="681" priority="2920" operator="lessThan">
      <formula>0</formula>
    </cfRule>
  </conditionalFormatting>
  <conditionalFormatting sqref="H10:H1048576">
    <cfRule type="cellIs" dxfId="680" priority="2919" operator="lessThan">
      <formula>0</formula>
    </cfRule>
  </conditionalFormatting>
  <conditionalFormatting sqref="H10:H1048576">
    <cfRule type="cellIs" dxfId="679" priority="2918" operator="lessThan">
      <formula>0</formula>
    </cfRule>
  </conditionalFormatting>
  <conditionalFormatting sqref="H10:H1048576">
    <cfRule type="cellIs" dxfId="678" priority="2917" operator="lessThan">
      <formula>0</formula>
    </cfRule>
  </conditionalFormatting>
  <conditionalFormatting sqref="H10:H1048576">
    <cfRule type="cellIs" dxfId="677" priority="2916" operator="lessThan">
      <formula>0</formula>
    </cfRule>
  </conditionalFormatting>
  <conditionalFormatting sqref="H10:H1048576">
    <cfRule type="cellIs" dxfId="676" priority="2915" operator="lessThan">
      <formula>0</formula>
    </cfRule>
  </conditionalFormatting>
  <conditionalFormatting sqref="H10:H1048576">
    <cfRule type="cellIs" dxfId="675" priority="2914" operator="lessThan">
      <formula>0</formula>
    </cfRule>
  </conditionalFormatting>
  <conditionalFormatting sqref="H10:H1048576">
    <cfRule type="cellIs" dxfId="674" priority="2913" operator="lessThan">
      <formula>0</formula>
    </cfRule>
  </conditionalFormatting>
  <conditionalFormatting sqref="H10:H1048576">
    <cfRule type="cellIs" dxfId="673" priority="2912" operator="lessThan">
      <formula>0</formula>
    </cfRule>
  </conditionalFormatting>
  <conditionalFormatting sqref="H10:H1048576">
    <cfRule type="cellIs" dxfId="672" priority="2911" operator="lessThan">
      <formula>0</formula>
    </cfRule>
  </conditionalFormatting>
  <conditionalFormatting sqref="H10:H1048576">
    <cfRule type="cellIs" dxfId="671" priority="2910" operator="lessThan">
      <formula>0</formula>
    </cfRule>
  </conditionalFormatting>
  <conditionalFormatting sqref="H10:H1048576">
    <cfRule type="cellIs" dxfId="670" priority="2909" operator="lessThan">
      <formula>0</formula>
    </cfRule>
  </conditionalFormatting>
  <conditionalFormatting sqref="H10:H1048576">
    <cfRule type="cellIs" dxfId="669" priority="2908" operator="lessThan">
      <formula>0</formula>
    </cfRule>
  </conditionalFormatting>
  <conditionalFormatting sqref="H10:H1048576">
    <cfRule type="cellIs" dxfId="668" priority="2907" operator="lessThan">
      <formula>0</formula>
    </cfRule>
  </conditionalFormatting>
  <conditionalFormatting sqref="H10:H1048576">
    <cfRule type="cellIs" dxfId="667" priority="2906" operator="lessThan">
      <formula>0</formula>
    </cfRule>
  </conditionalFormatting>
  <conditionalFormatting sqref="H10:H1048576">
    <cfRule type="cellIs" dxfId="666" priority="2905" operator="lessThan">
      <formula>0</formula>
    </cfRule>
  </conditionalFormatting>
  <conditionalFormatting sqref="H10:H1048576">
    <cfRule type="cellIs" dxfId="665" priority="2904" operator="lessThan">
      <formula>0</formula>
    </cfRule>
  </conditionalFormatting>
  <conditionalFormatting sqref="H10:H1048576">
    <cfRule type="cellIs" dxfId="664" priority="2903" operator="lessThan">
      <formula>0</formula>
    </cfRule>
  </conditionalFormatting>
  <conditionalFormatting sqref="H10:H1048576">
    <cfRule type="cellIs" dxfId="663" priority="2902" operator="lessThan">
      <formula>0</formula>
    </cfRule>
  </conditionalFormatting>
  <conditionalFormatting sqref="H10:H1048576">
    <cfRule type="cellIs" dxfId="662" priority="2901" operator="lessThan">
      <formula>0</formula>
    </cfRule>
  </conditionalFormatting>
  <conditionalFormatting sqref="H10:H1048576">
    <cfRule type="cellIs" dxfId="661" priority="2900" operator="lessThan">
      <formula>0</formula>
    </cfRule>
  </conditionalFormatting>
  <conditionalFormatting sqref="H10:H1048576">
    <cfRule type="cellIs" dxfId="660" priority="2899" operator="lessThan">
      <formula>0</formula>
    </cfRule>
  </conditionalFormatting>
  <conditionalFormatting sqref="H10:H1048576">
    <cfRule type="cellIs" dxfId="659" priority="2898" operator="lessThan">
      <formula>0</formula>
    </cfRule>
  </conditionalFormatting>
  <conditionalFormatting sqref="H10:H1048576">
    <cfRule type="cellIs" dxfId="658" priority="2897" operator="lessThan">
      <formula>0</formula>
    </cfRule>
  </conditionalFormatting>
  <conditionalFormatting sqref="H10:H1048576">
    <cfRule type="cellIs" dxfId="657" priority="2896" operator="lessThan">
      <formula>0</formula>
    </cfRule>
  </conditionalFormatting>
  <conditionalFormatting sqref="H10:H1048576">
    <cfRule type="cellIs" dxfId="656" priority="2895" operator="lessThan">
      <formula>0</formula>
    </cfRule>
  </conditionalFormatting>
  <conditionalFormatting sqref="H10:H1048576">
    <cfRule type="cellIs" dxfId="655" priority="2894" operator="lessThan">
      <formula>0</formula>
    </cfRule>
  </conditionalFormatting>
  <conditionalFormatting sqref="H10:H1048576">
    <cfRule type="cellIs" dxfId="654" priority="2893" operator="lessThan">
      <formula>0</formula>
    </cfRule>
  </conditionalFormatting>
  <conditionalFormatting sqref="H10:H1048576">
    <cfRule type="cellIs" dxfId="653" priority="2892" operator="lessThan">
      <formula>0</formula>
    </cfRule>
  </conditionalFormatting>
  <conditionalFormatting sqref="H10:H1048576">
    <cfRule type="cellIs" dxfId="652" priority="2891" operator="lessThan">
      <formula>0</formula>
    </cfRule>
  </conditionalFormatting>
  <conditionalFormatting sqref="H10:H1048576">
    <cfRule type="cellIs" dxfId="651" priority="2890" operator="lessThan">
      <formula>0</formula>
    </cfRule>
  </conditionalFormatting>
  <conditionalFormatting sqref="H10:H1048576">
    <cfRule type="cellIs" dxfId="650" priority="2889" operator="lessThan">
      <formula>0</formula>
    </cfRule>
  </conditionalFormatting>
  <conditionalFormatting sqref="H10:H1048576">
    <cfRule type="cellIs" dxfId="649" priority="2888" operator="lessThan">
      <formula>0</formula>
    </cfRule>
  </conditionalFormatting>
  <conditionalFormatting sqref="H10:H1048576">
    <cfRule type="cellIs" dxfId="648" priority="2887" operator="lessThan">
      <formula>0</formula>
    </cfRule>
  </conditionalFormatting>
  <conditionalFormatting sqref="H10:H1048576">
    <cfRule type="cellIs" dxfId="647" priority="2886" operator="lessThan">
      <formula>0</formula>
    </cfRule>
  </conditionalFormatting>
  <conditionalFormatting sqref="H10:H1048576">
    <cfRule type="cellIs" dxfId="646" priority="2885" operator="lessThan">
      <formula>0</formula>
    </cfRule>
  </conditionalFormatting>
  <conditionalFormatting sqref="H10:H1048576">
    <cfRule type="cellIs" dxfId="645" priority="2884" operator="lessThan">
      <formula>0</formula>
    </cfRule>
  </conditionalFormatting>
  <conditionalFormatting sqref="H10:H1048576">
    <cfRule type="cellIs" dxfId="644" priority="2883" operator="lessThan">
      <formula>0</formula>
    </cfRule>
  </conditionalFormatting>
  <conditionalFormatting sqref="H10:H1048576">
    <cfRule type="cellIs" dxfId="643" priority="2882" operator="lessThan">
      <formula>0</formula>
    </cfRule>
  </conditionalFormatting>
  <conditionalFormatting sqref="H10:H1048576">
    <cfRule type="cellIs" dxfId="642" priority="2881" operator="lessThan">
      <formula>0</formula>
    </cfRule>
  </conditionalFormatting>
  <conditionalFormatting sqref="H10:H1048576">
    <cfRule type="cellIs" dxfId="641" priority="2880" operator="lessThan">
      <formula>0</formula>
    </cfRule>
  </conditionalFormatting>
  <conditionalFormatting sqref="H10:H1048576">
    <cfRule type="cellIs" dxfId="640" priority="2879" operator="lessThan">
      <formula>0</formula>
    </cfRule>
  </conditionalFormatting>
  <conditionalFormatting sqref="H10:H1048576">
    <cfRule type="cellIs" dxfId="639" priority="2878" operator="lessThan">
      <formula>0</formula>
    </cfRule>
  </conditionalFormatting>
  <conditionalFormatting sqref="H10:H1048576">
    <cfRule type="cellIs" dxfId="638" priority="2877" operator="lessThan">
      <formula>0</formula>
    </cfRule>
  </conditionalFormatting>
  <conditionalFormatting sqref="H10:H1048576">
    <cfRule type="cellIs" dxfId="637" priority="2876" operator="lessThan">
      <formula>0</formula>
    </cfRule>
  </conditionalFormatting>
  <conditionalFormatting sqref="H10:H1048576">
    <cfRule type="cellIs" dxfId="636" priority="2875" operator="lessThan">
      <formula>0</formula>
    </cfRule>
  </conditionalFormatting>
  <conditionalFormatting sqref="H10:H1048576">
    <cfRule type="cellIs" dxfId="635" priority="2874" operator="lessThan">
      <formula>0</formula>
    </cfRule>
  </conditionalFormatting>
  <conditionalFormatting sqref="H10:H1048576">
    <cfRule type="cellIs" dxfId="634" priority="2873" operator="lessThan">
      <formula>0</formula>
    </cfRule>
  </conditionalFormatting>
  <conditionalFormatting sqref="H10:H1048576">
    <cfRule type="cellIs" dxfId="633" priority="2872" operator="lessThan">
      <formula>0</formula>
    </cfRule>
  </conditionalFormatting>
  <conditionalFormatting sqref="H10:H1048576">
    <cfRule type="cellIs" dxfId="632" priority="2871" operator="lessThan">
      <formula>0</formula>
    </cfRule>
  </conditionalFormatting>
  <conditionalFormatting sqref="H10:H1048576">
    <cfRule type="cellIs" dxfId="631" priority="2870" operator="lessThan">
      <formula>0</formula>
    </cfRule>
  </conditionalFormatting>
  <conditionalFormatting sqref="H10:H1048576">
    <cfRule type="cellIs" dxfId="630" priority="2869" operator="lessThan">
      <formula>0</formula>
    </cfRule>
  </conditionalFormatting>
  <conditionalFormatting sqref="H10:H1048576">
    <cfRule type="cellIs" dxfId="629" priority="2868" operator="lessThan">
      <formula>0</formula>
    </cfRule>
  </conditionalFormatting>
  <conditionalFormatting sqref="H10:H1048576">
    <cfRule type="cellIs" dxfId="628" priority="2867" operator="lessThan">
      <formula>0</formula>
    </cfRule>
  </conditionalFormatting>
  <conditionalFormatting sqref="H10:H1048576">
    <cfRule type="cellIs" dxfId="627" priority="2866" operator="lessThan">
      <formula>0</formula>
    </cfRule>
  </conditionalFormatting>
  <conditionalFormatting sqref="H10:H1048576">
    <cfRule type="cellIs" dxfId="626" priority="2865" operator="lessThan">
      <formula>0</formula>
    </cfRule>
  </conditionalFormatting>
  <conditionalFormatting sqref="H10:H1048576">
    <cfRule type="cellIs" dxfId="625" priority="2864" operator="lessThan">
      <formula>0</formula>
    </cfRule>
  </conditionalFormatting>
  <conditionalFormatting sqref="H10:H1048576">
    <cfRule type="cellIs" dxfId="624" priority="2863" operator="lessThan">
      <formula>0</formula>
    </cfRule>
  </conditionalFormatting>
  <conditionalFormatting sqref="H10:H1048576">
    <cfRule type="cellIs" dxfId="623" priority="2862" operator="lessThan">
      <formula>0</formula>
    </cfRule>
  </conditionalFormatting>
  <conditionalFormatting sqref="H10:H1048576">
    <cfRule type="cellIs" dxfId="622" priority="2861" operator="lessThan">
      <formula>0</formula>
    </cfRule>
  </conditionalFormatting>
  <conditionalFormatting sqref="H10:H1048576">
    <cfRule type="cellIs" dxfId="621" priority="2860" operator="lessThan">
      <formula>0</formula>
    </cfRule>
  </conditionalFormatting>
  <conditionalFormatting sqref="H10:H1048576">
    <cfRule type="cellIs" dxfId="620" priority="2859" operator="lessThan">
      <formula>0</formula>
    </cfRule>
  </conditionalFormatting>
  <conditionalFormatting sqref="H10:H1048576">
    <cfRule type="cellIs" dxfId="619" priority="2858" operator="lessThan">
      <formula>0</formula>
    </cfRule>
  </conditionalFormatting>
  <conditionalFormatting sqref="H10:H1048576">
    <cfRule type="cellIs" dxfId="618" priority="2857" operator="lessThan">
      <formula>0</formula>
    </cfRule>
  </conditionalFormatting>
  <conditionalFormatting sqref="H10:H1048576">
    <cfRule type="cellIs" dxfId="617" priority="2856" operator="lessThan">
      <formula>0</formula>
    </cfRule>
  </conditionalFormatting>
  <conditionalFormatting sqref="H10:H1048576">
    <cfRule type="cellIs" dxfId="616" priority="2855" operator="lessThan">
      <formula>0</formula>
    </cfRule>
  </conditionalFormatting>
  <conditionalFormatting sqref="H10:H1048576">
    <cfRule type="cellIs" dxfId="615" priority="2854" operator="lessThan">
      <formula>0</formula>
    </cfRule>
  </conditionalFormatting>
  <conditionalFormatting sqref="H10:H1048576">
    <cfRule type="cellIs" dxfId="614" priority="2853" operator="lessThan">
      <formula>0</formula>
    </cfRule>
  </conditionalFormatting>
  <conditionalFormatting sqref="H10:H1048576">
    <cfRule type="cellIs" dxfId="613" priority="2852" operator="lessThan">
      <formula>0</formula>
    </cfRule>
  </conditionalFormatting>
  <conditionalFormatting sqref="H10:H1048576">
    <cfRule type="cellIs" dxfId="612" priority="2851" operator="lessThan">
      <formula>0</formula>
    </cfRule>
  </conditionalFormatting>
  <conditionalFormatting sqref="H10:H1048576">
    <cfRule type="cellIs" dxfId="611" priority="2850" operator="lessThan">
      <formula>0</formula>
    </cfRule>
  </conditionalFormatting>
  <conditionalFormatting sqref="H10:H1048576">
    <cfRule type="cellIs" dxfId="610" priority="2849" operator="lessThan">
      <formula>0</formula>
    </cfRule>
  </conditionalFormatting>
  <conditionalFormatting sqref="H10:H1048576">
    <cfRule type="cellIs" dxfId="609" priority="2848" operator="lessThan">
      <formula>0</formula>
    </cfRule>
  </conditionalFormatting>
  <conditionalFormatting sqref="H10:H1048576">
    <cfRule type="cellIs" dxfId="608" priority="2847" operator="lessThan">
      <formula>0</formula>
    </cfRule>
  </conditionalFormatting>
  <conditionalFormatting sqref="H10:H1048576">
    <cfRule type="cellIs" dxfId="607" priority="2846" operator="lessThan">
      <formula>0</formula>
    </cfRule>
  </conditionalFormatting>
  <conditionalFormatting sqref="H10:H1048576">
    <cfRule type="cellIs" dxfId="606" priority="2845" operator="lessThan">
      <formula>0</formula>
    </cfRule>
  </conditionalFormatting>
  <conditionalFormatting sqref="H10:H1048576">
    <cfRule type="cellIs" dxfId="605" priority="2844" operator="lessThan">
      <formula>0</formula>
    </cfRule>
  </conditionalFormatting>
  <conditionalFormatting sqref="H10:H1048576">
    <cfRule type="cellIs" dxfId="604" priority="2843" operator="lessThan">
      <formula>0</formula>
    </cfRule>
  </conditionalFormatting>
  <conditionalFormatting sqref="H10:H1048576">
    <cfRule type="cellIs" dxfId="603" priority="2842" operator="lessThan">
      <formula>0</formula>
    </cfRule>
  </conditionalFormatting>
  <conditionalFormatting sqref="H10:H1048576">
    <cfRule type="cellIs" dxfId="602" priority="2841" operator="lessThan">
      <formula>0</formula>
    </cfRule>
  </conditionalFormatting>
  <conditionalFormatting sqref="H10:H1048576">
    <cfRule type="cellIs" dxfId="601" priority="2840" operator="lessThan">
      <formula>0</formula>
    </cfRule>
  </conditionalFormatting>
  <conditionalFormatting sqref="H10:H1048576">
    <cfRule type="cellIs" dxfId="600" priority="2839" operator="lessThan">
      <formula>0</formula>
    </cfRule>
  </conditionalFormatting>
  <conditionalFormatting sqref="H10:H1048576">
    <cfRule type="cellIs" dxfId="599" priority="2838" operator="lessThan">
      <formula>0</formula>
    </cfRule>
  </conditionalFormatting>
  <conditionalFormatting sqref="H10:H1048576">
    <cfRule type="cellIs" dxfId="598" priority="2837" operator="lessThan">
      <formula>0</formula>
    </cfRule>
  </conditionalFormatting>
  <conditionalFormatting sqref="H10:H1048576">
    <cfRule type="cellIs" dxfId="597" priority="2836" operator="lessThan">
      <formula>0</formula>
    </cfRule>
  </conditionalFormatting>
  <conditionalFormatting sqref="H10:H1048576">
    <cfRule type="cellIs" dxfId="596" priority="2835" operator="lessThan">
      <formula>0</formula>
    </cfRule>
  </conditionalFormatting>
  <conditionalFormatting sqref="H10:H1048576">
    <cfRule type="cellIs" dxfId="595" priority="2834" operator="lessThan">
      <formula>0</formula>
    </cfRule>
  </conditionalFormatting>
  <conditionalFormatting sqref="H10:H1048576">
    <cfRule type="cellIs" dxfId="594" priority="2833" operator="lessThan">
      <formula>0</formula>
    </cfRule>
  </conditionalFormatting>
  <conditionalFormatting sqref="H10:H1048576">
    <cfRule type="cellIs" dxfId="593" priority="2832" operator="lessThan">
      <formula>0</formula>
    </cfRule>
  </conditionalFormatting>
  <conditionalFormatting sqref="H10:H1048576">
    <cfRule type="cellIs" dxfId="592" priority="2831" operator="lessThan">
      <formula>0</formula>
    </cfRule>
  </conditionalFormatting>
  <conditionalFormatting sqref="H10:H1048576">
    <cfRule type="cellIs" dxfId="591" priority="2830" operator="lessThan">
      <formula>0</formula>
    </cfRule>
  </conditionalFormatting>
  <conditionalFormatting sqref="H10:H1048576">
    <cfRule type="cellIs" dxfId="590" priority="2829" operator="lessThan">
      <formula>0</formula>
    </cfRule>
  </conditionalFormatting>
  <conditionalFormatting sqref="H10:H1048576">
    <cfRule type="cellIs" dxfId="589" priority="2828" operator="lessThan">
      <formula>0</formula>
    </cfRule>
  </conditionalFormatting>
  <conditionalFormatting sqref="H10:H1048576">
    <cfRule type="cellIs" dxfId="588" priority="2827" operator="lessThan">
      <formula>0</formula>
    </cfRule>
  </conditionalFormatting>
  <conditionalFormatting sqref="H10:H1048576">
    <cfRule type="cellIs" dxfId="587" priority="2826" operator="lessThan">
      <formula>0</formula>
    </cfRule>
  </conditionalFormatting>
  <conditionalFormatting sqref="H10:H1048576">
    <cfRule type="cellIs" dxfId="586" priority="2825" operator="lessThan">
      <formula>0</formula>
    </cfRule>
  </conditionalFormatting>
  <conditionalFormatting sqref="H10:H1048576">
    <cfRule type="cellIs" dxfId="585" priority="2824" operator="lessThan">
      <formula>0</formula>
    </cfRule>
  </conditionalFormatting>
  <conditionalFormatting sqref="H10:H1048576">
    <cfRule type="cellIs" dxfId="584" priority="2823" operator="lessThan">
      <formula>0</formula>
    </cfRule>
  </conditionalFormatting>
  <conditionalFormatting sqref="H10:H1048576">
    <cfRule type="cellIs" dxfId="583" priority="2822" operator="lessThan">
      <formula>0</formula>
    </cfRule>
  </conditionalFormatting>
  <conditionalFormatting sqref="H10:H1048576">
    <cfRule type="cellIs" dxfId="582" priority="2821" operator="lessThan">
      <formula>0</formula>
    </cfRule>
  </conditionalFormatting>
  <conditionalFormatting sqref="H10:H1048576">
    <cfRule type="cellIs" dxfId="581" priority="2820" operator="lessThan">
      <formula>0</formula>
    </cfRule>
  </conditionalFormatting>
  <conditionalFormatting sqref="H10:H1048576">
    <cfRule type="cellIs" dxfId="580" priority="2819" operator="lessThan">
      <formula>0</formula>
    </cfRule>
  </conditionalFormatting>
  <conditionalFormatting sqref="H10:H1048576">
    <cfRule type="cellIs" dxfId="579" priority="2818" operator="lessThan">
      <formula>0</formula>
    </cfRule>
  </conditionalFormatting>
  <conditionalFormatting sqref="H10:H1048576">
    <cfRule type="cellIs" dxfId="578" priority="2817" operator="lessThan">
      <formula>0</formula>
    </cfRule>
  </conditionalFormatting>
  <conditionalFormatting sqref="H10:H1048576">
    <cfRule type="cellIs" dxfId="577" priority="2816" operator="lessThan">
      <formula>0</formula>
    </cfRule>
  </conditionalFormatting>
  <conditionalFormatting sqref="H10:H1048576">
    <cfRule type="cellIs" dxfId="576" priority="2815" operator="lessThan">
      <formula>0</formula>
    </cfRule>
  </conditionalFormatting>
  <conditionalFormatting sqref="H10:H1048576">
    <cfRule type="cellIs" dxfId="575" priority="2814" operator="lessThan">
      <formula>0</formula>
    </cfRule>
  </conditionalFormatting>
  <conditionalFormatting sqref="H10:H1048576">
    <cfRule type="cellIs" dxfId="574" priority="2813" operator="lessThan">
      <formula>0</formula>
    </cfRule>
  </conditionalFormatting>
  <conditionalFormatting sqref="H10:H1048576">
    <cfRule type="cellIs" dxfId="573" priority="2812" operator="lessThan">
      <formula>0</formula>
    </cfRule>
  </conditionalFormatting>
  <conditionalFormatting sqref="H10:H1048576">
    <cfRule type="cellIs" dxfId="572" priority="2811" operator="lessThan">
      <formula>0</formula>
    </cfRule>
  </conditionalFormatting>
  <conditionalFormatting sqref="H10:H1048576">
    <cfRule type="cellIs" dxfId="571" priority="2810" operator="lessThan">
      <formula>0</formula>
    </cfRule>
  </conditionalFormatting>
  <conditionalFormatting sqref="H10:H1048576">
    <cfRule type="cellIs" dxfId="570" priority="2809" operator="lessThan">
      <formula>0</formula>
    </cfRule>
  </conditionalFormatting>
  <conditionalFormatting sqref="H10:H1048576">
    <cfRule type="cellIs" dxfId="569" priority="2808" operator="lessThan">
      <formula>0</formula>
    </cfRule>
  </conditionalFormatting>
  <conditionalFormatting sqref="H10:H1048576">
    <cfRule type="cellIs" dxfId="568" priority="2807" operator="lessThan">
      <formula>0</formula>
    </cfRule>
  </conditionalFormatting>
  <conditionalFormatting sqref="H10:H1048576">
    <cfRule type="cellIs" dxfId="567" priority="2806" operator="lessThan">
      <formula>0</formula>
    </cfRule>
  </conditionalFormatting>
  <conditionalFormatting sqref="H10:H1048576">
    <cfRule type="cellIs" dxfId="566" priority="2805" operator="lessThan">
      <formula>0</formula>
    </cfRule>
  </conditionalFormatting>
  <conditionalFormatting sqref="H10:H1048576">
    <cfRule type="cellIs" dxfId="565" priority="2804" operator="lessThan">
      <formula>0</formula>
    </cfRule>
  </conditionalFormatting>
  <conditionalFormatting sqref="H10:H1048576">
    <cfRule type="cellIs" dxfId="564" priority="2803" operator="lessThan">
      <formula>0</formula>
    </cfRule>
  </conditionalFormatting>
  <conditionalFormatting sqref="H10:H1048576">
    <cfRule type="cellIs" dxfId="563" priority="2802" operator="lessThan">
      <formula>0</formula>
    </cfRule>
  </conditionalFormatting>
  <conditionalFormatting sqref="H10:H1048576">
    <cfRule type="cellIs" dxfId="562" priority="2801" operator="lessThan">
      <formula>0</formula>
    </cfRule>
  </conditionalFormatting>
  <conditionalFormatting sqref="H10:H1048576">
    <cfRule type="cellIs" dxfId="561" priority="2800" operator="lessThan">
      <formula>0</formula>
    </cfRule>
  </conditionalFormatting>
  <conditionalFormatting sqref="H10:H1048576">
    <cfRule type="cellIs" dxfId="560" priority="2799" operator="lessThan">
      <formula>0</formula>
    </cfRule>
  </conditionalFormatting>
  <conditionalFormatting sqref="H10:H1048576">
    <cfRule type="cellIs" dxfId="559" priority="2798" operator="lessThan">
      <formula>0</formula>
    </cfRule>
  </conditionalFormatting>
  <conditionalFormatting sqref="H10:H1048576">
    <cfRule type="cellIs" dxfId="558" priority="2797" operator="lessThan">
      <formula>0</formula>
    </cfRule>
  </conditionalFormatting>
  <conditionalFormatting sqref="H10:H1048576">
    <cfRule type="cellIs" dxfId="557" priority="2796" operator="lessThan">
      <formula>0</formula>
    </cfRule>
  </conditionalFormatting>
  <conditionalFormatting sqref="H10:H1048576">
    <cfRule type="cellIs" dxfId="556" priority="2795" operator="lessThan">
      <formula>0</formula>
    </cfRule>
  </conditionalFormatting>
  <conditionalFormatting sqref="H10:H1048576">
    <cfRule type="cellIs" dxfId="555" priority="2794" operator="lessThan">
      <formula>0</formula>
    </cfRule>
  </conditionalFormatting>
  <conditionalFormatting sqref="H10:H1048576">
    <cfRule type="cellIs" dxfId="554" priority="2793" operator="lessThan">
      <formula>0</formula>
    </cfRule>
  </conditionalFormatting>
  <conditionalFormatting sqref="H10:H1048576">
    <cfRule type="cellIs" dxfId="553" priority="2792" operator="lessThan">
      <formula>0</formula>
    </cfRule>
  </conditionalFormatting>
  <conditionalFormatting sqref="H10:H1048576">
    <cfRule type="cellIs" dxfId="552" priority="2791" operator="lessThan">
      <formula>0</formula>
    </cfRule>
  </conditionalFormatting>
  <conditionalFormatting sqref="H10:H1048576">
    <cfRule type="cellIs" dxfId="551" priority="2790" operator="lessThan">
      <formula>0</formula>
    </cfRule>
  </conditionalFormatting>
  <conditionalFormatting sqref="H10:H1048576">
    <cfRule type="cellIs" dxfId="550" priority="2789" operator="lessThan">
      <formula>0</formula>
    </cfRule>
  </conditionalFormatting>
  <conditionalFormatting sqref="H10:H1048576">
    <cfRule type="cellIs" dxfId="549" priority="2788" operator="lessThan">
      <formula>0</formula>
    </cfRule>
  </conditionalFormatting>
  <conditionalFormatting sqref="H10:H1048576">
    <cfRule type="cellIs" dxfId="548" priority="2787" operator="lessThan">
      <formula>0</formula>
    </cfRule>
  </conditionalFormatting>
  <conditionalFormatting sqref="H10:H1048576">
    <cfRule type="cellIs" dxfId="547" priority="2786" operator="lessThan">
      <formula>0</formula>
    </cfRule>
  </conditionalFormatting>
  <conditionalFormatting sqref="H10:H1048576">
    <cfRule type="cellIs" dxfId="546" priority="2785" operator="lessThan">
      <formula>0</formula>
    </cfRule>
  </conditionalFormatting>
  <conditionalFormatting sqref="H10:H1048576">
    <cfRule type="cellIs" dxfId="545" priority="2784" operator="lessThan">
      <formula>0</formula>
    </cfRule>
  </conditionalFormatting>
  <conditionalFormatting sqref="H10:H1048576">
    <cfRule type="cellIs" dxfId="544" priority="2783" operator="lessThan">
      <formula>0</formula>
    </cfRule>
  </conditionalFormatting>
  <conditionalFormatting sqref="H10:H1048576">
    <cfRule type="cellIs" dxfId="543" priority="2782" operator="lessThan">
      <formula>0</formula>
    </cfRule>
  </conditionalFormatting>
  <conditionalFormatting sqref="H10:H1048576">
    <cfRule type="cellIs" dxfId="542" priority="2781" operator="lessThan">
      <formula>0</formula>
    </cfRule>
  </conditionalFormatting>
  <conditionalFormatting sqref="H10:H1048576">
    <cfRule type="cellIs" dxfId="541" priority="2780" operator="lessThan">
      <formula>0</formula>
    </cfRule>
  </conditionalFormatting>
  <conditionalFormatting sqref="H10:H1048576">
    <cfRule type="cellIs" dxfId="540" priority="2779" operator="lessThan">
      <formula>0</formula>
    </cfRule>
  </conditionalFormatting>
  <conditionalFormatting sqref="H10:H1048576">
    <cfRule type="cellIs" dxfId="539" priority="2778" operator="lessThan">
      <formula>0</formula>
    </cfRule>
  </conditionalFormatting>
  <conditionalFormatting sqref="H10:H1048576">
    <cfRule type="cellIs" dxfId="538" priority="2777" operator="lessThan">
      <formula>0</formula>
    </cfRule>
  </conditionalFormatting>
  <conditionalFormatting sqref="H10:H1048576">
    <cfRule type="cellIs" dxfId="537" priority="2776" operator="lessThan">
      <formula>0</formula>
    </cfRule>
  </conditionalFormatting>
  <conditionalFormatting sqref="H10:H1048576">
    <cfRule type="cellIs" dxfId="536" priority="2775" operator="lessThan">
      <formula>0</formula>
    </cfRule>
  </conditionalFormatting>
  <conditionalFormatting sqref="H10:H1048576">
    <cfRule type="cellIs" dxfId="535" priority="2774" operator="lessThan">
      <formula>0</formula>
    </cfRule>
  </conditionalFormatting>
  <conditionalFormatting sqref="H10:H1048576">
    <cfRule type="cellIs" dxfId="534" priority="2773" operator="lessThan">
      <formula>0</formula>
    </cfRule>
  </conditionalFormatting>
  <conditionalFormatting sqref="H10:H1048576">
    <cfRule type="cellIs" dxfId="533" priority="2772" operator="lessThan">
      <formula>0</formula>
    </cfRule>
  </conditionalFormatting>
  <conditionalFormatting sqref="H10:H1048576">
    <cfRule type="cellIs" dxfId="532" priority="2771" operator="lessThan">
      <formula>0</formula>
    </cfRule>
  </conditionalFormatting>
  <conditionalFormatting sqref="H10:H1048576">
    <cfRule type="cellIs" dxfId="531" priority="2770" operator="lessThan">
      <formula>0</formula>
    </cfRule>
  </conditionalFormatting>
  <conditionalFormatting sqref="H10:H1048576">
    <cfRule type="cellIs" dxfId="530" priority="2769" operator="lessThan">
      <formula>0</formula>
    </cfRule>
  </conditionalFormatting>
  <conditionalFormatting sqref="H10:H1048576">
    <cfRule type="cellIs" dxfId="529" priority="2768" operator="lessThan">
      <formula>0</formula>
    </cfRule>
  </conditionalFormatting>
  <conditionalFormatting sqref="H10:H1048576">
    <cfRule type="cellIs" dxfId="528" priority="2767" operator="lessThan">
      <formula>0</formula>
    </cfRule>
  </conditionalFormatting>
  <conditionalFormatting sqref="H10:H1048576">
    <cfRule type="cellIs" dxfId="527" priority="2766" operator="lessThan">
      <formula>0</formula>
    </cfRule>
  </conditionalFormatting>
  <conditionalFormatting sqref="H10:H1048576">
    <cfRule type="cellIs" dxfId="526" priority="2765" operator="lessThan">
      <formula>0</formula>
    </cfRule>
  </conditionalFormatting>
  <conditionalFormatting sqref="H10:H1048576">
    <cfRule type="cellIs" dxfId="525" priority="2764" operator="lessThan">
      <formula>0</formula>
    </cfRule>
  </conditionalFormatting>
  <conditionalFormatting sqref="H10:H1048576">
    <cfRule type="cellIs" dxfId="524" priority="2763" operator="lessThan">
      <formula>0</formula>
    </cfRule>
  </conditionalFormatting>
  <conditionalFormatting sqref="H10:H1048576">
    <cfRule type="cellIs" dxfId="523" priority="2762" operator="lessThan">
      <formula>0</formula>
    </cfRule>
  </conditionalFormatting>
  <conditionalFormatting sqref="H10:H1048576">
    <cfRule type="cellIs" dxfId="522" priority="2761" operator="lessThan">
      <formula>0</formula>
    </cfRule>
  </conditionalFormatting>
  <conditionalFormatting sqref="H10:H1048576">
    <cfRule type="cellIs" dxfId="521" priority="2760" operator="lessThan">
      <formula>0</formula>
    </cfRule>
  </conditionalFormatting>
  <conditionalFormatting sqref="H10:H1048576">
    <cfRule type="cellIs" dxfId="520" priority="2759" operator="lessThan">
      <formula>0</formula>
    </cfRule>
  </conditionalFormatting>
  <conditionalFormatting sqref="H10:H1048576">
    <cfRule type="cellIs" dxfId="519" priority="2758" operator="lessThan">
      <formula>0</formula>
    </cfRule>
  </conditionalFormatting>
  <conditionalFormatting sqref="H10:H1048576">
    <cfRule type="cellIs" dxfId="518" priority="2757" operator="lessThan">
      <formula>0</formula>
    </cfRule>
  </conditionalFormatting>
  <conditionalFormatting sqref="H10:H1048576">
    <cfRule type="cellIs" dxfId="517" priority="2756" operator="lessThan">
      <formula>0</formula>
    </cfRule>
  </conditionalFormatting>
  <conditionalFormatting sqref="H10:H1048576">
    <cfRule type="cellIs" dxfId="516" priority="2755" operator="lessThan">
      <formula>0</formula>
    </cfRule>
  </conditionalFormatting>
  <conditionalFormatting sqref="H10:H1048576">
    <cfRule type="cellIs" dxfId="515" priority="2754" operator="lessThan">
      <formula>0</formula>
    </cfRule>
  </conditionalFormatting>
  <conditionalFormatting sqref="H10:H1048576">
    <cfRule type="cellIs" dxfId="514" priority="2753" operator="lessThan">
      <formula>0</formula>
    </cfRule>
  </conditionalFormatting>
  <conditionalFormatting sqref="H10:H1048576">
    <cfRule type="cellIs" dxfId="513" priority="2752" operator="lessThan">
      <formula>0</formula>
    </cfRule>
  </conditionalFormatting>
  <conditionalFormatting sqref="H10:H1048576">
    <cfRule type="cellIs" dxfId="512" priority="2751" operator="lessThan">
      <formula>0</formula>
    </cfRule>
  </conditionalFormatting>
  <conditionalFormatting sqref="H10:H1048576">
    <cfRule type="cellIs" dxfId="511" priority="2750" operator="lessThan">
      <formula>0</formula>
    </cfRule>
  </conditionalFormatting>
  <conditionalFormatting sqref="H10:H1048576">
    <cfRule type="cellIs" dxfId="510" priority="2749" operator="lessThan">
      <formula>0</formula>
    </cfRule>
  </conditionalFormatting>
  <conditionalFormatting sqref="H10:H1048576">
    <cfRule type="cellIs" dxfId="509" priority="2748" operator="lessThan">
      <formula>0</formula>
    </cfRule>
  </conditionalFormatting>
  <conditionalFormatting sqref="H10:H1048576">
    <cfRule type="cellIs" dxfId="508" priority="2747" operator="lessThan">
      <formula>0</formula>
    </cfRule>
  </conditionalFormatting>
  <conditionalFormatting sqref="H10:H1048576">
    <cfRule type="cellIs" dxfId="507" priority="2746" operator="lessThan">
      <formula>0</formula>
    </cfRule>
  </conditionalFormatting>
  <conditionalFormatting sqref="H10:H1048576">
    <cfRule type="cellIs" dxfId="506" priority="2745" operator="lessThan">
      <formula>0</formula>
    </cfRule>
  </conditionalFormatting>
  <conditionalFormatting sqref="H10:H1048576">
    <cfRule type="cellIs" dxfId="505" priority="2744" operator="lessThan">
      <formula>0</formula>
    </cfRule>
  </conditionalFormatting>
  <conditionalFormatting sqref="H10:H1048576">
    <cfRule type="cellIs" dxfId="504" priority="2743" operator="lessThan">
      <formula>0</formula>
    </cfRule>
  </conditionalFormatting>
  <conditionalFormatting sqref="H10:H1048576">
    <cfRule type="cellIs" dxfId="503" priority="2742" operator="lessThan">
      <formula>0</formula>
    </cfRule>
  </conditionalFormatting>
  <conditionalFormatting sqref="H10:H1048576">
    <cfRule type="cellIs" dxfId="502" priority="2741" operator="lessThan">
      <formula>0</formula>
    </cfRule>
  </conditionalFormatting>
  <conditionalFormatting sqref="H10:H1048576">
    <cfRule type="cellIs" dxfId="501" priority="2740" operator="lessThan">
      <formula>0</formula>
    </cfRule>
  </conditionalFormatting>
  <conditionalFormatting sqref="H10:H1048576">
    <cfRule type="cellIs" dxfId="500" priority="2739" operator="lessThan">
      <formula>0</formula>
    </cfRule>
  </conditionalFormatting>
  <conditionalFormatting sqref="H10:H1048576">
    <cfRule type="cellIs" dxfId="499" priority="2738" operator="lessThan">
      <formula>0</formula>
    </cfRule>
  </conditionalFormatting>
  <conditionalFormatting sqref="H10:H1048576">
    <cfRule type="cellIs" dxfId="498" priority="2737" operator="lessThan">
      <formula>0</formula>
    </cfRule>
  </conditionalFormatting>
  <conditionalFormatting sqref="H10:H1048576">
    <cfRule type="cellIs" dxfId="497" priority="2736" operator="lessThan">
      <formula>0</formula>
    </cfRule>
  </conditionalFormatting>
  <conditionalFormatting sqref="H10:H1048576">
    <cfRule type="cellIs" dxfId="496" priority="2735" operator="lessThan">
      <formula>0</formula>
    </cfRule>
  </conditionalFormatting>
  <conditionalFormatting sqref="H10:H1048576">
    <cfRule type="cellIs" dxfId="495" priority="2734" operator="lessThan">
      <formula>0</formula>
    </cfRule>
  </conditionalFormatting>
  <conditionalFormatting sqref="H10:H1048576">
    <cfRule type="cellIs" dxfId="494" priority="2733" operator="lessThan">
      <formula>0</formula>
    </cfRule>
  </conditionalFormatting>
  <conditionalFormatting sqref="H10:H1048576">
    <cfRule type="cellIs" dxfId="493" priority="2732" operator="lessThan">
      <formula>0</formula>
    </cfRule>
  </conditionalFormatting>
  <conditionalFormatting sqref="H10:H1048576">
    <cfRule type="cellIs" dxfId="492" priority="2731" operator="lessThan">
      <formula>0</formula>
    </cfRule>
  </conditionalFormatting>
  <conditionalFormatting sqref="H10:H1048576">
    <cfRule type="cellIs" dxfId="491" priority="2730" operator="lessThan">
      <formula>0</formula>
    </cfRule>
  </conditionalFormatting>
  <conditionalFormatting sqref="H10:H1048576">
    <cfRule type="cellIs" dxfId="490" priority="2729" operator="lessThan">
      <formula>0</formula>
    </cfRule>
  </conditionalFormatting>
  <conditionalFormatting sqref="H10:H1048576">
    <cfRule type="cellIs" dxfId="489" priority="2728" operator="lessThan">
      <formula>0</formula>
    </cfRule>
  </conditionalFormatting>
  <conditionalFormatting sqref="H10:H1048576">
    <cfRule type="cellIs" dxfId="488" priority="2727" operator="lessThan">
      <formula>0</formula>
    </cfRule>
  </conditionalFormatting>
  <conditionalFormatting sqref="H10:H1048576">
    <cfRule type="cellIs" dxfId="487" priority="2726" operator="lessThan">
      <formula>0</formula>
    </cfRule>
  </conditionalFormatting>
  <conditionalFormatting sqref="H10:H1048576">
    <cfRule type="cellIs" dxfId="486" priority="2725" operator="lessThan">
      <formula>0</formula>
    </cfRule>
  </conditionalFormatting>
  <conditionalFormatting sqref="H10:H1048576">
    <cfRule type="cellIs" dxfId="485" priority="2724" operator="lessThan">
      <formula>0</formula>
    </cfRule>
  </conditionalFormatting>
  <conditionalFormatting sqref="H10:H1048576">
    <cfRule type="cellIs" dxfId="484" priority="2723" operator="lessThan">
      <formula>0</formula>
    </cfRule>
  </conditionalFormatting>
  <conditionalFormatting sqref="H10:H1048576">
    <cfRule type="cellIs" dxfId="483" priority="2722" operator="lessThan">
      <formula>0</formula>
    </cfRule>
  </conditionalFormatting>
  <conditionalFormatting sqref="H10:H1048576">
    <cfRule type="cellIs" dxfId="482" priority="2721" operator="lessThan">
      <formula>0</formula>
    </cfRule>
  </conditionalFormatting>
  <conditionalFormatting sqref="H10:H1048576">
    <cfRule type="cellIs" dxfId="481" priority="2720" operator="lessThan">
      <formula>0</formula>
    </cfRule>
  </conditionalFormatting>
  <conditionalFormatting sqref="H10:H1048576">
    <cfRule type="cellIs" dxfId="480" priority="2719" operator="lessThan">
      <formula>0</formula>
    </cfRule>
  </conditionalFormatting>
  <conditionalFormatting sqref="H10:H1048576">
    <cfRule type="cellIs" dxfId="479" priority="2718" operator="lessThan">
      <formula>0</formula>
    </cfRule>
  </conditionalFormatting>
  <conditionalFormatting sqref="H10:H1048576">
    <cfRule type="cellIs" dxfId="478" priority="2717" operator="lessThan">
      <formula>0</formula>
    </cfRule>
  </conditionalFormatting>
  <conditionalFormatting sqref="H10:H1048576">
    <cfRule type="cellIs" dxfId="477" priority="2716" operator="lessThan">
      <formula>0</formula>
    </cfRule>
  </conditionalFormatting>
  <conditionalFormatting sqref="H10:H1048576">
    <cfRule type="cellIs" dxfId="476" priority="2715" operator="lessThan">
      <formula>0</formula>
    </cfRule>
  </conditionalFormatting>
  <conditionalFormatting sqref="H10:H1048576">
    <cfRule type="cellIs" dxfId="475" priority="2714" operator="lessThan">
      <formula>0</formula>
    </cfRule>
  </conditionalFormatting>
  <conditionalFormatting sqref="H10:H1048576">
    <cfRule type="cellIs" dxfId="474" priority="2713" operator="lessThan">
      <formula>0</formula>
    </cfRule>
  </conditionalFormatting>
  <conditionalFormatting sqref="H10:H1048576">
    <cfRule type="cellIs" dxfId="473" priority="2712" operator="lessThan">
      <formula>0</formula>
    </cfRule>
  </conditionalFormatting>
  <conditionalFormatting sqref="H10:H1048576">
    <cfRule type="cellIs" dxfId="472" priority="2711" operator="lessThan">
      <formula>0</formula>
    </cfRule>
  </conditionalFormatting>
  <conditionalFormatting sqref="H10:H1048576">
    <cfRule type="cellIs" dxfId="471" priority="2710" operator="lessThan">
      <formula>0</formula>
    </cfRule>
  </conditionalFormatting>
  <conditionalFormatting sqref="H10:H1048576">
    <cfRule type="cellIs" dxfId="470" priority="2709" operator="lessThan">
      <formula>0</formula>
    </cfRule>
  </conditionalFormatting>
  <conditionalFormatting sqref="H10:H1048576">
    <cfRule type="cellIs" dxfId="469" priority="2708" operator="lessThan">
      <formula>0</formula>
    </cfRule>
  </conditionalFormatting>
  <conditionalFormatting sqref="H10:H1048576">
    <cfRule type="cellIs" dxfId="468" priority="2707" operator="lessThan">
      <formula>0</formula>
    </cfRule>
  </conditionalFormatting>
  <conditionalFormatting sqref="H10:H1048576">
    <cfRule type="cellIs" dxfId="467" priority="2706" operator="lessThan">
      <formula>0</formula>
    </cfRule>
  </conditionalFormatting>
  <conditionalFormatting sqref="H10:H1048576">
    <cfRule type="cellIs" dxfId="466" priority="2705" operator="lessThan">
      <formula>0</formula>
    </cfRule>
  </conditionalFormatting>
  <conditionalFormatting sqref="H10:H1048576">
    <cfRule type="cellIs" dxfId="465" priority="2704" operator="lessThan">
      <formula>0</formula>
    </cfRule>
  </conditionalFormatting>
  <conditionalFormatting sqref="H10:H1048576">
    <cfRule type="cellIs" dxfId="464" priority="2703" operator="lessThan">
      <formula>0</formula>
    </cfRule>
  </conditionalFormatting>
  <conditionalFormatting sqref="H10:H1048576">
    <cfRule type="cellIs" dxfId="463" priority="2702" operator="lessThan">
      <formula>0</formula>
    </cfRule>
  </conditionalFormatting>
  <conditionalFormatting sqref="H10:H1048576">
    <cfRule type="cellIs" dxfId="462" priority="2701" operator="lessThan">
      <formula>0</formula>
    </cfRule>
  </conditionalFormatting>
  <conditionalFormatting sqref="H10:H1048576">
    <cfRule type="cellIs" dxfId="461" priority="2700" operator="lessThan">
      <formula>0</formula>
    </cfRule>
  </conditionalFormatting>
  <conditionalFormatting sqref="H10:H1048576">
    <cfRule type="cellIs" dxfId="460" priority="2699" operator="lessThan">
      <formula>0</formula>
    </cfRule>
  </conditionalFormatting>
  <conditionalFormatting sqref="H10:H1048576">
    <cfRule type="cellIs" dxfId="459" priority="2698" operator="lessThan">
      <formula>0</formula>
    </cfRule>
  </conditionalFormatting>
  <conditionalFormatting sqref="H10:H1048576">
    <cfRule type="cellIs" dxfId="458" priority="2697" operator="lessThan">
      <formula>0</formula>
    </cfRule>
  </conditionalFormatting>
  <conditionalFormatting sqref="H10:H1048576">
    <cfRule type="cellIs" dxfId="457" priority="2696" operator="lessThan">
      <formula>0</formula>
    </cfRule>
  </conditionalFormatting>
  <conditionalFormatting sqref="H10:H1048576">
    <cfRule type="cellIs" dxfId="456" priority="2695" operator="lessThan">
      <formula>0</formula>
    </cfRule>
  </conditionalFormatting>
  <conditionalFormatting sqref="H10:H1048576">
    <cfRule type="cellIs" dxfId="455" priority="2694" operator="lessThan">
      <formula>0</formula>
    </cfRule>
  </conditionalFormatting>
  <conditionalFormatting sqref="H10:H1048576">
    <cfRule type="cellIs" dxfId="454" priority="2693" operator="lessThan">
      <formula>0</formula>
    </cfRule>
  </conditionalFormatting>
  <conditionalFormatting sqref="H10:H1048576">
    <cfRule type="cellIs" dxfId="453" priority="2692" operator="lessThan">
      <formula>0</formula>
    </cfRule>
  </conditionalFormatting>
  <conditionalFormatting sqref="H10:H1048576">
    <cfRule type="cellIs" dxfId="452" priority="2691" operator="lessThan">
      <formula>0</formula>
    </cfRule>
  </conditionalFormatting>
  <conditionalFormatting sqref="H10:H1048576">
    <cfRule type="cellIs" dxfId="451" priority="2690" operator="lessThan">
      <formula>0</formula>
    </cfRule>
  </conditionalFormatting>
  <conditionalFormatting sqref="H10:H1048576">
    <cfRule type="cellIs" dxfId="450" priority="2689" operator="lessThan">
      <formula>0</formula>
    </cfRule>
  </conditionalFormatting>
  <conditionalFormatting sqref="H10:H1048576">
    <cfRule type="cellIs" dxfId="449" priority="2688" operator="lessThan">
      <formula>0</formula>
    </cfRule>
  </conditionalFormatting>
  <conditionalFormatting sqref="H10:H1048576">
    <cfRule type="cellIs" dxfId="448" priority="2687" operator="lessThan">
      <formula>0</formula>
    </cfRule>
  </conditionalFormatting>
  <conditionalFormatting sqref="H10:H1048576">
    <cfRule type="cellIs" dxfId="447" priority="2686" operator="lessThan">
      <formula>0</formula>
    </cfRule>
  </conditionalFormatting>
  <conditionalFormatting sqref="H10:H1048576">
    <cfRule type="cellIs" dxfId="446" priority="2685" operator="lessThan">
      <formula>0</formula>
    </cfRule>
  </conditionalFormatting>
  <conditionalFormatting sqref="H10:H1048576">
    <cfRule type="cellIs" dxfId="445" priority="2684" operator="lessThan">
      <formula>0</formula>
    </cfRule>
  </conditionalFormatting>
  <conditionalFormatting sqref="H10:H1048576">
    <cfRule type="cellIs" dxfId="444" priority="2683" operator="lessThan">
      <formula>0</formula>
    </cfRule>
  </conditionalFormatting>
  <conditionalFormatting sqref="H10:H1048576">
    <cfRule type="cellIs" dxfId="443" priority="2682" operator="lessThan">
      <formula>0</formula>
    </cfRule>
  </conditionalFormatting>
  <conditionalFormatting sqref="H10:H1048576">
    <cfRule type="cellIs" dxfId="442" priority="2681" operator="lessThan">
      <formula>0</formula>
    </cfRule>
  </conditionalFormatting>
  <conditionalFormatting sqref="H10:H1048576">
    <cfRule type="cellIs" dxfId="441" priority="2680" operator="lessThan">
      <formula>0</formula>
    </cfRule>
  </conditionalFormatting>
  <conditionalFormatting sqref="H10:H1048576">
    <cfRule type="cellIs" dxfId="440" priority="2679" operator="lessThan">
      <formula>0</formula>
    </cfRule>
  </conditionalFormatting>
  <conditionalFormatting sqref="H10:H1048576">
    <cfRule type="cellIs" dxfId="439" priority="2678" operator="lessThan">
      <formula>0</formula>
    </cfRule>
  </conditionalFormatting>
  <conditionalFormatting sqref="H10:H1048576">
    <cfRule type="cellIs" dxfId="438" priority="2677" operator="lessThan">
      <formula>0</formula>
    </cfRule>
  </conditionalFormatting>
  <conditionalFormatting sqref="H10:H1048576">
    <cfRule type="cellIs" dxfId="437" priority="2676" operator="lessThan">
      <formula>0</formula>
    </cfRule>
  </conditionalFormatting>
  <conditionalFormatting sqref="H10:H1048576">
    <cfRule type="cellIs" dxfId="436" priority="2675" operator="lessThan">
      <formula>0</formula>
    </cfRule>
  </conditionalFormatting>
  <conditionalFormatting sqref="H10:H1048576">
    <cfRule type="cellIs" dxfId="435" priority="2674" operator="lessThan">
      <formula>0</formula>
    </cfRule>
  </conditionalFormatting>
  <conditionalFormatting sqref="H10:H1048576">
    <cfRule type="cellIs" dxfId="434" priority="2673" operator="lessThan">
      <formula>0</formula>
    </cfRule>
  </conditionalFormatting>
  <conditionalFormatting sqref="H10:H1048576">
    <cfRule type="cellIs" dxfId="433" priority="2672" operator="lessThan">
      <formula>0</formula>
    </cfRule>
  </conditionalFormatting>
  <conditionalFormatting sqref="H10:H1048576">
    <cfRule type="cellIs" dxfId="432" priority="2671" operator="lessThan">
      <formula>0</formula>
    </cfRule>
  </conditionalFormatting>
  <conditionalFormatting sqref="H10:H1048576">
    <cfRule type="cellIs" dxfId="431" priority="2670" operator="lessThan">
      <formula>0</formula>
    </cfRule>
  </conditionalFormatting>
  <conditionalFormatting sqref="H10:H1048576">
    <cfRule type="cellIs" dxfId="430" priority="2669" operator="lessThan">
      <formula>0</formula>
    </cfRule>
  </conditionalFormatting>
  <conditionalFormatting sqref="H10:H1048576">
    <cfRule type="cellIs" dxfId="429" priority="2668" operator="lessThan">
      <formula>0</formula>
    </cfRule>
  </conditionalFormatting>
  <conditionalFormatting sqref="H10:H1048576">
    <cfRule type="cellIs" dxfId="428" priority="2667" operator="lessThan">
      <formula>0</formula>
    </cfRule>
  </conditionalFormatting>
  <conditionalFormatting sqref="H10:H1048576">
    <cfRule type="cellIs" dxfId="427" priority="2666" operator="lessThan">
      <formula>0</formula>
    </cfRule>
  </conditionalFormatting>
  <conditionalFormatting sqref="H10:H1048576">
    <cfRule type="cellIs" dxfId="426" priority="2665" operator="lessThan">
      <formula>0</formula>
    </cfRule>
  </conditionalFormatting>
  <conditionalFormatting sqref="H10:H1048576">
    <cfRule type="cellIs" dxfId="425" priority="2664" operator="lessThan">
      <formula>0</formula>
    </cfRule>
  </conditionalFormatting>
  <conditionalFormatting sqref="H10:H1048576">
    <cfRule type="cellIs" dxfId="424" priority="2663" operator="lessThan">
      <formula>0</formula>
    </cfRule>
  </conditionalFormatting>
  <conditionalFormatting sqref="H10:H1048576">
    <cfRule type="cellIs" dxfId="423" priority="2662" operator="lessThan">
      <formula>0</formula>
    </cfRule>
  </conditionalFormatting>
  <conditionalFormatting sqref="H10:H1048576">
    <cfRule type="cellIs" dxfId="422" priority="2661" operator="lessThan">
      <formula>0</formula>
    </cfRule>
  </conditionalFormatting>
  <conditionalFormatting sqref="H10:H1048576">
    <cfRule type="cellIs" dxfId="421" priority="2660" operator="lessThan">
      <formula>0</formula>
    </cfRule>
  </conditionalFormatting>
  <conditionalFormatting sqref="H10:H1048576">
    <cfRule type="cellIs" dxfId="420" priority="2659" operator="lessThan">
      <formula>0</formula>
    </cfRule>
  </conditionalFormatting>
  <conditionalFormatting sqref="H10:H1048576">
    <cfRule type="cellIs" dxfId="419" priority="2658" operator="lessThan">
      <formula>0</formula>
    </cfRule>
  </conditionalFormatting>
  <conditionalFormatting sqref="H10:H1048576">
    <cfRule type="cellIs" dxfId="418" priority="2657" operator="lessThan">
      <formula>0</formula>
    </cfRule>
  </conditionalFormatting>
  <conditionalFormatting sqref="H10:H1048576">
    <cfRule type="cellIs" dxfId="417" priority="2656" operator="lessThan">
      <formula>0</formula>
    </cfRule>
  </conditionalFormatting>
  <conditionalFormatting sqref="H10:H1048576">
    <cfRule type="cellIs" dxfId="416" priority="2655" operator="lessThan">
      <formula>0</formula>
    </cfRule>
  </conditionalFormatting>
  <conditionalFormatting sqref="H10:H1048576">
    <cfRule type="cellIs" dxfId="415" priority="2654" operator="lessThan">
      <formula>0</formula>
    </cfRule>
  </conditionalFormatting>
  <conditionalFormatting sqref="H10:H1048576">
    <cfRule type="cellIs" dxfId="414" priority="2653" operator="lessThan">
      <formula>0</formula>
    </cfRule>
  </conditionalFormatting>
  <conditionalFormatting sqref="H10:H1048576">
    <cfRule type="cellIs" dxfId="413" priority="2652" operator="lessThan">
      <formula>0</formula>
    </cfRule>
  </conditionalFormatting>
  <conditionalFormatting sqref="H10:H1048576">
    <cfRule type="cellIs" dxfId="412" priority="2651" operator="lessThan">
      <formula>0</formula>
    </cfRule>
  </conditionalFormatting>
  <conditionalFormatting sqref="H10:H1048576">
    <cfRule type="cellIs" dxfId="411" priority="2650" operator="lessThan">
      <formula>0</formula>
    </cfRule>
  </conditionalFormatting>
  <conditionalFormatting sqref="H10:H1048576">
    <cfRule type="cellIs" dxfId="410" priority="2649" operator="lessThan">
      <formula>0</formula>
    </cfRule>
  </conditionalFormatting>
  <conditionalFormatting sqref="H10:H1048576">
    <cfRule type="cellIs" dxfId="409" priority="2648" operator="lessThan">
      <formula>0</formula>
    </cfRule>
  </conditionalFormatting>
  <conditionalFormatting sqref="H10:H1048576">
    <cfRule type="cellIs" dxfId="408" priority="2647" operator="lessThan">
      <formula>0</formula>
    </cfRule>
  </conditionalFormatting>
  <conditionalFormatting sqref="H10:H1048576">
    <cfRule type="cellIs" dxfId="407" priority="2646" operator="lessThan">
      <formula>0</formula>
    </cfRule>
  </conditionalFormatting>
  <conditionalFormatting sqref="H10:H1048576">
    <cfRule type="cellIs" dxfId="406" priority="2645" operator="lessThan">
      <formula>0</formula>
    </cfRule>
  </conditionalFormatting>
  <conditionalFormatting sqref="H10:H1048576">
    <cfRule type="cellIs" dxfId="405" priority="2644" operator="lessThan">
      <formula>0</formula>
    </cfRule>
  </conditionalFormatting>
  <conditionalFormatting sqref="H10:H1048576">
    <cfRule type="cellIs" dxfId="404" priority="2643" operator="lessThan">
      <formula>0</formula>
    </cfRule>
  </conditionalFormatting>
  <conditionalFormatting sqref="H10:H1048576">
    <cfRule type="cellIs" dxfId="403" priority="2642" operator="lessThan">
      <formula>0</formula>
    </cfRule>
  </conditionalFormatting>
  <conditionalFormatting sqref="H10:H1048576">
    <cfRule type="cellIs" dxfId="402" priority="2641" operator="lessThan">
      <formula>0</formula>
    </cfRule>
  </conditionalFormatting>
  <conditionalFormatting sqref="H10:H1048576">
    <cfRule type="cellIs" dxfId="401" priority="2640" operator="lessThan">
      <formula>0</formula>
    </cfRule>
  </conditionalFormatting>
  <conditionalFormatting sqref="H10:H1048576">
    <cfRule type="cellIs" dxfId="400" priority="2639" operator="lessThan">
      <formula>0</formula>
    </cfRule>
  </conditionalFormatting>
  <conditionalFormatting sqref="H10:H1048576">
    <cfRule type="cellIs" dxfId="399" priority="2638" operator="lessThan">
      <formula>0</formula>
    </cfRule>
  </conditionalFormatting>
  <conditionalFormatting sqref="H10:H1048576">
    <cfRule type="cellIs" dxfId="398" priority="2637" operator="lessThan">
      <formula>0</formula>
    </cfRule>
  </conditionalFormatting>
  <conditionalFormatting sqref="H10:H1048576">
    <cfRule type="cellIs" dxfId="397" priority="2636" operator="lessThan">
      <formula>0</formula>
    </cfRule>
  </conditionalFormatting>
  <conditionalFormatting sqref="H10:H1048576">
    <cfRule type="cellIs" dxfId="396" priority="2635" operator="lessThan">
      <formula>0</formula>
    </cfRule>
  </conditionalFormatting>
  <conditionalFormatting sqref="H10:H1048576">
    <cfRule type="cellIs" dxfId="395" priority="2634" operator="lessThan">
      <formula>0</formula>
    </cfRule>
  </conditionalFormatting>
  <conditionalFormatting sqref="H10:H1048576">
    <cfRule type="cellIs" dxfId="394" priority="2633" operator="lessThan">
      <formula>0</formula>
    </cfRule>
  </conditionalFormatting>
  <conditionalFormatting sqref="H10:H1048576">
    <cfRule type="cellIs" dxfId="393" priority="2632" operator="lessThan">
      <formula>0</formula>
    </cfRule>
  </conditionalFormatting>
  <conditionalFormatting sqref="H10:H1048576">
    <cfRule type="cellIs" dxfId="392" priority="2631" operator="lessThan">
      <formula>0</formula>
    </cfRule>
  </conditionalFormatting>
  <conditionalFormatting sqref="H10:H1048576">
    <cfRule type="cellIs" dxfId="391" priority="2630" operator="lessThan">
      <formula>0</formula>
    </cfRule>
  </conditionalFormatting>
  <conditionalFormatting sqref="H10:H1048576">
    <cfRule type="cellIs" dxfId="390" priority="2629" operator="lessThan">
      <formula>0</formula>
    </cfRule>
  </conditionalFormatting>
  <conditionalFormatting sqref="H10:H1048576">
    <cfRule type="cellIs" dxfId="389" priority="2628" operator="lessThan">
      <formula>0</formula>
    </cfRule>
  </conditionalFormatting>
  <conditionalFormatting sqref="H10:H1048576">
    <cfRule type="cellIs" dxfId="388" priority="2627" operator="lessThan">
      <formula>0</formula>
    </cfRule>
  </conditionalFormatting>
  <conditionalFormatting sqref="H10:H1048576">
    <cfRule type="cellIs" dxfId="387" priority="2626" operator="lessThan">
      <formula>0</formula>
    </cfRule>
  </conditionalFormatting>
  <conditionalFormatting sqref="H10:H1048576">
    <cfRule type="cellIs" dxfId="386" priority="2625" operator="lessThan">
      <formula>0</formula>
    </cfRule>
  </conditionalFormatting>
  <conditionalFormatting sqref="H10:H1048576">
    <cfRule type="cellIs" dxfId="385" priority="2624" operator="lessThan">
      <formula>0</formula>
    </cfRule>
  </conditionalFormatting>
  <conditionalFormatting sqref="H10:H1048576">
    <cfRule type="cellIs" dxfId="384" priority="2623" operator="lessThan">
      <formula>0</formula>
    </cfRule>
  </conditionalFormatting>
  <conditionalFormatting sqref="H10:H1048576">
    <cfRule type="cellIs" dxfId="383" priority="2622" operator="lessThan">
      <formula>0</formula>
    </cfRule>
  </conditionalFormatting>
  <conditionalFormatting sqref="H10:H1048576">
    <cfRule type="cellIs" dxfId="382" priority="2621" operator="lessThan">
      <formula>0</formula>
    </cfRule>
  </conditionalFormatting>
  <conditionalFormatting sqref="H10:H1048576">
    <cfRule type="cellIs" dxfId="381" priority="2620" operator="lessThan">
      <formula>0</formula>
    </cfRule>
  </conditionalFormatting>
  <conditionalFormatting sqref="H10:H1048576">
    <cfRule type="cellIs" dxfId="380" priority="2619" operator="lessThan">
      <formula>0</formula>
    </cfRule>
  </conditionalFormatting>
  <conditionalFormatting sqref="H10:H1048576">
    <cfRule type="cellIs" dxfId="379" priority="2618" operator="lessThan">
      <formula>0</formula>
    </cfRule>
  </conditionalFormatting>
  <conditionalFormatting sqref="H10:H1048576">
    <cfRule type="cellIs" dxfId="378" priority="2617" operator="lessThan">
      <formula>0</formula>
    </cfRule>
  </conditionalFormatting>
  <conditionalFormatting sqref="H10:H1048576">
    <cfRule type="cellIs" dxfId="377" priority="2616" operator="lessThan">
      <formula>0</formula>
    </cfRule>
  </conditionalFormatting>
  <conditionalFormatting sqref="H10:H1048576">
    <cfRule type="cellIs" dxfId="376" priority="2615" operator="lessThan">
      <formula>0</formula>
    </cfRule>
  </conditionalFormatting>
  <conditionalFormatting sqref="H10:H1048576">
    <cfRule type="cellIs" dxfId="375" priority="2614" operator="lessThan">
      <formula>0</formula>
    </cfRule>
  </conditionalFormatting>
  <conditionalFormatting sqref="H10:H1048576">
    <cfRule type="cellIs" dxfId="374" priority="2613" operator="lessThan">
      <formula>0</formula>
    </cfRule>
  </conditionalFormatting>
  <conditionalFormatting sqref="H10:H1048576">
    <cfRule type="cellIs" dxfId="373" priority="2612" operator="lessThan">
      <formula>0</formula>
    </cfRule>
  </conditionalFormatting>
  <conditionalFormatting sqref="H10:H1048576">
    <cfRule type="cellIs" dxfId="372" priority="2611" operator="lessThan">
      <formula>0</formula>
    </cfRule>
  </conditionalFormatting>
  <conditionalFormatting sqref="H10:H1048576">
    <cfRule type="cellIs" dxfId="371" priority="2610" operator="lessThan">
      <formula>0</formula>
    </cfRule>
  </conditionalFormatting>
  <conditionalFormatting sqref="H10:H1048576">
    <cfRule type="cellIs" dxfId="370" priority="2609" operator="lessThan">
      <formula>0</formula>
    </cfRule>
  </conditionalFormatting>
  <conditionalFormatting sqref="H10:H1048576">
    <cfRule type="cellIs" dxfId="369" priority="2608" operator="lessThan">
      <formula>0</formula>
    </cfRule>
  </conditionalFormatting>
  <conditionalFormatting sqref="H10:H1048576">
    <cfRule type="cellIs" dxfId="368" priority="2607" operator="lessThan">
      <formula>0</formula>
    </cfRule>
  </conditionalFormatting>
  <conditionalFormatting sqref="H10:H1048576">
    <cfRule type="cellIs" dxfId="367" priority="2606" operator="lessThan">
      <formula>0</formula>
    </cfRule>
  </conditionalFormatting>
  <conditionalFormatting sqref="H10:H1048576">
    <cfRule type="cellIs" dxfId="366" priority="2605" operator="lessThan">
      <formula>0</formula>
    </cfRule>
  </conditionalFormatting>
  <conditionalFormatting sqref="H10:H1048576">
    <cfRule type="cellIs" dxfId="365" priority="2604" operator="lessThan">
      <formula>0</formula>
    </cfRule>
  </conditionalFormatting>
  <conditionalFormatting sqref="H10:H1048576">
    <cfRule type="cellIs" dxfId="364" priority="2603" operator="lessThan">
      <formula>0</formula>
    </cfRule>
  </conditionalFormatting>
  <conditionalFormatting sqref="H10:H1048576">
    <cfRule type="cellIs" dxfId="363" priority="2602" operator="lessThan">
      <formula>0</formula>
    </cfRule>
  </conditionalFormatting>
  <conditionalFormatting sqref="H10:H1048576">
    <cfRule type="cellIs" dxfId="362" priority="2601" operator="lessThan">
      <formula>0</formula>
    </cfRule>
  </conditionalFormatting>
  <conditionalFormatting sqref="H10:H1048576">
    <cfRule type="cellIs" dxfId="361" priority="2600" operator="lessThan">
      <formula>0</formula>
    </cfRule>
  </conditionalFormatting>
  <conditionalFormatting sqref="H10:H1048576">
    <cfRule type="cellIs" dxfId="360" priority="2599" operator="lessThan">
      <formula>0</formula>
    </cfRule>
  </conditionalFormatting>
  <conditionalFormatting sqref="H10:H1048576">
    <cfRule type="cellIs" dxfId="359" priority="2598" operator="lessThan">
      <formula>0</formula>
    </cfRule>
  </conditionalFormatting>
  <conditionalFormatting sqref="H10:H1048576">
    <cfRule type="cellIs" dxfId="358" priority="2597" operator="lessThan">
      <formula>0</formula>
    </cfRule>
  </conditionalFormatting>
  <conditionalFormatting sqref="H10:H1048576">
    <cfRule type="cellIs" dxfId="357" priority="2596" operator="lessThan">
      <formula>0</formula>
    </cfRule>
  </conditionalFormatting>
  <conditionalFormatting sqref="H10:H1048576">
    <cfRule type="cellIs" dxfId="356" priority="2595" operator="lessThan">
      <formula>0</formula>
    </cfRule>
  </conditionalFormatting>
  <conditionalFormatting sqref="H10:H1048576">
    <cfRule type="cellIs" dxfId="355" priority="2594" operator="lessThan">
      <formula>0</formula>
    </cfRule>
  </conditionalFormatting>
  <conditionalFormatting sqref="H10:H1048576">
    <cfRule type="cellIs" dxfId="354" priority="2593" operator="lessThan">
      <formula>0</formula>
    </cfRule>
  </conditionalFormatting>
  <conditionalFormatting sqref="H10:H1048576">
    <cfRule type="cellIs" dxfId="353" priority="2592" operator="lessThan">
      <formula>0</formula>
    </cfRule>
  </conditionalFormatting>
  <conditionalFormatting sqref="H10:H1048576">
    <cfRule type="cellIs" dxfId="352" priority="2591" operator="lessThan">
      <formula>0</formula>
    </cfRule>
  </conditionalFormatting>
  <conditionalFormatting sqref="H10:H1048576">
    <cfRule type="cellIs" dxfId="351" priority="2590" operator="lessThan">
      <formula>0</formula>
    </cfRule>
  </conditionalFormatting>
  <conditionalFormatting sqref="H10:H1048576">
    <cfRule type="cellIs" dxfId="350" priority="2589" operator="lessThan">
      <formula>0</formula>
    </cfRule>
  </conditionalFormatting>
  <conditionalFormatting sqref="H10:H1048576">
    <cfRule type="cellIs" dxfId="349" priority="2588" operator="lessThan">
      <formula>0</formula>
    </cfRule>
  </conditionalFormatting>
  <conditionalFormatting sqref="H10:H1048576">
    <cfRule type="cellIs" dxfId="348" priority="2587" operator="lessThan">
      <formula>0</formula>
    </cfRule>
  </conditionalFormatting>
  <conditionalFormatting sqref="H10:H1048576">
    <cfRule type="cellIs" dxfId="347" priority="2586" operator="lessThan">
      <formula>0</formula>
    </cfRule>
  </conditionalFormatting>
  <conditionalFormatting sqref="H10:H1048576">
    <cfRule type="cellIs" dxfId="346" priority="2585" operator="lessThan">
      <formula>0</formula>
    </cfRule>
  </conditionalFormatting>
  <conditionalFormatting sqref="H10:H1048576">
    <cfRule type="cellIs" dxfId="345" priority="2584" operator="lessThan">
      <formula>0</formula>
    </cfRule>
  </conditionalFormatting>
  <conditionalFormatting sqref="H10:H1048576">
    <cfRule type="cellIs" dxfId="344" priority="2583" operator="lessThan">
      <formula>0</formula>
    </cfRule>
  </conditionalFormatting>
  <conditionalFormatting sqref="H10:H1048576">
    <cfRule type="cellIs" dxfId="343" priority="2582" operator="lessThan">
      <formula>0</formula>
    </cfRule>
  </conditionalFormatting>
  <conditionalFormatting sqref="H10:H1048576">
    <cfRule type="cellIs" dxfId="342" priority="2581" operator="lessThan">
      <formula>0</formula>
    </cfRule>
  </conditionalFormatting>
  <conditionalFormatting sqref="H10:H1048576">
    <cfRule type="cellIs" dxfId="341" priority="2580" operator="lessThan">
      <formula>0</formula>
    </cfRule>
  </conditionalFormatting>
  <conditionalFormatting sqref="H10:H1048576">
    <cfRule type="cellIs" dxfId="340" priority="2579" operator="lessThan">
      <formula>0</formula>
    </cfRule>
  </conditionalFormatting>
  <conditionalFormatting sqref="H10:H1048576">
    <cfRule type="cellIs" dxfId="339" priority="2578" operator="lessThan">
      <formula>0</formula>
    </cfRule>
  </conditionalFormatting>
  <conditionalFormatting sqref="H10:H1048576">
    <cfRule type="cellIs" dxfId="338" priority="2577" operator="lessThan">
      <formula>0</formula>
    </cfRule>
  </conditionalFormatting>
  <conditionalFormatting sqref="H10:H1048576">
    <cfRule type="cellIs" dxfId="337" priority="2576" operator="lessThan">
      <formula>0</formula>
    </cfRule>
  </conditionalFormatting>
  <conditionalFormatting sqref="H10:H1048576">
    <cfRule type="cellIs" dxfId="336" priority="2575" operator="lessThan">
      <formula>0</formula>
    </cfRule>
  </conditionalFormatting>
  <conditionalFormatting sqref="H10:H1048576">
    <cfRule type="cellIs" dxfId="335" priority="2574" operator="lessThan">
      <formula>0</formula>
    </cfRule>
  </conditionalFormatting>
  <conditionalFormatting sqref="H10:H1048576">
    <cfRule type="cellIs" dxfId="334" priority="2573" operator="lessThan">
      <formula>0</formula>
    </cfRule>
  </conditionalFormatting>
  <conditionalFormatting sqref="H10:H1048576">
    <cfRule type="cellIs" dxfId="333" priority="2572" operator="lessThan">
      <formula>0</formula>
    </cfRule>
  </conditionalFormatting>
  <conditionalFormatting sqref="H10:H1048576">
    <cfRule type="cellIs" dxfId="332" priority="2571" operator="lessThan">
      <formula>0</formula>
    </cfRule>
  </conditionalFormatting>
  <conditionalFormatting sqref="H10:H1048576">
    <cfRule type="cellIs" dxfId="331" priority="2570" operator="lessThan">
      <formula>0</formula>
    </cfRule>
  </conditionalFormatting>
  <conditionalFormatting sqref="H10:H1048576">
    <cfRule type="cellIs" dxfId="330" priority="2569" operator="lessThan">
      <formula>0</formula>
    </cfRule>
  </conditionalFormatting>
  <conditionalFormatting sqref="H10:H1048576">
    <cfRule type="cellIs" dxfId="329" priority="2568" operator="lessThan">
      <formula>0</formula>
    </cfRule>
  </conditionalFormatting>
  <conditionalFormatting sqref="H10:H1048576">
    <cfRule type="cellIs" dxfId="328" priority="2567" operator="lessThan">
      <formula>0</formula>
    </cfRule>
  </conditionalFormatting>
  <conditionalFormatting sqref="H10:H1048576">
    <cfRule type="cellIs" dxfId="327" priority="2566" operator="lessThan">
      <formula>0</formula>
    </cfRule>
  </conditionalFormatting>
  <conditionalFormatting sqref="H10:H1048576">
    <cfRule type="cellIs" dxfId="326" priority="2565" operator="lessThan">
      <formula>0</formula>
    </cfRule>
  </conditionalFormatting>
  <conditionalFormatting sqref="H10:H1048576">
    <cfRule type="cellIs" dxfId="325" priority="2564" operator="lessThan">
      <formula>0</formula>
    </cfRule>
  </conditionalFormatting>
  <conditionalFormatting sqref="H10:H1048576">
    <cfRule type="cellIs" dxfId="324" priority="2563" operator="lessThan">
      <formula>0</formula>
    </cfRule>
  </conditionalFormatting>
  <conditionalFormatting sqref="H10:H1048576">
    <cfRule type="cellIs" dxfId="323" priority="2562" operator="lessThan">
      <formula>0</formula>
    </cfRule>
  </conditionalFormatting>
  <conditionalFormatting sqref="H10:H1048576">
    <cfRule type="cellIs" dxfId="322" priority="2561" operator="lessThan">
      <formula>0</formula>
    </cfRule>
  </conditionalFormatting>
  <conditionalFormatting sqref="H10:H1048576">
    <cfRule type="cellIs" dxfId="321" priority="2560" operator="lessThan">
      <formula>0</formula>
    </cfRule>
  </conditionalFormatting>
  <conditionalFormatting sqref="H10:H1048576">
    <cfRule type="cellIs" dxfId="320" priority="2559" operator="lessThan">
      <formula>0</formula>
    </cfRule>
  </conditionalFormatting>
  <conditionalFormatting sqref="H10:H1048576">
    <cfRule type="cellIs" dxfId="319" priority="2558" operator="lessThan">
      <formula>0</formula>
    </cfRule>
  </conditionalFormatting>
  <conditionalFormatting sqref="H10:H1048576">
    <cfRule type="cellIs" dxfId="318" priority="2557" operator="lessThan">
      <formula>0</formula>
    </cfRule>
  </conditionalFormatting>
  <conditionalFormatting sqref="H10:H1048576">
    <cfRule type="cellIs" dxfId="317" priority="2556" operator="lessThan">
      <formula>0</formula>
    </cfRule>
  </conditionalFormatting>
  <conditionalFormatting sqref="H10:H1048576">
    <cfRule type="cellIs" dxfId="316" priority="2555" operator="lessThan">
      <formula>0</formula>
    </cfRule>
  </conditionalFormatting>
  <conditionalFormatting sqref="H10:H1048576">
    <cfRule type="cellIs" dxfId="315" priority="2554" operator="lessThan">
      <formula>0</formula>
    </cfRule>
  </conditionalFormatting>
  <conditionalFormatting sqref="H10:H1048576">
    <cfRule type="cellIs" dxfId="314" priority="2553" operator="lessThan">
      <formula>0</formula>
    </cfRule>
  </conditionalFormatting>
  <conditionalFormatting sqref="H10:H1048576">
    <cfRule type="cellIs" dxfId="313" priority="2552" operator="lessThan">
      <formula>0</formula>
    </cfRule>
  </conditionalFormatting>
  <conditionalFormatting sqref="H10:H1048576">
    <cfRule type="cellIs" dxfId="312" priority="2551" operator="lessThan">
      <formula>0</formula>
    </cfRule>
  </conditionalFormatting>
  <conditionalFormatting sqref="H10:H1048576">
    <cfRule type="cellIs" dxfId="311" priority="2550" operator="lessThan">
      <formula>0</formula>
    </cfRule>
  </conditionalFormatting>
  <conditionalFormatting sqref="H10:H1048576">
    <cfRule type="cellIs" dxfId="310" priority="2549" operator="lessThan">
      <formula>0</formula>
    </cfRule>
  </conditionalFormatting>
  <conditionalFormatting sqref="H10:H1048576">
    <cfRule type="cellIs" dxfId="309" priority="2548" operator="lessThan">
      <formula>0</formula>
    </cfRule>
  </conditionalFormatting>
  <conditionalFormatting sqref="H10:H1048576">
    <cfRule type="cellIs" dxfId="308" priority="2547" operator="lessThan">
      <formula>0</formula>
    </cfRule>
  </conditionalFormatting>
  <conditionalFormatting sqref="H10:H1048576">
    <cfRule type="cellIs" dxfId="307" priority="2546" operator="lessThan">
      <formula>0</formula>
    </cfRule>
  </conditionalFormatting>
  <conditionalFormatting sqref="H10:H1048576">
    <cfRule type="cellIs" dxfId="306" priority="2545" operator="lessThan">
      <formula>0</formula>
    </cfRule>
  </conditionalFormatting>
  <conditionalFormatting sqref="H10:H1048576">
    <cfRule type="cellIs" dxfId="305" priority="2544" operator="lessThan">
      <formula>0</formula>
    </cfRule>
  </conditionalFormatting>
  <conditionalFormatting sqref="H10:H1048576">
    <cfRule type="cellIs" dxfId="304" priority="2543" operator="lessThan">
      <formula>0</formula>
    </cfRule>
  </conditionalFormatting>
  <conditionalFormatting sqref="H10:H1048576">
    <cfRule type="cellIs" dxfId="303" priority="2542" operator="lessThan">
      <formula>0</formula>
    </cfRule>
  </conditionalFormatting>
  <conditionalFormatting sqref="H10:H1048576">
    <cfRule type="cellIs" dxfId="302" priority="2541" operator="lessThan">
      <formula>0</formula>
    </cfRule>
  </conditionalFormatting>
  <conditionalFormatting sqref="H10:H1048576">
    <cfRule type="cellIs" dxfId="301" priority="2540" operator="lessThan">
      <formula>0</formula>
    </cfRule>
  </conditionalFormatting>
  <conditionalFormatting sqref="H10:H1048576">
    <cfRule type="cellIs" dxfId="300" priority="2539" operator="lessThan">
      <formula>0</formula>
    </cfRule>
  </conditionalFormatting>
  <conditionalFormatting sqref="H10:H1048576">
    <cfRule type="cellIs" dxfId="299" priority="2538" operator="lessThan">
      <formula>0</formula>
    </cfRule>
  </conditionalFormatting>
  <conditionalFormatting sqref="H10:H1048576">
    <cfRule type="cellIs" dxfId="298" priority="2537" operator="lessThan">
      <formula>0</formula>
    </cfRule>
  </conditionalFormatting>
  <conditionalFormatting sqref="H10:H1048576">
    <cfRule type="cellIs" dxfId="297" priority="2536" operator="lessThan">
      <formula>0</formula>
    </cfRule>
  </conditionalFormatting>
  <conditionalFormatting sqref="H10:H1048576">
    <cfRule type="cellIs" dxfId="296" priority="2535" operator="lessThan">
      <formula>0</formula>
    </cfRule>
  </conditionalFormatting>
  <conditionalFormatting sqref="H10:H1048576">
    <cfRule type="cellIs" dxfId="295" priority="2534" operator="lessThan">
      <formula>0</formula>
    </cfRule>
  </conditionalFormatting>
  <conditionalFormatting sqref="H10:H1048576">
    <cfRule type="cellIs" dxfId="294" priority="2533" operator="lessThan">
      <formula>0</formula>
    </cfRule>
  </conditionalFormatting>
  <conditionalFormatting sqref="H10:H1048576">
    <cfRule type="cellIs" dxfId="293" priority="2532" operator="lessThan">
      <formula>0</formula>
    </cfRule>
  </conditionalFormatting>
  <conditionalFormatting sqref="H10:H1048576">
    <cfRule type="cellIs" dxfId="292" priority="2531" operator="lessThan">
      <formula>0</formula>
    </cfRule>
  </conditionalFormatting>
  <conditionalFormatting sqref="H10:H1048576">
    <cfRule type="cellIs" dxfId="291" priority="2530" operator="lessThan">
      <formula>0</formula>
    </cfRule>
  </conditionalFormatting>
  <conditionalFormatting sqref="H10:H1048576">
    <cfRule type="cellIs" dxfId="290" priority="2529" operator="lessThan">
      <formula>0</formula>
    </cfRule>
  </conditionalFormatting>
  <conditionalFormatting sqref="H10:H1048576">
    <cfRule type="cellIs" dxfId="289" priority="2528" operator="lessThan">
      <formula>0</formula>
    </cfRule>
  </conditionalFormatting>
  <conditionalFormatting sqref="H10:H1048576">
    <cfRule type="cellIs" dxfId="288" priority="2527" operator="lessThan">
      <formula>0</formula>
    </cfRule>
  </conditionalFormatting>
  <conditionalFormatting sqref="H10:H1048576">
    <cfRule type="cellIs" dxfId="287" priority="2526" operator="lessThan">
      <formula>0</formula>
    </cfRule>
  </conditionalFormatting>
  <conditionalFormatting sqref="H10:H1048576">
    <cfRule type="cellIs" dxfId="286" priority="2525" operator="lessThan">
      <formula>0</formula>
    </cfRule>
  </conditionalFormatting>
  <conditionalFormatting sqref="H10:H1048576">
    <cfRule type="cellIs" dxfId="285" priority="2524" operator="lessThan">
      <formula>0</formula>
    </cfRule>
  </conditionalFormatting>
  <conditionalFormatting sqref="H10:H1048576">
    <cfRule type="cellIs" dxfId="284" priority="2523" operator="lessThan">
      <formula>0</formula>
    </cfRule>
  </conditionalFormatting>
  <conditionalFormatting sqref="H10:H1048576">
    <cfRule type="cellIs" dxfId="283" priority="2522" operator="lessThan">
      <formula>0</formula>
    </cfRule>
  </conditionalFormatting>
  <conditionalFormatting sqref="H10:H1048576">
    <cfRule type="cellIs" dxfId="282" priority="2521" operator="lessThan">
      <formula>0</formula>
    </cfRule>
  </conditionalFormatting>
  <conditionalFormatting sqref="H10:H1048576">
    <cfRule type="cellIs" dxfId="281" priority="2520" operator="lessThan">
      <formula>0</formula>
    </cfRule>
  </conditionalFormatting>
  <conditionalFormatting sqref="H10:H1048576">
    <cfRule type="cellIs" dxfId="280" priority="2519" operator="lessThan">
      <formula>0</formula>
    </cfRule>
  </conditionalFormatting>
  <conditionalFormatting sqref="H10:H1048576">
    <cfRule type="cellIs" dxfId="279" priority="2518" operator="lessThan">
      <formula>0</formula>
    </cfRule>
  </conditionalFormatting>
  <conditionalFormatting sqref="H10:H1048576">
    <cfRule type="cellIs" dxfId="278" priority="2517" operator="lessThan">
      <formula>0</formula>
    </cfRule>
  </conditionalFormatting>
  <conditionalFormatting sqref="H10:H1048576">
    <cfRule type="cellIs" dxfId="277" priority="2516" operator="lessThan">
      <formula>0</formula>
    </cfRule>
  </conditionalFormatting>
  <conditionalFormatting sqref="H10:H1048576">
    <cfRule type="cellIs" dxfId="276" priority="2515" operator="lessThan">
      <formula>0</formula>
    </cfRule>
  </conditionalFormatting>
  <conditionalFormatting sqref="H10:H1048576">
    <cfRule type="cellIs" dxfId="275" priority="2514" operator="lessThan">
      <formula>0</formula>
    </cfRule>
  </conditionalFormatting>
  <conditionalFormatting sqref="H10:H1048576">
    <cfRule type="cellIs" dxfId="274" priority="2513" operator="lessThan">
      <formula>0</formula>
    </cfRule>
  </conditionalFormatting>
  <conditionalFormatting sqref="H10:H1048576">
    <cfRule type="cellIs" dxfId="273" priority="2512" operator="lessThan">
      <formula>0</formula>
    </cfRule>
  </conditionalFormatting>
  <conditionalFormatting sqref="H10:H1048576">
    <cfRule type="cellIs" dxfId="272" priority="2511" operator="lessThan">
      <formula>0</formula>
    </cfRule>
  </conditionalFormatting>
  <conditionalFormatting sqref="H10:H1048576">
    <cfRule type="cellIs" dxfId="271" priority="2510" operator="lessThan">
      <formula>0</formula>
    </cfRule>
  </conditionalFormatting>
  <conditionalFormatting sqref="H10:H1048576">
    <cfRule type="cellIs" dxfId="270" priority="2509" operator="lessThan">
      <formula>0</formula>
    </cfRule>
  </conditionalFormatting>
  <conditionalFormatting sqref="H10:H1048576">
    <cfRule type="cellIs" dxfId="269" priority="2508" operator="lessThan">
      <formula>0</formula>
    </cfRule>
  </conditionalFormatting>
  <conditionalFormatting sqref="H10:H1048576">
    <cfRule type="cellIs" dxfId="268" priority="2507" operator="lessThan">
      <formula>0</formula>
    </cfRule>
  </conditionalFormatting>
  <conditionalFormatting sqref="H10:H1048576">
    <cfRule type="cellIs" dxfId="267" priority="2506" operator="lessThan">
      <formula>0</formula>
    </cfRule>
  </conditionalFormatting>
  <conditionalFormatting sqref="H10:H1048576">
    <cfRule type="cellIs" dxfId="266" priority="2505" operator="lessThan">
      <formula>0</formula>
    </cfRule>
  </conditionalFormatting>
  <conditionalFormatting sqref="H10:H1048576">
    <cfRule type="cellIs" dxfId="265" priority="2504" operator="lessThan">
      <formula>0</formula>
    </cfRule>
  </conditionalFormatting>
  <conditionalFormatting sqref="H10:H1048576">
    <cfRule type="cellIs" dxfId="264" priority="2503" operator="lessThan">
      <formula>0</formula>
    </cfRule>
  </conditionalFormatting>
  <conditionalFormatting sqref="H10:H1048576">
    <cfRule type="cellIs" dxfId="263" priority="2502" operator="lessThan">
      <formula>0</formula>
    </cfRule>
  </conditionalFormatting>
  <conditionalFormatting sqref="H10:H1048576">
    <cfRule type="cellIs" dxfId="262" priority="2501" operator="lessThan">
      <formula>0</formula>
    </cfRule>
  </conditionalFormatting>
  <conditionalFormatting sqref="H10:H1048576">
    <cfRule type="cellIs" dxfId="261" priority="2500" operator="lessThan">
      <formula>0</formula>
    </cfRule>
  </conditionalFormatting>
  <conditionalFormatting sqref="H10:H1048576">
    <cfRule type="cellIs" dxfId="260" priority="2499" operator="lessThan">
      <formula>0</formula>
    </cfRule>
  </conditionalFormatting>
  <conditionalFormatting sqref="H10:H1048576">
    <cfRule type="cellIs" dxfId="259" priority="2498" operator="lessThan">
      <formula>0</formula>
    </cfRule>
  </conditionalFormatting>
  <conditionalFormatting sqref="H10:H1048576">
    <cfRule type="cellIs" dxfId="258" priority="2497" operator="lessThan">
      <formula>0</formula>
    </cfRule>
  </conditionalFormatting>
  <conditionalFormatting sqref="H10:H1048576">
    <cfRule type="cellIs" dxfId="257" priority="2496" operator="lessThan">
      <formula>0</formula>
    </cfRule>
  </conditionalFormatting>
  <conditionalFormatting sqref="H10:H1048576">
    <cfRule type="cellIs" dxfId="256" priority="2495" operator="lessThan">
      <formula>0</formula>
    </cfRule>
  </conditionalFormatting>
  <conditionalFormatting sqref="H10:H1048576">
    <cfRule type="cellIs" dxfId="255" priority="2494" operator="lessThan">
      <formula>0</formula>
    </cfRule>
  </conditionalFormatting>
  <conditionalFormatting sqref="H10:H1048576">
    <cfRule type="cellIs" dxfId="254" priority="2493" operator="lessThan">
      <formula>0</formula>
    </cfRule>
  </conditionalFormatting>
  <conditionalFormatting sqref="H10:H1048576">
    <cfRule type="cellIs" dxfId="253" priority="2492" operator="lessThan">
      <formula>0</formula>
    </cfRule>
  </conditionalFormatting>
  <conditionalFormatting sqref="H10:H1048576">
    <cfRule type="cellIs" dxfId="252" priority="2491" operator="lessThan">
      <formula>0</formula>
    </cfRule>
  </conditionalFormatting>
  <conditionalFormatting sqref="H10:H1048576">
    <cfRule type="cellIs" dxfId="251" priority="2490" operator="lessThan">
      <formula>0</formula>
    </cfRule>
  </conditionalFormatting>
  <conditionalFormatting sqref="H10:H1048576">
    <cfRule type="cellIs" dxfId="250" priority="2489" operator="lessThan">
      <formula>0</formula>
    </cfRule>
  </conditionalFormatting>
  <conditionalFormatting sqref="H10:H1048576">
    <cfRule type="cellIs" dxfId="249" priority="2488" operator="lessThan">
      <formula>0</formula>
    </cfRule>
  </conditionalFormatting>
  <conditionalFormatting sqref="H10:H1048576">
    <cfRule type="cellIs" dxfId="248" priority="2487" operator="lessThan">
      <formula>0</formula>
    </cfRule>
  </conditionalFormatting>
  <conditionalFormatting sqref="H10:H1048576">
    <cfRule type="cellIs" dxfId="247" priority="2486" operator="lessThan">
      <formula>0</formula>
    </cfRule>
  </conditionalFormatting>
  <conditionalFormatting sqref="H10:H1048576">
    <cfRule type="cellIs" dxfId="246" priority="2485" operator="lessThan">
      <formula>0</formula>
    </cfRule>
  </conditionalFormatting>
  <conditionalFormatting sqref="H10:H1048576">
    <cfRule type="cellIs" dxfId="245" priority="2484" operator="lessThan">
      <formula>0</formula>
    </cfRule>
  </conditionalFormatting>
  <conditionalFormatting sqref="H10:H1048576">
    <cfRule type="cellIs" dxfId="244" priority="2483" operator="lessThan">
      <formula>0</formula>
    </cfRule>
  </conditionalFormatting>
  <conditionalFormatting sqref="H10:H1048576">
    <cfRule type="cellIs" dxfId="243" priority="2482" operator="lessThan">
      <formula>0</formula>
    </cfRule>
  </conditionalFormatting>
  <conditionalFormatting sqref="H10:H1048576">
    <cfRule type="cellIs" dxfId="242" priority="2481" operator="lessThan">
      <formula>0</formula>
    </cfRule>
  </conditionalFormatting>
  <conditionalFormatting sqref="H10:H1048576">
    <cfRule type="cellIs" dxfId="241" priority="2480" operator="lessThan">
      <formula>0</formula>
    </cfRule>
  </conditionalFormatting>
  <conditionalFormatting sqref="H10:H1048576">
    <cfRule type="cellIs" dxfId="240" priority="2479" operator="lessThan">
      <formula>0</formula>
    </cfRule>
  </conditionalFormatting>
  <conditionalFormatting sqref="H10:H1048576">
    <cfRule type="cellIs" dxfId="239" priority="2478" operator="lessThan">
      <formula>0</formula>
    </cfRule>
  </conditionalFormatting>
  <conditionalFormatting sqref="H10:H1048576">
    <cfRule type="cellIs" dxfId="238" priority="2477" operator="lessThan">
      <formula>0</formula>
    </cfRule>
  </conditionalFormatting>
  <conditionalFormatting sqref="H10:H1048576">
    <cfRule type="cellIs" dxfId="237" priority="2476" operator="lessThan">
      <formula>0</formula>
    </cfRule>
  </conditionalFormatting>
  <conditionalFormatting sqref="H10:H1048576">
    <cfRule type="cellIs" dxfId="236" priority="2475" operator="lessThan">
      <formula>0</formula>
    </cfRule>
  </conditionalFormatting>
  <conditionalFormatting sqref="H10:H1048576">
    <cfRule type="cellIs" dxfId="235" priority="2474" operator="lessThan">
      <formula>0</formula>
    </cfRule>
  </conditionalFormatting>
  <conditionalFormatting sqref="H10:H1048576">
    <cfRule type="cellIs" dxfId="234" priority="2473" operator="lessThan">
      <formula>0</formula>
    </cfRule>
  </conditionalFormatting>
  <conditionalFormatting sqref="H10:H1048576">
    <cfRule type="cellIs" dxfId="233" priority="2472" operator="lessThan">
      <formula>0</formula>
    </cfRule>
  </conditionalFormatting>
  <conditionalFormatting sqref="H10:H1048576">
    <cfRule type="cellIs" dxfId="232" priority="2471" operator="lessThan">
      <formula>0</formula>
    </cfRule>
  </conditionalFormatting>
  <conditionalFormatting sqref="H10:H1048576">
    <cfRule type="cellIs" dxfId="231" priority="2470" operator="lessThan">
      <formula>0</formula>
    </cfRule>
  </conditionalFormatting>
  <conditionalFormatting sqref="H10:H1048576">
    <cfRule type="cellIs" dxfId="230" priority="2469" operator="lessThan">
      <formula>0</formula>
    </cfRule>
  </conditionalFormatting>
  <conditionalFormatting sqref="H10:H1048576">
    <cfRule type="cellIs" dxfId="229" priority="2468" operator="lessThan">
      <formula>0</formula>
    </cfRule>
  </conditionalFormatting>
  <conditionalFormatting sqref="H10:H1048576">
    <cfRule type="cellIs" dxfId="228" priority="2467" operator="lessThan">
      <formula>0</formula>
    </cfRule>
  </conditionalFormatting>
  <conditionalFormatting sqref="H10:H1048576">
    <cfRule type="cellIs" dxfId="227" priority="2466" operator="lessThan">
      <formula>0</formula>
    </cfRule>
  </conditionalFormatting>
  <conditionalFormatting sqref="H10:H1048576">
    <cfRule type="cellIs" dxfId="226" priority="2465" operator="lessThan">
      <formula>0</formula>
    </cfRule>
  </conditionalFormatting>
  <conditionalFormatting sqref="H10:H1048576">
    <cfRule type="cellIs" dxfId="225" priority="2464" operator="lessThan">
      <formula>0</formula>
    </cfRule>
  </conditionalFormatting>
  <conditionalFormatting sqref="H10:H1048576">
    <cfRule type="cellIs" dxfId="224" priority="2463" operator="lessThan">
      <formula>0</formula>
    </cfRule>
  </conditionalFormatting>
  <conditionalFormatting sqref="H10:H1048576">
    <cfRule type="cellIs" dxfId="223" priority="2462" operator="lessThan">
      <formula>0</formula>
    </cfRule>
  </conditionalFormatting>
  <conditionalFormatting sqref="H10:H1048576">
    <cfRule type="cellIs" dxfId="222" priority="2461" operator="lessThan">
      <formula>0</formula>
    </cfRule>
  </conditionalFormatting>
  <conditionalFormatting sqref="H10:H1048576">
    <cfRule type="cellIs" dxfId="221" priority="2460" operator="lessThan">
      <formula>0</formula>
    </cfRule>
  </conditionalFormatting>
  <conditionalFormatting sqref="H10:H1048576">
    <cfRule type="cellIs" dxfId="220" priority="2459" operator="lessThan">
      <formula>0</formula>
    </cfRule>
  </conditionalFormatting>
  <conditionalFormatting sqref="H1:H1048576">
    <cfRule type="cellIs" dxfId="219" priority="2458" operator="lessThan">
      <formula>0</formula>
    </cfRule>
  </conditionalFormatting>
  <conditionalFormatting sqref="H1:H1048576">
    <cfRule type="cellIs" dxfId="218" priority="2457" operator="lessThan">
      <formula>0</formula>
    </cfRule>
  </conditionalFormatting>
  <conditionalFormatting sqref="H1:H1048576">
    <cfRule type="cellIs" dxfId="217" priority="2456" operator="lessThan">
      <formula>0</formula>
    </cfRule>
  </conditionalFormatting>
  <conditionalFormatting sqref="H1:H1048576">
    <cfRule type="cellIs" dxfId="216" priority="2455" operator="lessThan">
      <formula>0</formula>
    </cfRule>
  </conditionalFormatting>
  <conditionalFormatting sqref="H1:H1048576">
    <cfRule type="cellIs" dxfId="215" priority="2454" operator="lessThan">
      <formula>0</formula>
    </cfRule>
  </conditionalFormatting>
  <conditionalFormatting sqref="H1:H1048576">
    <cfRule type="cellIs" dxfId="214" priority="2453" operator="lessThan">
      <formula>0</formula>
    </cfRule>
  </conditionalFormatting>
  <conditionalFormatting sqref="H1:H1048576">
    <cfRule type="cellIs" dxfId="213" priority="2452" operator="lessThan">
      <formula>0</formula>
    </cfRule>
  </conditionalFormatting>
  <conditionalFormatting sqref="H1:H1048576">
    <cfRule type="cellIs" dxfId="212" priority="2451" operator="lessThan">
      <formula>0</formula>
    </cfRule>
  </conditionalFormatting>
  <conditionalFormatting sqref="H1:H1048576">
    <cfRule type="cellIs" dxfId="211" priority="2450" operator="lessThan">
      <formula>0</formula>
    </cfRule>
  </conditionalFormatting>
  <conditionalFormatting sqref="H1:H1048576">
    <cfRule type="cellIs" dxfId="210" priority="2449" operator="lessThan">
      <formula>0</formula>
    </cfRule>
  </conditionalFormatting>
  <conditionalFormatting sqref="H1:H1048576">
    <cfRule type="cellIs" dxfId="209" priority="2448" operator="lessThan">
      <formula>0</formula>
    </cfRule>
  </conditionalFormatting>
  <conditionalFormatting sqref="H1:H1048576">
    <cfRule type="cellIs" dxfId="208" priority="2447" operator="lessThan">
      <formula>0</formula>
    </cfRule>
  </conditionalFormatting>
  <conditionalFormatting sqref="H1:H1048576">
    <cfRule type="cellIs" dxfId="207" priority="2446" operator="lessThan">
      <formula>0</formula>
    </cfRule>
  </conditionalFormatting>
  <conditionalFormatting sqref="H1:H1048576">
    <cfRule type="cellIs" dxfId="206" priority="2445" operator="lessThan">
      <formula>0</formula>
    </cfRule>
  </conditionalFormatting>
  <conditionalFormatting sqref="H1:H1048576">
    <cfRule type="cellIs" dxfId="205" priority="2444" operator="lessThan">
      <formula>0</formula>
    </cfRule>
  </conditionalFormatting>
  <conditionalFormatting sqref="H1:H1048576">
    <cfRule type="cellIs" dxfId="204" priority="2443" operator="lessThan">
      <formula>0</formula>
    </cfRule>
  </conditionalFormatting>
  <conditionalFormatting sqref="H1:H1048576">
    <cfRule type="cellIs" dxfId="203" priority="2442" operator="lessThan">
      <formula>0</formula>
    </cfRule>
  </conditionalFormatting>
  <conditionalFormatting sqref="H1:H1048576">
    <cfRule type="cellIs" dxfId="202" priority="2441" operator="lessThan">
      <formula>0</formula>
    </cfRule>
  </conditionalFormatting>
  <conditionalFormatting sqref="H1:H1048576">
    <cfRule type="cellIs" dxfId="201" priority="2440" operator="lessThan">
      <formula>0</formula>
    </cfRule>
  </conditionalFormatting>
  <conditionalFormatting sqref="H1:H1048576">
    <cfRule type="cellIs" dxfId="200" priority="2439" operator="lessThan">
      <formula>0</formula>
    </cfRule>
  </conditionalFormatting>
  <conditionalFormatting sqref="H1:H1048576">
    <cfRule type="cellIs" dxfId="199" priority="2438" operator="lessThan">
      <formula>0</formula>
    </cfRule>
  </conditionalFormatting>
  <conditionalFormatting sqref="H1:H1048576">
    <cfRule type="cellIs" dxfId="198" priority="2437" operator="lessThan">
      <formula>0</formula>
    </cfRule>
  </conditionalFormatting>
  <conditionalFormatting sqref="H1:H1048576">
    <cfRule type="cellIs" dxfId="197" priority="2436" operator="lessThan">
      <formula>0</formula>
    </cfRule>
  </conditionalFormatting>
  <conditionalFormatting sqref="H1:H1048576">
    <cfRule type="cellIs" dxfId="196" priority="2435" operator="lessThan">
      <formula>0</formula>
    </cfRule>
  </conditionalFormatting>
  <conditionalFormatting sqref="H1:H1048576">
    <cfRule type="cellIs" dxfId="195" priority="2434" operator="lessThan">
      <formula>0</formula>
    </cfRule>
  </conditionalFormatting>
  <conditionalFormatting sqref="H1:H1048576">
    <cfRule type="cellIs" dxfId="194" priority="2433" operator="lessThan">
      <formula>0</formula>
    </cfRule>
  </conditionalFormatting>
  <conditionalFormatting sqref="H1:H1048576">
    <cfRule type="cellIs" dxfId="193" priority="2432" operator="lessThan">
      <formula>0</formula>
    </cfRule>
  </conditionalFormatting>
  <conditionalFormatting sqref="H1:H1048576">
    <cfRule type="cellIs" dxfId="192" priority="2431" operator="lessThan">
      <formula>0</formula>
    </cfRule>
  </conditionalFormatting>
  <conditionalFormatting sqref="H1:H1048576">
    <cfRule type="cellIs" dxfId="191" priority="2430" operator="lessThan">
      <formula>0</formula>
    </cfRule>
  </conditionalFormatting>
  <conditionalFormatting sqref="H1:H1048576">
    <cfRule type="cellIs" dxfId="190" priority="2429" operator="lessThan">
      <formula>0</formula>
    </cfRule>
  </conditionalFormatting>
  <conditionalFormatting sqref="H1:H1048576">
    <cfRule type="cellIs" dxfId="189" priority="2428" operator="lessThan">
      <formula>0</formula>
    </cfRule>
  </conditionalFormatting>
  <conditionalFormatting sqref="H1:H1048576">
    <cfRule type="cellIs" dxfId="188" priority="2427" operator="lessThan">
      <formula>0</formula>
    </cfRule>
  </conditionalFormatting>
  <conditionalFormatting sqref="H1:H1048576">
    <cfRule type="cellIs" dxfId="187" priority="2426" operator="lessThan">
      <formula>0</formula>
    </cfRule>
  </conditionalFormatting>
  <conditionalFormatting sqref="H1:H1048576">
    <cfRule type="cellIs" dxfId="186" priority="2425" operator="lessThan">
      <formula>0</formula>
    </cfRule>
  </conditionalFormatting>
  <conditionalFormatting sqref="H1:H1048576">
    <cfRule type="cellIs" dxfId="185" priority="2424" operator="lessThan">
      <formula>0</formula>
    </cfRule>
  </conditionalFormatting>
  <conditionalFormatting sqref="H1:H1048576">
    <cfRule type="cellIs" dxfId="184" priority="2423" operator="lessThan">
      <formula>0</formula>
    </cfRule>
  </conditionalFormatting>
  <conditionalFormatting sqref="H1:H1048576">
    <cfRule type="cellIs" dxfId="183" priority="2422" operator="lessThan">
      <formula>0</formula>
    </cfRule>
  </conditionalFormatting>
  <conditionalFormatting sqref="H1:H1048576">
    <cfRule type="cellIs" dxfId="182" priority="2421" operator="lessThan">
      <formula>0</formula>
    </cfRule>
  </conditionalFormatting>
  <conditionalFormatting sqref="H1:H1048576">
    <cfRule type="cellIs" dxfId="181" priority="2420" operator="lessThan">
      <formula>0</formula>
    </cfRule>
  </conditionalFormatting>
  <conditionalFormatting sqref="H1:H1048576">
    <cfRule type="cellIs" dxfId="180" priority="2419" operator="lessThan">
      <formula>0</formula>
    </cfRule>
  </conditionalFormatting>
  <conditionalFormatting sqref="H1:H1048576">
    <cfRule type="cellIs" dxfId="179" priority="2418" operator="lessThan">
      <formula>0</formula>
    </cfRule>
  </conditionalFormatting>
  <conditionalFormatting sqref="H1:H1048576">
    <cfRule type="cellIs" dxfId="178" priority="2417" operator="lessThan">
      <formula>0</formula>
    </cfRule>
  </conditionalFormatting>
  <conditionalFormatting sqref="H1:H1048576">
    <cfRule type="cellIs" dxfId="177" priority="2416" operator="lessThan">
      <formula>0</formula>
    </cfRule>
  </conditionalFormatting>
  <conditionalFormatting sqref="H1:H1048576">
    <cfRule type="cellIs" dxfId="176" priority="2415" operator="lessThan">
      <formula>0</formula>
    </cfRule>
  </conditionalFormatting>
  <conditionalFormatting sqref="H1:H1048576">
    <cfRule type="cellIs" dxfId="175" priority="2414" operator="lessThan">
      <formula>0</formula>
    </cfRule>
  </conditionalFormatting>
  <conditionalFormatting sqref="H1:H1048576">
    <cfRule type="cellIs" dxfId="174" priority="2413" operator="lessThan">
      <formula>0</formula>
    </cfRule>
  </conditionalFormatting>
  <conditionalFormatting sqref="H1:H1048576">
    <cfRule type="cellIs" dxfId="173" priority="2412" operator="lessThan">
      <formula>0</formula>
    </cfRule>
  </conditionalFormatting>
  <conditionalFormatting sqref="H1:H1048576">
    <cfRule type="cellIs" dxfId="172" priority="2411" operator="lessThan">
      <formula>0</formula>
    </cfRule>
  </conditionalFormatting>
  <conditionalFormatting sqref="H1:H1048576">
    <cfRule type="cellIs" dxfId="171" priority="2410" operator="lessThan">
      <formula>0</formula>
    </cfRule>
  </conditionalFormatting>
  <conditionalFormatting sqref="H1:H1048576">
    <cfRule type="cellIs" dxfId="170" priority="2409" operator="lessThan">
      <formula>0</formula>
    </cfRule>
  </conditionalFormatting>
  <conditionalFormatting sqref="H1:H1048576">
    <cfRule type="cellIs" dxfId="169" priority="2408" operator="lessThan">
      <formula>0</formula>
    </cfRule>
  </conditionalFormatting>
  <conditionalFormatting sqref="H1:H1048576">
    <cfRule type="cellIs" dxfId="168" priority="2407" operator="lessThan">
      <formula>0</formula>
    </cfRule>
  </conditionalFormatting>
  <conditionalFormatting sqref="H1:H1048576">
    <cfRule type="cellIs" dxfId="167" priority="2406" operator="lessThan">
      <formula>0</formula>
    </cfRule>
  </conditionalFormatting>
  <conditionalFormatting sqref="H1:H1048576">
    <cfRule type="cellIs" dxfId="166" priority="2405" operator="lessThan">
      <formula>0</formula>
    </cfRule>
  </conditionalFormatting>
  <conditionalFormatting sqref="H1:H1048576">
    <cfRule type="cellIs" dxfId="165" priority="2404" operator="lessThan">
      <formula>0</formula>
    </cfRule>
  </conditionalFormatting>
  <conditionalFormatting sqref="H1:H1048576">
    <cfRule type="cellIs" dxfId="164" priority="2403" operator="lessThan">
      <formula>0</formula>
    </cfRule>
  </conditionalFormatting>
  <conditionalFormatting sqref="H1:H1048576">
    <cfRule type="cellIs" dxfId="163" priority="2402" operator="lessThan">
      <formula>0</formula>
    </cfRule>
  </conditionalFormatting>
  <conditionalFormatting sqref="H1:H1048576">
    <cfRule type="cellIs" dxfId="162" priority="2401" operator="lessThan">
      <formula>0</formula>
    </cfRule>
  </conditionalFormatting>
  <conditionalFormatting sqref="H1:H1048576">
    <cfRule type="cellIs" dxfId="161" priority="2400" operator="lessThan">
      <formula>0</formula>
    </cfRule>
  </conditionalFormatting>
  <conditionalFormatting sqref="H1:H1048576">
    <cfRule type="cellIs" dxfId="160" priority="2399" operator="lessThan">
      <formula>0</formula>
    </cfRule>
  </conditionalFormatting>
  <conditionalFormatting sqref="H1:H1048576">
    <cfRule type="cellIs" dxfId="159" priority="2398" operator="lessThan">
      <formula>0</formula>
    </cfRule>
  </conditionalFormatting>
  <conditionalFormatting sqref="H1:H1048576">
    <cfRule type="cellIs" dxfId="158" priority="2397" operator="lessThan">
      <formula>0</formula>
    </cfRule>
  </conditionalFormatting>
  <conditionalFormatting sqref="H1:H1048576">
    <cfRule type="cellIs" dxfId="157" priority="2396" operator="lessThan">
      <formula>0</formula>
    </cfRule>
  </conditionalFormatting>
  <conditionalFormatting sqref="H1:H1048576">
    <cfRule type="cellIs" dxfId="156" priority="2395" operator="lessThan">
      <formula>0</formula>
    </cfRule>
  </conditionalFormatting>
  <conditionalFormatting sqref="H1:H1048576">
    <cfRule type="cellIs" dxfId="155" priority="2394" operator="lessThan">
      <formula>0</formula>
    </cfRule>
  </conditionalFormatting>
  <conditionalFormatting sqref="H1:H1048576">
    <cfRule type="cellIs" dxfId="154" priority="2393" operator="lessThan">
      <formula>0</formula>
    </cfRule>
  </conditionalFormatting>
  <conditionalFormatting sqref="H1:H1048576">
    <cfRule type="cellIs" dxfId="153" priority="2392" operator="lessThan">
      <formula>0</formula>
    </cfRule>
  </conditionalFormatting>
  <conditionalFormatting sqref="H1:H1048576">
    <cfRule type="cellIs" dxfId="152" priority="2391" operator="lessThan">
      <formula>0</formula>
    </cfRule>
  </conditionalFormatting>
  <conditionalFormatting sqref="H1:H1048576">
    <cfRule type="cellIs" dxfId="151" priority="2390" operator="lessThan">
      <formula>0</formula>
    </cfRule>
  </conditionalFormatting>
  <conditionalFormatting sqref="H1:H1048576">
    <cfRule type="cellIs" dxfId="150" priority="2389" operator="lessThan">
      <formula>0</formula>
    </cfRule>
  </conditionalFormatting>
  <conditionalFormatting sqref="H1:H1048576">
    <cfRule type="cellIs" dxfId="149" priority="2388" operator="lessThan">
      <formula>0</formula>
    </cfRule>
  </conditionalFormatting>
  <conditionalFormatting sqref="H1:H1048576">
    <cfRule type="cellIs" dxfId="148" priority="2387" operator="lessThan">
      <formula>0</formula>
    </cfRule>
  </conditionalFormatting>
  <conditionalFormatting sqref="H1:H1048576">
    <cfRule type="cellIs" dxfId="147" priority="2386" operator="lessThan">
      <formula>0</formula>
    </cfRule>
  </conditionalFormatting>
  <conditionalFormatting sqref="H1:H1048576">
    <cfRule type="cellIs" dxfId="146" priority="2385" operator="lessThan">
      <formula>0</formula>
    </cfRule>
  </conditionalFormatting>
  <conditionalFormatting sqref="H1:H1048576">
    <cfRule type="cellIs" dxfId="145" priority="2384" operator="lessThan">
      <formula>0</formula>
    </cfRule>
  </conditionalFormatting>
  <conditionalFormatting sqref="H1:H1048576">
    <cfRule type="cellIs" dxfId="144" priority="2383" operator="lessThan">
      <formula>0</formula>
    </cfRule>
  </conditionalFormatting>
  <conditionalFormatting sqref="H1:H1048576">
    <cfRule type="cellIs" dxfId="143" priority="2382" operator="lessThan">
      <formula>0</formula>
    </cfRule>
  </conditionalFormatting>
  <conditionalFormatting sqref="H1:H1048576">
    <cfRule type="cellIs" dxfId="142" priority="2381" operator="lessThan">
      <formula>0</formula>
    </cfRule>
  </conditionalFormatting>
  <conditionalFormatting sqref="H1:H1048576">
    <cfRule type="cellIs" dxfId="141" priority="2380" operator="lessThan">
      <formula>0</formula>
    </cfRule>
  </conditionalFormatting>
  <conditionalFormatting sqref="H1:H1048576">
    <cfRule type="cellIs" dxfId="140" priority="2379" operator="lessThan">
      <formula>0</formula>
    </cfRule>
  </conditionalFormatting>
  <conditionalFormatting sqref="H1:H1048576">
    <cfRule type="cellIs" dxfId="139" priority="2378" operator="lessThan">
      <formula>0</formula>
    </cfRule>
  </conditionalFormatting>
  <conditionalFormatting sqref="H1:H1048576">
    <cfRule type="cellIs" dxfId="138" priority="2377" operator="lessThan">
      <formula>0</formula>
    </cfRule>
  </conditionalFormatting>
  <conditionalFormatting sqref="H1:H1048576">
    <cfRule type="cellIs" dxfId="137" priority="2376" operator="lessThan">
      <formula>0</formula>
    </cfRule>
  </conditionalFormatting>
  <conditionalFormatting sqref="H1:H1048576">
    <cfRule type="cellIs" dxfId="136" priority="2375" operator="lessThan">
      <formula>0</formula>
    </cfRule>
  </conditionalFormatting>
  <conditionalFormatting sqref="H1:H1048576">
    <cfRule type="cellIs" dxfId="135" priority="2374" operator="lessThan">
      <formula>0</formula>
    </cfRule>
  </conditionalFormatting>
  <conditionalFormatting sqref="H1:H1048576">
    <cfRule type="cellIs" dxfId="134" priority="2373" operator="lessThan">
      <formula>0</formula>
    </cfRule>
  </conditionalFormatting>
  <conditionalFormatting sqref="H1:H1048576">
    <cfRule type="cellIs" dxfId="133" priority="2372" operator="lessThan">
      <formula>0</formula>
    </cfRule>
  </conditionalFormatting>
  <conditionalFormatting sqref="H1:H1048576">
    <cfRule type="cellIs" dxfId="132" priority="2371" operator="lessThan">
      <formula>0</formula>
    </cfRule>
  </conditionalFormatting>
  <conditionalFormatting sqref="H1:H1048576">
    <cfRule type="cellIs" dxfId="131" priority="2370" operator="lessThan">
      <formula>0</formula>
    </cfRule>
  </conditionalFormatting>
  <conditionalFormatting sqref="H1:H1048576">
    <cfRule type="cellIs" dxfId="130" priority="2369" operator="lessThan">
      <formula>0</formula>
    </cfRule>
  </conditionalFormatting>
  <conditionalFormatting sqref="H1:H1048576">
    <cfRule type="cellIs" dxfId="129" priority="2368" operator="lessThan">
      <formula>0</formula>
    </cfRule>
  </conditionalFormatting>
  <conditionalFormatting sqref="H1:H1048576">
    <cfRule type="cellIs" dxfId="128" priority="2367" operator="lessThan">
      <formula>0</formula>
    </cfRule>
  </conditionalFormatting>
  <conditionalFormatting sqref="H1:H1048576">
    <cfRule type="cellIs" dxfId="127" priority="2366" operator="lessThan">
      <formula>0</formula>
    </cfRule>
  </conditionalFormatting>
  <conditionalFormatting sqref="H1:H1048576">
    <cfRule type="cellIs" dxfId="126" priority="2365" operator="lessThan">
      <formula>0</formula>
    </cfRule>
  </conditionalFormatting>
  <conditionalFormatting sqref="H1:H1048576">
    <cfRule type="cellIs" dxfId="125" priority="2364" operator="lessThan">
      <formula>0</formula>
    </cfRule>
  </conditionalFormatting>
  <conditionalFormatting sqref="H1:H1048576">
    <cfRule type="cellIs" dxfId="124" priority="2363" operator="lessThan">
      <formula>0</formula>
    </cfRule>
  </conditionalFormatting>
  <conditionalFormatting sqref="H1:H1048576">
    <cfRule type="cellIs" dxfId="123" priority="2362" operator="lessThan">
      <formula>0</formula>
    </cfRule>
  </conditionalFormatting>
  <conditionalFormatting sqref="H1:H1048576">
    <cfRule type="cellIs" dxfId="122" priority="2361" operator="lessThan">
      <formula>0</formula>
    </cfRule>
  </conditionalFormatting>
  <conditionalFormatting sqref="H1:H1048576">
    <cfRule type="cellIs" dxfId="121" priority="2360" operator="lessThan">
      <formula>0</formula>
    </cfRule>
  </conditionalFormatting>
  <conditionalFormatting sqref="H1:H1048576">
    <cfRule type="cellIs" dxfId="120" priority="2359" operator="lessThan">
      <formula>0</formula>
    </cfRule>
  </conditionalFormatting>
  <conditionalFormatting sqref="H1:H1048576">
    <cfRule type="cellIs" dxfId="119" priority="2358" operator="lessThan">
      <formula>0</formula>
    </cfRule>
  </conditionalFormatting>
  <conditionalFormatting sqref="H1:H1048576">
    <cfRule type="cellIs" dxfId="118" priority="2357" operator="lessThan">
      <formula>0</formula>
    </cfRule>
  </conditionalFormatting>
  <conditionalFormatting sqref="H1:H1048576">
    <cfRule type="cellIs" dxfId="117" priority="2356" operator="lessThan">
      <formula>0</formula>
    </cfRule>
  </conditionalFormatting>
  <conditionalFormatting sqref="H1:H1048576">
    <cfRule type="cellIs" dxfId="116" priority="2355" operator="lessThan">
      <formula>0</formula>
    </cfRule>
  </conditionalFormatting>
  <conditionalFormatting sqref="H1:H1048576">
    <cfRule type="cellIs" dxfId="115" priority="2354" operator="lessThan">
      <formula>0</formula>
    </cfRule>
  </conditionalFormatting>
  <conditionalFormatting sqref="H1:H1048576">
    <cfRule type="cellIs" dxfId="114" priority="2353" operator="lessThan">
      <formula>0</formula>
    </cfRule>
  </conditionalFormatting>
  <conditionalFormatting sqref="H1:H1048576">
    <cfRule type="cellIs" dxfId="113" priority="2352" operator="lessThan">
      <formula>0</formula>
    </cfRule>
  </conditionalFormatting>
  <conditionalFormatting sqref="H1:H1048576">
    <cfRule type="cellIs" dxfId="112" priority="2351" operator="lessThan">
      <formula>0</formula>
    </cfRule>
  </conditionalFormatting>
  <conditionalFormatting sqref="H1:H1048576">
    <cfRule type="cellIs" dxfId="111" priority="2350" operator="lessThan">
      <formula>0</formula>
    </cfRule>
  </conditionalFormatting>
  <conditionalFormatting sqref="H1:H1048576">
    <cfRule type="cellIs" dxfId="110" priority="2349" operator="lessThan">
      <formula>0</formula>
    </cfRule>
  </conditionalFormatting>
  <conditionalFormatting sqref="H1:H1048576">
    <cfRule type="cellIs" dxfId="109" priority="2348" operator="lessThan">
      <formula>0</formula>
    </cfRule>
  </conditionalFormatting>
  <conditionalFormatting sqref="H1:H1048576">
    <cfRule type="cellIs" dxfId="108" priority="2347" operator="lessThan">
      <formula>0</formula>
    </cfRule>
  </conditionalFormatting>
  <conditionalFormatting sqref="H1:H1048576">
    <cfRule type="cellIs" dxfId="107" priority="2346" operator="lessThan">
      <formula>0</formula>
    </cfRule>
  </conditionalFormatting>
  <conditionalFormatting sqref="H1:H1048576">
    <cfRule type="cellIs" dxfId="106" priority="2345" operator="lessThan">
      <formula>0</formula>
    </cfRule>
  </conditionalFormatting>
  <conditionalFormatting sqref="H1:H1048576">
    <cfRule type="cellIs" dxfId="105" priority="2344" operator="lessThan">
      <formula>0</formula>
    </cfRule>
  </conditionalFormatting>
  <conditionalFormatting sqref="H1:H1048576">
    <cfRule type="cellIs" dxfId="104" priority="2343" operator="lessThan">
      <formula>0</formula>
    </cfRule>
  </conditionalFormatting>
  <conditionalFormatting sqref="H1:H1048576">
    <cfRule type="cellIs" dxfId="103" priority="2342" operator="lessThan">
      <formula>0</formula>
    </cfRule>
  </conditionalFormatting>
  <conditionalFormatting sqref="H1:H1048576">
    <cfRule type="cellIs" dxfId="102" priority="2341" operator="lessThan">
      <formula>0</formula>
    </cfRule>
  </conditionalFormatting>
  <conditionalFormatting sqref="H1:H1048576">
    <cfRule type="cellIs" dxfId="101" priority="2340" operator="lessThan">
      <formula>0</formula>
    </cfRule>
  </conditionalFormatting>
  <conditionalFormatting sqref="H1:H1048576">
    <cfRule type="cellIs" dxfId="100" priority="2339" operator="lessThan">
      <formula>0</formula>
    </cfRule>
  </conditionalFormatting>
  <conditionalFormatting sqref="H1:H1048576">
    <cfRule type="cellIs" dxfId="99" priority="2338" operator="lessThan">
      <formula>0</formula>
    </cfRule>
  </conditionalFormatting>
  <conditionalFormatting sqref="H1:H1048576">
    <cfRule type="cellIs" dxfId="98" priority="2337" operator="lessThan">
      <formula>0</formula>
    </cfRule>
  </conditionalFormatting>
  <conditionalFormatting sqref="H1:H1048576">
    <cfRule type="cellIs" dxfId="97" priority="2336" operator="lessThan">
      <formula>0</formula>
    </cfRule>
  </conditionalFormatting>
  <conditionalFormatting sqref="H1:H1048576">
    <cfRule type="cellIs" dxfId="96" priority="2335" operator="lessThan">
      <formula>0</formula>
    </cfRule>
  </conditionalFormatting>
  <conditionalFormatting sqref="H1:H1048576">
    <cfRule type="cellIs" dxfId="95" priority="2334" operator="lessThan">
      <formula>0</formula>
    </cfRule>
  </conditionalFormatting>
  <conditionalFormatting sqref="H1:H1048576">
    <cfRule type="cellIs" dxfId="94" priority="2333" operator="lessThan">
      <formula>0</formula>
    </cfRule>
  </conditionalFormatting>
  <conditionalFormatting sqref="H1:H1048576">
    <cfRule type="cellIs" dxfId="93" priority="2332" operator="lessThan">
      <formula>0</formula>
    </cfRule>
  </conditionalFormatting>
  <conditionalFormatting sqref="H1:H1048576">
    <cfRule type="cellIs" dxfId="92" priority="2331" operator="lessThan">
      <formula>0</formula>
    </cfRule>
  </conditionalFormatting>
  <conditionalFormatting sqref="H1:H1048576">
    <cfRule type="cellIs" dxfId="91" priority="2330" operator="lessThan">
      <formula>0</formula>
    </cfRule>
  </conditionalFormatting>
  <conditionalFormatting sqref="H1:H1048576">
    <cfRule type="cellIs" dxfId="90" priority="2329" operator="lessThan">
      <formula>0</formula>
    </cfRule>
  </conditionalFormatting>
  <conditionalFormatting sqref="H1:H1048576">
    <cfRule type="cellIs" dxfId="89" priority="2328" operator="lessThan">
      <formula>0</formula>
    </cfRule>
  </conditionalFormatting>
  <conditionalFormatting sqref="H1:H1048576">
    <cfRule type="cellIs" dxfId="88" priority="2327" operator="lessThan">
      <formula>0</formula>
    </cfRule>
  </conditionalFormatting>
  <conditionalFormatting sqref="H1:H1048576">
    <cfRule type="cellIs" dxfId="87" priority="2326" operator="lessThan">
      <formula>0</formula>
    </cfRule>
  </conditionalFormatting>
  <conditionalFormatting sqref="H1:H1048576">
    <cfRule type="cellIs" dxfId="86" priority="2325" operator="lessThan">
      <formula>0</formula>
    </cfRule>
  </conditionalFormatting>
  <conditionalFormatting sqref="H1:H1048576">
    <cfRule type="cellIs" dxfId="85" priority="2324" operator="lessThan">
      <formula>0</formula>
    </cfRule>
  </conditionalFormatting>
  <conditionalFormatting sqref="H1:H1048576">
    <cfRule type="cellIs" dxfId="84" priority="2323" operator="lessThan">
      <formula>0</formula>
    </cfRule>
  </conditionalFormatting>
  <conditionalFormatting sqref="H1:H1048576">
    <cfRule type="cellIs" dxfId="83" priority="2322" operator="lessThan">
      <formula>0</formula>
    </cfRule>
  </conditionalFormatting>
  <conditionalFormatting sqref="H1:H1048576">
    <cfRule type="cellIs" dxfId="82" priority="2321" operator="lessThan">
      <formula>0</formula>
    </cfRule>
  </conditionalFormatting>
  <conditionalFormatting sqref="H1:H1048576">
    <cfRule type="cellIs" dxfId="81" priority="2320" operator="lessThan">
      <formula>0</formula>
    </cfRule>
  </conditionalFormatting>
  <conditionalFormatting sqref="H1:H1048576">
    <cfRule type="cellIs" dxfId="80" priority="2319" operator="lessThan">
      <formula>0</formula>
    </cfRule>
  </conditionalFormatting>
  <conditionalFormatting sqref="H1:H1048576">
    <cfRule type="cellIs" dxfId="79" priority="2318" operator="lessThan">
      <formula>0</formula>
    </cfRule>
  </conditionalFormatting>
  <conditionalFormatting sqref="H1:H1048576">
    <cfRule type="cellIs" dxfId="78" priority="2317" operator="lessThan">
      <formula>0</formula>
    </cfRule>
  </conditionalFormatting>
  <conditionalFormatting sqref="H1:H1048576">
    <cfRule type="cellIs" dxfId="77" priority="2316" operator="lessThan">
      <formula>0</formula>
    </cfRule>
  </conditionalFormatting>
  <conditionalFormatting sqref="H1:H1048576">
    <cfRule type="cellIs" dxfId="76" priority="2315" operator="lessThan">
      <formula>0</formula>
    </cfRule>
  </conditionalFormatting>
  <conditionalFormatting sqref="H1:H1048576">
    <cfRule type="cellIs" dxfId="75" priority="2314" operator="lessThan">
      <formula>0</formula>
    </cfRule>
  </conditionalFormatting>
  <conditionalFormatting sqref="H1:H1048576">
    <cfRule type="cellIs" dxfId="74" priority="2313" operator="lessThan">
      <formula>0</formula>
    </cfRule>
  </conditionalFormatting>
  <conditionalFormatting sqref="H1:H1048576">
    <cfRule type="cellIs" dxfId="73" priority="2312" operator="lessThan">
      <formula>0</formula>
    </cfRule>
  </conditionalFormatting>
  <conditionalFormatting sqref="H1:H1048576">
    <cfRule type="cellIs" dxfId="72" priority="2311" operator="lessThan">
      <formula>0</formula>
    </cfRule>
  </conditionalFormatting>
  <conditionalFormatting sqref="H1:H1048576">
    <cfRule type="cellIs" dxfId="71" priority="2310" operator="lessThan">
      <formula>0</formula>
    </cfRule>
  </conditionalFormatting>
  <conditionalFormatting sqref="H1:H1048576">
    <cfRule type="cellIs" dxfId="70" priority="2309" operator="lessThan">
      <formula>0</formula>
    </cfRule>
  </conditionalFormatting>
  <conditionalFormatting sqref="H1:H1048576">
    <cfRule type="cellIs" dxfId="69" priority="2308" operator="lessThan">
      <formula>0</formula>
    </cfRule>
  </conditionalFormatting>
  <conditionalFormatting sqref="H1:H1048576">
    <cfRule type="cellIs" dxfId="68" priority="2307" operator="lessThan">
      <formula>0</formula>
    </cfRule>
  </conditionalFormatting>
  <conditionalFormatting sqref="H1:H1048576">
    <cfRule type="cellIs" dxfId="67" priority="2306" operator="lessThan">
      <formula>0</formula>
    </cfRule>
  </conditionalFormatting>
  <conditionalFormatting sqref="H1:H1048576">
    <cfRule type="cellIs" dxfId="66" priority="2305" operator="lessThan">
      <formula>0</formula>
    </cfRule>
  </conditionalFormatting>
  <conditionalFormatting sqref="H1:H1048576">
    <cfRule type="cellIs" dxfId="65" priority="2304" operator="lessThan">
      <formula>0</formula>
    </cfRule>
  </conditionalFormatting>
  <conditionalFormatting sqref="H1:H1048576">
    <cfRule type="cellIs" dxfId="64" priority="2303" operator="lessThan">
      <formula>0</formula>
    </cfRule>
  </conditionalFormatting>
  <conditionalFormatting sqref="H1:H1048576">
    <cfRule type="cellIs" dxfId="63" priority="2302" operator="lessThan">
      <formula>0</formula>
    </cfRule>
  </conditionalFormatting>
  <conditionalFormatting sqref="H1:H1048576">
    <cfRule type="cellIs" dxfId="62" priority="2301" operator="lessThan">
      <formula>0</formula>
    </cfRule>
  </conditionalFormatting>
  <conditionalFormatting sqref="H1:H1048576">
    <cfRule type="cellIs" dxfId="61" priority="2300" operator="lessThan">
      <formula>0</formula>
    </cfRule>
  </conditionalFormatting>
  <conditionalFormatting sqref="H1:H1048576">
    <cfRule type="cellIs" dxfId="60" priority="2299" operator="lessThan">
      <formula>0</formula>
    </cfRule>
  </conditionalFormatting>
  <conditionalFormatting sqref="H1:H1048576">
    <cfRule type="cellIs" dxfId="59" priority="2298" operator="lessThan">
      <formula>0</formula>
    </cfRule>
  </conditionalFormatting>
  <conditionalFormatting sqref="H1:H1048576">
    <cfRule type="cellIs" dxfId="58" priority="2297" operator="lessThan">
      <formula>0</formula>
    </cfRule>
  </conditionalFormatting>
  <conditionalFormatting sqref="H1:H1048576">
    <cfRule type="cellIs" dxfId="57" priority="2296" operator="lessThan">
      <formula>0</formula>
    </cfRule>
  </conditionalFormatting>
  <conditionalFormatting sqref="H1:H1048576">
    <cfRule type="cellIs" dxfId="56" priority="2295" operator="lessThan">
      <formula>0</formula>
    </cfRule>
  </conditionalFormatting>
  <conditionalFormatting sqref="H1:H1048576">
    <cfRule type="cellIs" dxfId="55" priority="2294" operator="lessThan">
      <formula>0</formula>
    </cfRule>
  </conditionalFormatting>
  <conditionalFormatting sqref="H1:H1048576">
    <cfRule type="cellIs" dxfId="54" priority="2293" operator="lessThan">
      <formula>0</formula>
    </cfRule>
  </conditionalFormatting>
  <conditionalFormatting sqref="H1:H1048576">
    <cfRule type="cellIs" dxfId="53" priority="2292" operator="lessThan">
      <formula>0</formula>
    </cfRule>
  </conditionalFormatting>
  <conditionalFormatting sqref="H1:H1048576">
    <cfRule type="cellIs" dxfId="52" priority="2291" operator="lessThan">
      <formula>0</formula>
    </cfRule>
  </conditionalFormatting>
  <conditionalFormatting sqref="H1:H1048576">
    <cfRule type="cellIs" dxfId="51" priority="2290" operator="lessThan">
      <formula>0</formula>
    </cfRule>
  </conditionalFormatting>
  <conditionalFormatting sqref="H1:H1048576">
    <cfRule type="cellIs" dxfId="50" priority="2289" operator="lessThan">
      <formula>0</formula>
    </cfRule>
  </conditionalFormatting>
  <conditionalFormatting sqref="H1:H1048576">
    <cfRule type="cellIs" dxfId="49" priority="2288" operator="lessThan">
      <formula>0</formula>
    </cfRule>
  </conditionalFormatting>
  <conditionalFormatting sqref="H1:H1048576">
    <cfRule type="cellIs" dxfId="48" priority="2287" operator="lessThan">
      <formula>0</formula>
    </cfRule>
  </conditionalFormatting>
  <conditionalFormatting sqref="B1:E1048576">
    <cfRule type="cellIs" dxfId="0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67"/>
  <sheetViews>
    <sheetView tabSelected="1" zoomScale="85" zoomScaleNormal="85" zoomScaleSheetLayoutView="90" workbookViewId="0">
      <pane xSplit="6" ySplit="11" topLeftCell="G18" activePane="bottomRight" state="frozen"/>
      <selection pane="topRight" activeCell="F1" sqref="F1"/>
      <selection pane="bottomLeft" activeCell="A14" sqref="A14"/>
      <selection pane="bottomRight" activeCell="L34" sqref="L34"/>
    </sheetView>
  </sheetViews>
  <sheetFormatPr defaultRowHeight="15" outlineLevelCol="2"/>
  <cols>
    <col min="1" max="1" width="2.140625" style="336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cm="1">
        <f t="array" ref="C1">_xll.BDP(B1&amp;" EQUITY","LAST_PRICE")</f>
        <v>331.11</v>
      </c>
      <c r="D1" s="172">
        <f t="shared" ref="D1:D10" si="0">C1/E1-1</f>
        <v>-5.7349833987319077E-4</v>
      </c>
      <c r="E1" s="239">
        <f>_xll.BDP(B1&amp;" EQUITY","PX_YEST_CLOSE")</f>
        <v>331.3</v>
      </c>
      <c r="H1" t="s">
        <v>6</v>
      </c>
      <c r="I1" s="173" cm="1">
        <f t="array" ref="I1">_xll.BDP(H1&amp;" EQUITY","LAST_PRICE")</f>
        <v>87.64</v>
      </c>
      <c r="J1" s="172">
        <f t="shared" ref="J1:J10" si="1">I1/K1-1</f>
        <v>1.6705336426914075E-2</v>
      </c>
      <c r="K1" s="239">
        <f>_xll.BDP(H1&amp;" EQUITY","PX_YEST_CLOSE")</f>
        <v>86.2</v>
      </c>
      <c r="M1" s="5">
        <f>J48/4</f>
        <v>8.167957405614712E-3</v>
      </c>
      <c r="P1" s="50"/>
      <c r="Q1" t="s">
        <v>1912</v>
      </c>
      <c r="R1" s="5">
        <f>SUM(U23:U53)</f>
        <v>2.3855496592540916E-2</v>
      </c>
      <c r="S1" s="5">
        <f>T1/R1/10000</f>
        <v>7.8941827606656481E-3</v>
      </c>
      <c r="T1" s="276">
        <f>SUM(V23:V53)</f>
        <v>1.883196499479546</v>
      </c>
      <c r="U1" s="412"/>
      <c r="V1" s="368"/>
      <c r="W1" s="276"/>
      <c r="AG1" s="129">
        <v>0.28000000000000003</v>
      </c>
    </row>
    <row r="2" spans="1:39">
      <c r="B2" t="s">
        <v>94</v>
      </c>
      <c r="C2" s="173" cm="1">
        <f t="array" ref="C2">_xll.BDP(B2&amp;" EQUITY","LAST_PRICE")</f>
        <v>185.61</v>
      </c>
      <c r="D2" s="172">
        <f t="shared" si="0"/>
        <v>-2.8880866425992635E-2</v>
      </c>
      <c r="E2" s="239" cm="1">
        <f t="array" ref="E2">_xll.BDP(B2&amp;" EQUITY","PX_YEST_CLOSE")</f>
        <v>191.13</v>
      </c>
      <c r="H2" t="s">
        <v>89</v>
      </c>
      <c r="I2" s="173" cm="1">
        <f t="array" ref="I2">_xll.BDP(H2&amp;" EQUITY","LAST_PRICE")</f>
        <v>89.52</v>
      </c>
      <c r="J2" s="172">
        <f t="shared" si="1"/>
        <v>-8.7476469936884627E-3</v>
      </c>
      <c r="K2" s="239">
        <f>_xll.BDP(H2&amp;" EQUITY","PX_YEST_CLOSE")</f>
        <v>90.31</v>
      </c>
      <c r="O2" s="50"/>
      <c r="P2" s="50"/>
      <c r="R2" s="5"/>
      <c r="S2" s="5"/>
      <c r="T2" s="276"/>
      <c r="U2" s="369"/>
      <c r="V2" s="368"/>
      <c r="W2" s="276">
        <f>W5/W6</f>
        <v>-0.86110896085682564</v>
      </c>
      <c r="Z2" s="19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cm="1">
        <f t="array" ref="C3">_xll.BDP(B3&amp;" EQUITY","LAST_PRICE")</f>
        <v>341.36</v>
      </c>
      <c r="D3" s="172">
        <f t="shared" si="0"/>
        <v>3.2671829622458848E-2</v>
      </c>
      <c r="E3" s="239">
        <f>_xll.BDP(B3&amp;" EQUITY","PX_YEST_CLOSE")</f>
        <v>330.56</v>
      </c>
      <c r="H3" t="s">
        <v>136</v>
      </c>
      <c r="I3" s="173" cm="1">
        <f t="array" ref="I3">_xll.BDP(H3&amp;" EQUITY","LAST_PRICE")</f>
        <v>407.97</v>
      </c>
      <c r="J3" s="172">
        <f t="shared" si="1"/>
        <v>1.1178307638923357E-2</v>
      </c>
      <c r="K3" s="239" cm="1">
        <f t="array" ref="K3">_xll.BDP(H3&amp;" EQUITY","PX_YEST_CLOSE")</f>
        <v>403.46</v>
      </c>
      <c r="L3" s="174"/>
      <c r="O3" s="5"/>
      <c r="R3" s="5"/>
      <c r="S3" s="5"/>
      <c r="T3" s="276"/>
      <c r="U3" s="276">
        <f>U5/-U6</f>
        <v>6.4700620127910478</v>
      </c>
      <c r="W3" s="45" t="s">
        <v>154</v>
      </c>
      <c r="X3" s="5">
        <f>_xll.BDP("SPY Equity","LAST_PRICE")/_xll.BDP("SPY Equity","PX_YEST_CLOSE")-1</f>
        <v>4.9713137852795963E-3</v>
      </c>
      <c r="AC3" s="93" cm="1">
        <f t="array" ref="AC3">_xll.BDP("brl Curncy","LAST_PRICE")</f>
        <v>5.2567000000000004</v>
      </c>
      <c r="AD3" s="8">
        <f>AD5*$AC$3</f>
        <v>11806732541.955601</v>
      </c>
      <c r="AF3" s="3"/>
      <c r="AG3"/>
      <c r="AH3" s="32"/>
      <c r="AI3"/>
    </row>
    <row r="4" spans="1:39" ht="30.75" thickBot="1">
      <c r="B4" t="s">
        <v>569</v>
      </c>
      <c r="C4" s="173" cm="1">
        <f t="array" ref="C4">_xll.BDP(B4&amp;" EQUITY","LAST_PRICE")</f>
        <v>437.8</v>
      </c>
      <c r="D4" s="172">
        <f t="shared" si="0"/>
        <v>5.5244890088700371E-2</v>
      </c>
      <c r="E4" s="239" cm="1">
        <f t="array" ref="E4">_xll.BDP(B4&amp;" EQUITY","PX_YEST_CLOSE")</f>
        <v>414.88</v>
      </c>
      <c r="F4" s="7"/>
      <c r="G4" s="7"/>
      <c r="H4" t="s">
        <v>0</v>
      </c>
      <c r="I4" s="173" cm="1">
        <f t="array" ref="I4">_xll.BDP(H4&amp;" EQUITY","LAST_PRICE")</f>
        <v>695.41</v>
      </c>
      <c r="J4" s="172">
        <f t="shared" si="1"/>
        <v>4.9713137852795963E-3</v>
      </c>
      <c r="K4" s="239" cm="1">
        <f t="array" ref="K4">_xll.BDP(H4&amp;" EQUITY","PX_YEST_CLOSE")</f>
        <v>691.97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1872</v>
      </c>
      <c r="AF4" s="3"/>
      <c r="AG4"/>
      <c r="AH4" s="32"/>
      <c r="AI4"/>
    </row>
    <row r="5" spans="1:39">
      <c r="B5" t="s">
        <v>399</v>
      </c>
      <c r="C5" s="173" cm="1">
        <f t="array" ref="C5">_xll.BDP(B5&amp;" EQUITY","LAST_PRICE")</f>
        <v>242.96</v>
      </c>
      <c r="D5" s="172">
        <f t="shared" si="0"/>
        <v>1.5294609277058058E-2</v>
      </c>
      <c r="E5" s="239" cm="1">
        <f t="array" ref="E5">_xll.BDP(B5&amp;" EQUITY","PX_YEST_CLOSE")</f>
        <v>239.3</v>
      </c>
      <c r="H5" t="s">
        <v>3</v>
      </c>
      <c r="I5" s="175" cm="1">
        <f t="array" ref="I5">_xll.BDP(H5&amp;" EQUITY","LAST_PRICE")</f>
        <v>199.1</v>
      </c>
      <c r="J5" s="172">
        <f t="shared" si="1"/>
        <v>5.1494345718900991E-3</v>
      </c>
      <c r="K5" s="239" cm="1">
        <f t="array" ref="K5">_xll.BDP(H5&amp;" EQUITY","PX_YEST_CLOSE")</f>
        <v>198.08</v>
      </c>
      <c r="L5" s="174"/>
      <c r="O5" s="27">
        <f>SUMIF(O12:O56,"&gt;0")</f>
        <v>3.1783319608757736E-2</v>
      </c>
      <c r="P5" s="20">
        <f>SUMIF($F$12:$F$56,"Long",P12:P56)</f>
        <v>-0.22490660888076044</v>
      </c>
      <c r="R5" s="27">
        <f>SUMIF(R12:R56,"&gt;0")</f>
        <v>1.0978267128491878E-2</v>
      </c>
      <c r="S5" s="170">
        <f>SUMIF($F$12:$F$56,"Long",S12:S56)</f>
        <v>2.0732278747482979</v>
      </c>
      <c r="T5" t="s">
        <v>99</v>
      </c>
      <c r="U5" s="33">
        <f>SUMIF($F$12:$F$56,"Long",U12:U56)</f>
        <v>2.5981238299317849E-2</v>
      </c>
      <c r="V5" s="39">
        <f>SUMIF($F$12:$F$56,"Long",V12:V56)</f>
        <v>1.8483212658675374</v>
      </c>
      <c r="W5" s="5">
        <f>V5/U5/10000</f>
        <v>7.1140614799567346E-3</v>
      </c>
      <c r="X5" s="5">
        <f>W5-$X$3</f>
        <v>2.1427476946771383E-3</v>
      </c>
      <c r="Y5" s="55">
        <f>$U5*X5*10000</f>
        <v>0.55671238470720696</v>
      </c>
      <c r="Z5" s="9">
        <f>U5*$X$3*10000</f>
        <v>1.2916088811603303</v>
      </c>
      <c r="AA5" s="33">
        <f>SUMIF($F$12:$F$56,"Long",AA12:AA56)</f>
        <v>3.3517300833510399E-2</v>
      </c>
      <c r="AB5" s="276">
        <f>AA5/U5</f>
        <v>1.2900578658866468</v>
      </c>
      <c r="AC5" s="87" t="s">
        <v>167</v>
      </c>
      <c r="AD5" s="88">
        <v>2246035068</v>
      </c>
      <c r="AE5" s="89">
        <f>AD5</f>
        <v>2246035068</v>
      </c>
      <c r="AF5" s="3"/>
      <c r="AG5"/>
      <c r="AH5" s="32"/>
      <c r="AI5"/>
    </row>
    <row r="6" spans="1:39">
      <c r="B6" t="s">
        <v>79</v>
      </c>
      <c r="C6" s="173" cm="1">
        <f t="array" ref="C6">_xll.BDP(B6&amp;" EQUITY","LAST_PRICE")</f>
        <v>270.01</v>
      </c>
      <c r="D6" s="172">
        <f t="shared" si="0"/>
        <v>4.0581162324649256E-2</v>
      </c>
      <c r="E6" s="239" cm="1">
        <f t="array" ref="E6">_xll.BDP(B6&amp;" EQUITY","PX_YEST_CLOSE")</f>
        <v>259.48</v>
      </c>
      <c r="H6" t="s">
        <v>135</v>
      </c>
      <c r="I6" s="176" cm="1">
        <f t="array" ref="I6">_xll.BDP(H6&amp;" EQUITY","LAST_PRICE")</f>
        <v>626.14</v>
      </c>
      <c r="J6" s="172">
        <f t="shared" si="1"/>
        <v>6.8663868654219584E-3</v>
      </c>
      <c r="K6" s="239" cm="1">
        <f t="array" ref="K6">_xll.BDP(H6&amp;" EQUITY","PX_YEST_CLOSE")</f>
        <v>621.87</v>
      </c>
      <c r="L6" s="1">
        <f>$S$1/J6</f>
        <v>1.1496851132026231</v>
      </c>
      <c r="O6" s="27">
        <f>SUMIF(O12:O56,"&lt;0")</f>
        <v>-1.7766038163475141E-2</v>
      </c>
      <c r="P6" s="20">
        <f>SUMIF($F$12:$F$56,"Short",P12:P56)</f>
        <v>0.42575439530434256</v>
      </c>
      <c r="R6" s="27">
        <f>SUMIF(R12:R56,"&lt;0")</f>
        <v>-3.0299191276568064E-3</v>
      </c>
      <c r="S6" s="170">
        <f>SUMIF($F$12:$F$56,"Short",S12:S56)</f>
        <v>-9.4004412901425929E-2</v>
      </c>
      <c r="T6" t="s">
        <v>100</v>
      </c>
      <c r="U6" s="33">
        <f>SUMIF($F$12:$F$56,"Short",U12:U56)</f>
        <v>-4.0156088532001706E-3</v>
      </c>
      <c r="V6" s="39">
        <f>SUMIF($F$12:$F$56,"Short",V12:V56)</f>
        <v>0.33174998240291664</v>
      </c>
      <c r="W6" s="5">
        <f>V6/U6/10000</f>
        <v>-8.2615113804855311E-3</v>
      </c>
      <c r="X6" s="5">
        <f>$X$3-W6</f>
        <v>1.3232825165765127E-2</v>
      </c>
      <c r="Y6" s="55">
        <f>-$U6*X6*10000</f>
        <v>0.53137849888496458</v>
      </c>
      <c r="Z6" s="9">
        <f>U6*$X$3*10000</f>
        <v>-0.19962851648204799</v>
      </c>
      <c r="AA6" s="33" t="e">
        <f>SUMIF($F$12:$F$56,"Short",AA12:AA56)</f>
        <v>#VALUE!</v>
      </c>
      <c r="AB6" s="276" t="e">
        <f>AA6/U6</f>
        <v>#VALUE!</v>
      </c>
      <c r="AC6" s="87" t="s">
        <v>168</v>
      </c>
      <c r="AD6" s="133">
        <v>150129038</v>
      </c>
      <c r="AE6" s="89">
        <f>AD6</f>
        <v>150129038</v>
      </c>
      <c r="AF6" s="3"/>
      <c r="AG6"/>
      <c r="AH6" s="32"/>
      <c r="AI6"/>
    </row>
    <row r="7" spans="1:39" ht="15.75" thickBot="1">
      <c r="B7" t="s">
        <v>90</v>
      </c>
      <c r="C7" s="175" cm="1">
        <f t="array" ref="C7">_xll.BDP(B7&amp;" EQUITY","LAST_PRICE")</f>
        <v>423.37</v>
      </c>
      <c r="D7" s="172">
        <f t="shared" si="0"/>
        <v>-1.6082177136349962E-2</v>
      </c>
      <c r="E7" s="239" cm="1">
        <f t="array" ref="E7">_xll.BDP(B7&amp;" EQUITY","PX_YEST_CLOSE")</f>
        <v>430.29</v>
      </c>
      <c r="H7" t="s">
        <v>143</v>
      </c>
      <c r="I7" s="175" cm="1">
        <f t="array" ref="I7">_xll.BDP(H7&amp;" EQUITY","LAST_PRICE")</f>
        <v>104.54</v>
      </c>
      <c r="J7" s="172">
        <f t="shared" si="1"/>
        <v>6.4503706556271467E-3</v>
      </c>
      <c r="K7" s="239">
        <f>_xll.BDP(H7&amp;" EQUITY","PX_YEST_CLOSE")</f>
        <v>103.87</v>
      </c>
      <c r="L7" s="174"/>
      <c r="M7"/>
      <c r="N7" s="28"/>
      <c r="O7" s="29">
        <f>O5+O6</f>
        <v>1.4017281445282595E-2</v>
      </c>
      <c r="P7" s="169">
        <f>SUM(P12:P56)</f>
        <v>0.18665844107997076</v>
      </c>
      <c r="Q7" s="28"/>
      <c r="R7" s="29">
        <f>R5+R6</f>
        <v>7.9483480008350725E-3</v>
      </c>
      <c r="S7" s="169">
        <f>SUM(S12:S56)</f>
        <v>1.9792234618468716</v>
      </c>
      <c r="T7" s="440" t="s">
        <v>2272</v>
      </c>
      <c r="U7" s="344">
        <f>U5+U6</f>
        <v>2.1965629446117678E-2</v>
      </c>
      <c r="V7" s="345">
        <f>V5+V6</f>
        <v>2.1800712482704538</v>
      </c>
      <c r="W7" s="44">
        <f>V7/U7/10000</f>
        <v>9.9249204472752831E-3</v>
      </c>
      <c r="X7" s="44"/>
      <c r="Y7" s="56">
        <f>Y5+Y6</f>
        <v>1.0880908835921717</v>
      </c>
      <c r="Z7" s="47">
        <f>Z5+Z6</f>
        <v>1.0919803646782824</v>
      </c>
      <c r="AA7" s="34" t="e">
        <f>AA5+AA6</f>
        <v>#VALUE!</v>
      </c>
      <c r="AB7" s="43"/>
      <c r="AC7" s="90" t="s">
        <v>169</v>
      </c>
      <c r="AD7" s="91">
        <f>AD5+AD6</f>
        <v>2396164106</v>
      </c>
      <c r="AE7" s="92">
        <f>AE5+AE6</f>
        <v>2396164106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cm="1">
        <f t="array" ref="C8">_xll.BDP(B8&amp;" EQUITY","LAST_PRICE")</f>
        <v>343.69</v>
      </c>
      <c r="D8" s="172">
        <f t="shared" si="0"/>
        <v>1.6834319526627173E-2</v>
      </c>
      <c r="E8" s="239" cm="1">
        <f t="array" ref="E8">_xll.BDP(B8&amp;" EQUITY","PX_YEST_CLOSE")</f>
        <v>338</v>
      </c>
      <c r="F8" s="16"/>
      <c r="G8" s="16"/>
      <c r="H8" t="s">
        <v>144</v>
      </c>
      <c r="I8" s="175" cm="1">
        <f t="array" ref="I8">_xll.BDP(H8&amp;" EQUITY","LAST_PRICE")</f>
        <v>262.18</v>
      </c>
      <c r="J8" s="172">
        <f t="shared" si="1"/>
        <v>9.7438860003853378E-3</v>
      </c>
      <c r="K8" s="239" cm="1">
        <f t="array" ref="K8">_xll.BDP(H8&amp;" EQUITY","PX_YEST_CLOSE")</f>
        <v>259.64999999999998</v>
      </c>
      <c r="M8"/>
      <c r="N8" s="6"/>
      <c r="O8" s="30">
        <f>O5-O6</f>
        <v>4.9549357772232877E-2</v>
      </c>
      <c r="P8" s="31"/>
      <c r="Q8" s="6"/>
      <c r="R8" s="30">
        <f>R5-R6</f>
        <v>1.4008186256148684E-2</v>
      </c>
      <c r="S8" s="31"/>
      <c r="T8" s="6" t="s">
        <v>67</v>
      </c>
      <c r="U8" s="35">
        <f>U5-U6</f>
        <v>2.9996847152518019E-2</v>
      </c>
      <c r="V8" s="41"/>
      <c r="AA8" s="35" t="e">
        <f>AA5-AA6</f>
        <v>#VALUE!</v>
      </c>
      <c r="AB8" s="43"/>
      <c r="AD8" s="49">
        <f>AD5/AD7</f>
        <v>0.93734609510923039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cm="1">
        <f t="array" ref="C9">_xll.BDP(B9&amp;" EQUITY","LAST_PRICE")</f>
        <v>706.41</v>
      </c>
      <c r="D9" s="172">
        <f t="shared" si="0"/>
        <v>-1.4082344731332963E-2</v>
      </c>
      <c r="E9" s="239">
        <f>_xll.BDP(B9&amp;" EQUITY","PX_YEST_CLOSE")</f>
        <v>716.5</v>
      </c>
      <c r="F9" s="16"/>
      <c r="G9" s="16"/>
      <c r="H9" t="s">
        <v>484</v>
      </c>
      <c r="I9" s="175" cm="1">
        <f t="array" ref="I9">_xll.BDP(H9&amp;" EQUITY","LAST_PRICE")</f>
        <v>85.2</v>
      </c>
      <c r="J9" s="172">
        <f t="shared" si="1"/>
        <v>4.5985143261408901E-3</v>
      </c>
      <c r="K9" s="239" cm="1">
        <f t="array" ref="K9">_xll.BDP(H9&amp;" EQUITY","PX_YEST_CLOSE")</f>
        <v>84.81</v>
      </c>
      <c r="N9" s="6"/>
      <c r="O9" s="30"/>
      <c r="P9" s="46"/>
      <c r="Q9" s="6"/>
      <c r="R9" s="30"/>
      <c r="S9" s="46"/>
      <c r="T9" s="339" t="s">
        <v>2135</v>
      </c>
      <c r="U9" s="340">
        <f>SUM(U21:U21)</f>
        <v>7.8617319877338982E-4</v>
      </c>
      <c r="V9" s="341">
        <f>SUM(V21:V21)</f>
        <v>-8.3466737315404194E-4</v>
      </c>
      <c r="W9" s="123">
        <v>0.7</v>
      </c>
      <c r="X9" s="221">
        <v>0.25</v>
      </c>
      <c r="AD9" s="18"/>
      <c r="AF9" s="3"/>
      <c r="AG9" s="276"/>
      <c r="AH9" s="32"/>
      <c r="AI9"/>
    </row>
    <row r="10" spans="1:39">
      <c r="B10" t="s">
        <v>1887</v>
      </c>
      <c r="C10" s="175" cm="1">
        <f t="array" ref="C10">_xll.BDP(B10&amp;" EQUITY","LAST_PRICE")</f>
        <v>160.06</v>
      </c>
      <c r="D10" s="172">
        <f t="shared" si="0"/>
        <v>-2.7463847369060712E-2</v>
      </c>
      <c r="E10" s="239">
        <f>_xll.BDP(B10&amp;" EQUITY","PX_YEST_CLOSE")</f>
        <v>164.58</v>
      </c>
      <c r="F10" s="13"/>
      <c r="G10" s="13"/>
      <c r="H10" t="s">
        <v>131</v>
      </c>
      <c r="I10" s="175" cm="1">
        <f t="array" ref="I10">_xll.BDP(H10&amp;" EQUITY","LAST_PRICE")</f>
        <v>94.19</v>
      </c>
      <c r="J10" s="172">
        <f t="shared" si="1"/>
        <v>-1.0615711252659477E-4</v>
      </c>
      <c r="K10" s="239">
        <f>_xll.BDP(H10&amp;" EQUITY","PX_YEST_CLOSE")</f>
        <v>94.2</v>
      </c>
      <c r="N10" s="6"/>
      <c r="P10" s="50">
        <f>SUM(Tabelad[D1 P&amp;L bps])</f>
        <v>0.18665844107997076</v>
      </c>
      <c r="Q10" s="6"/>
      <c r="S10" s="50">
        <f>SUM(Tabelad[Options P&amp;L bps])</f>
        <v>1.9792234618468716</v>
      </c>
      <c r="T10" s="342" t="s">
        <v>2273</v>
      </c>
      <c r="U10" s="342">
        <f>U7+U9</f>
        <v>2.2751802644891069E-2</v>
      </c>
      <c r="V10" s="343">
        <f>V7+V9</f>
        <v>2.1792365808973</v>
      </c>
      <c r="W10" s="17">
        <f>AE7*W9/10000</f>
        <v>167731.48741999999</v>
      </c>
      <c r="X10" s="347"/>
      <c r="Y10" s="54">
        <v>0.35</v>
      </c>
      <c r="Z10" s="38">
        <f>SUM(Tabelad[Beta Adj])</f>
        <v>5.5240711876375661</v>
      </c>
      <c r="AA10" s="71" t="e">
        <f>AA7-SUM(#REF!)</f>
        <v>#VALUE!</v>
      </c>
      <c r="AD10" s="15">
        <f>SUM(Tabelad[Daily P&amp;L])</f>
        <v>41924.1404403825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SUM(AH12:AH56)+#REF!+#REF!</f>
        <v>#VALUE!</v>
      </c>
      <c r="AI10"/>
    </row>
    <row r="11" spans="1:39" s="10" customFormat="1" ht="36" customHeight="1" thickBot="1">
      <c r="A11" s="385"/>
      <c r="B11" s="57" t="s">
        <v>173</v>
      </c>
      <c r="C11" s="57" t="s">
        <v>1873</v>
      </c>
      <c r="D11" s="57" t="s">
        <v>1874</v>
      </c>
      <c r="E11" s="57" t="s">
        <v>175</v>
      </c>
      <c r="F11" s="57" t="s">
        <v>176</v>
      </c>
      <c r="G11" s="57" t="s">
        <v>177</v>
      </c>
      <c r="H11" s="57" t="s">
        <v>1707</v>
      </c>
      <c r="I11" s="417" t="s">
        <v>178</v>
      </c>
      <c r="J11" s="418" t="s">
        <v>103</v>
      </c>
      <c r="K11" s="431" t="s">
        <v>179</v>
      </c>
      <c r="L11" s="419" t="s">
        <v>180</v>
      </c>
      <c r="M11" s="420" t="s">
        <v>181</v>
      </c>
      <c r="N11" s="419" t="s">
        <v>182</v>
      </c>
      <c r="O11" s="57" t="s">
        <v>155</v>
      </c>
      <c r="P11" s="418" t="s">
        <v>156</v>
      </c>
      <c r="Q11" s="419" t="s">
        <v>183</v>
      </c>
      <c r="R11" s="57" t="s">
        <v>157</v>
      </c>
      <c r="S11" s="418" t="s">
        <v>158</v>
      </c>
      <c r="T11" s="57" t="s">
        <v>63</v>
      </c>
      <c r="U11" s="57" t="s">
        <v>159</v>
      </c>
      <c r="V11" s="418" t="s">
        <v>160</v>
      </c>
      <c r="W11" s="57" t="s">
        <v>184</v>
      </c>
      <c r="X11" s="417" t="s">
        <v>185</v>
      </c>
      <c r="Y11" s="421" t="s">
        <v>186</v>
      </c>
      <c r="Z11" s="57" t="s">
        <v>188</v>
      </c>
      <c r="AA11" s="57" t="s">
        <v>187</v>
      </c>
      <c r="AB11" s="421" t="s">
        <v>1695</v>
      </c>
      <c r="AC11" s="57" t="s">
        <v>1699</v>
      </c>
      <c r="AD11" s="57" t="s">
        <v>1701</v>
      </c>
      <c r="AE11" s="10" t="s">
        <v>189</v>
      </c>
      <c r="AF11" s="10" t="s">
        <v>190</v>
      </c>
      <c r="AG11" s="57" t="s">
        <v>191</v>
      </c>
      <c r="AH11" s="422" t="s">
        <v>192</v>
      </c>
      <c r="AI11" s="57" t="s">
        <v>1804</v>
      </c>
      <c r="AJ11" s="10" t="s">
        <v>193</v>
      </c>
    </row>
    <row r="12" spans="1:39">
      <c r="B12" s="40" t="s">
        <v>461</v>
      </c>
      <c r="C12" t="s">
        <v>1907</v>
      </c>
      <c r="E12" t="s">
        <v>194</v>
      </c>
      <c r="F12" s="22" t="str">
        <f t="shared" ref="F12:F19" si="2">IF(T12&gt;0,"Long","Short")</f>
        <v>Long</v>
      </c>
      <c r="G12" s="15"/>
      <c r="H12" s="438">
        <v>3378</v>
      </c>
      <c r="I12" s="36" cm="1">
        <f t="array" ref="I12">_xll.BDP(B12&amp;" Equity","LAST_PRICE")</f>
        <v>168.39</v>
      </c>
      <c r="J12" s="51">
        <f t="shared" ref="J12:J52" si="3">I12/K12-1</f>
        <v>-6.9002123142251071E-3</v>
      </c>
      <c r="K12" s="430" cm="1">
        <f t="array" ref="K12">_xll.BDP(B12&amp;" EQUITY","PX_YEST_CLOSE")</f>
        <v>169.56</v>
      </c>
      <c r="L12" s="53" cm="1">
        <f t="array" ref="L12">_xll.BDP(E12&amp;" Curncy","PX_LAST")</f>
        <v>1</v>
      </c>
      <c r="M12" s="52">
        <v>1</v>
      </c>
      <c r="N12" s="15">
        <f t="shared" ref="N12:N52" si="4">IFERROR(IF(((I12/L12)*H12*M12)&lt;&gt;0,((I12/L12)*H12*M12),0),"-")</f>
        <v>568821.41999999993</v>
      </c>
      <c r="O12" s="357">
        <f>IFERROR(IF(Tabelad[[#This Row],[D1 Exp USD]]&lt;&gt;0,N12/$AE$7,0),"-")</f>
        <v>2.3738834021245451E-4</v>
      </c>
      <c r="P12" s="20">
        <f>IFERROR(IF(Tabelad[[#This Row],[D1 Exp USD]]&lt;&gt;0,((I12-K12)/L12*M12*H12)/$AD$7*10000,0),"-")</f>
        <v>-1.6494112361100755E-2</v>
      </c>
      <c r="Q12" s="15">
        <f>IF(SUM(SUMIFS(Options!$AL$4:$AL$25, Options!$D$4:$D$25, B12), SUMIFS(Options!$AL$4:$AL$25, Options!$D$4:$D$25, B12 &amp; " US"))=0,0,SUM(SUMIFS(Options!$AL$4:$AL$25, Options!$D$4:$D$25, B12), SUMIFS(Options!$AL$4:$AL$25, Options!$D$4:$D$25, B12 &amp; " US")))</f>
        <v>0</v>
      </c>
      <c r="R12" s="19">
        <f t="shared" ref="R12:R14" si="5">Q12/$AE$7</f>
        <v>0</v>
      </c>
      <c r="S12" s="20">
        <f>IF(SUM(SUMIFS(Options!$AK$4:$AK$25, Options!$D$4:$D$25, B12), SUMIFS(Options!$AK$4:$AK$25, Options!$D$4:$D$25, B12 &amp; " US"))=0,0,SUM(SUMIFS(Options!$AK$4:$AK$25, Options!$D$4:$D$25, B12), SUMIFS(Options!AK$4:$AK$25, Options!$D$4:$D$25, B12 &amp; " US")))</f>
        <v>0</v>
      </c>
      <c r="T12" s="13">
        <f t="shared" ref="T12:T52" si="6">N12+Q12</f>
        <v>568821.41999999993</v>
      </c>
      <c r="U12" s="48">
        <f t="shared" ref="U12:U52" si="7">T12/$AE$7</f>
        <v>2.3738834021245451E-4</v>
      </c>
      <c r="V12" s="20">
        <f t="shared" ref="V12:V52" si="8">P12+S12</f>
        <v>-1.6494112361100755E-2</v>
      </c>
      <c r="W12" s="15">
        <f t="shared" ref="W12:W52" si="9">$W$10/(I12/L12*M12)</f>
        <v>996.08936053209811</v>
      </c>
      <c r="X12" s="19"/>
      <c r="Y12" s="375">
        <f>Tabelad[[#This Row],[Exp %]]*$Y$10*$AD$7/Tabelad[[#This Row],[Price Today]]</f>
        <v>1182.2999999999997</v>
      </c>
      <c r="Z12" s="266">
        <f>Tabelad[[#This Row],[Vol 10d]]/16*Tabelad[[#This Row],[Exp %]]*100</f>
        <v>6.2994650807677022E-2</v>
      </c>
      <c r="AA12" s="19">
        <f>Tabelad[[#This Row],[Exp %]]*Tabelad[[#This Row],[Beta Adj2]]</f>
        <v>2.033369302710409E-4</v>
      </c>
      <c r="AB12" s="36">
        <f>_xll.BDP($B12&amp;" Equity","volatility_10d")</f>
        <v>42.45846329355448</v>
      </c>
      <c r="AC12" s="36">
        <f>_xll.BDP(B12&amp;" EQUITY","eqy_beta")</f>
        <v>0.85655820369720459</v>
      </c>
      <c r="AD12" s="15">
        <f>Tabelad[[#This Row],[D1 P&amp;L bps]]*$AD$5/10000</f>
        <v>-3704.6354778564573</v>
      </c>
      <c r="AE12" s="277"/>
      <c r="AF12" s="231" t="str">
        <f>_xll.BDP(B12&amp;" Equity","EXPECTED_REPORT_DT")</f>
        <v>20/02/2026</v>
      </c>
      <c r="AG12" s="172" t="e">
        <f>_xll.BDP(B12&amp;" Index","CHG_PCT_1D_PRE_FROM_REGULAR")/100</f>
        <v>#VALUE!</v>
      </c>
      <c r="AH12" s="20" t="e">
        <f t="shared" ref="AH12:AH52" si="10">(T12*AG12)/$AD$7*10000</f>
        <v>#VALUE!</v>
      </c>
      <c r="AI12" s="437" t="str">
        <f>_xll.BDP(B12&amp;" Equity","DVD_EX_DT")</f>
        <v>12/06/2025</v>
      </c>
    </row>
    <row r="13" spans="1:39">
      <c r="B13" s="40" t="s">
        <v>2138</v>
      </c>
      <c r="C13" t="s">
        <v>1907</v>
      </c>
      <c r="E13" t="s">
        <v>194</v>
      </c>
      <c r="F13" s="22" t="str">
        <f t="shared" si="2"/>
        <v>Long</v>
      </c>
      <c r="G13" s="15"/>
      <c r="H13" s="438">
        <v>3510</v>
      </c>
      <c r="I13" s="36" cm="1">
        <f t="array" ref="I13">_xll.BDP(B13&amp;" Equity","LAST_PRICE")</f>
        <v>148.57</v>
      </c>
      <c r="J13" s="51">
        <f t="shared" si="3"/>
        <v>-3.0095312704008448E-2</v>
      </c>
      <c r="K13" s="430" cm="1">
        <f t="array" ref="K13">_xll.BDP(B13&amp;" EQUITY","PX_YEST_CLOSE")</f>
        <v>153.18</v>
      </c>
      <c r="L13" s="53" cm="1">
        <f t="array" ref="L13">_xll.BDP(E13&amp;" Curncy","PX_LAST")</f>
        <v>1</v>
      </c>
      <c r="M13" s="52">
        <v>1</v>
      </c>
      <c r="N13" s="15">
        <f t="shared" si="4"/>
        <v>521480.69999999995</v>
      </c>
      <c r="O13" s="357">
        <f>IFERROR(IF(Tabelad[[#This Row],[D1 Exp USD]]&lt;&gt;0,N13/$AE$7,0),"-")</f>
        <v>2.1763146300965414E-4</v>
      </c>
      <c r="P13" s="20">
        <f>IFERROR(IF(Tabelad[[#This Row],[D1 Exp USD]]&lt;&gt;0,((I13-K13)/L13*M13*H13)/$AD$7*10000,0),"-")</f>
        <v>-6.752918115867998E-2</v>
      </c>
      <c r="Q13" s="15">
        <f>IF(SUM(SUMIFS(Options!$AL$4:$AL$25, Options!$D$4:$D$25, B13), SUMIFS(Options!$AL$4:$AL$25, Options!$D$4:$D$25, B13 &amp; " US"))=0,0,SUM(SUMIFS(Options!$AL$4:$AL$25, Options!$D$4:$D$25, B13), SUMIFS(Options!$AL$4:$AL$25, Options!$D$4:$D$25, B13 &amp; " US")))</f>
        <v>0</v>
      </c>
      <c r="R13" s="19">
        <f t="shared" si="5"/>
        <v>0</v>
      </c>
      <c r="S13" s="20">
        <f>IF(SUM(SUMIFS(Options!$AK$4:$AK$25, Options!$D$4:$D$25, B13), SUMIFS(Options!$AK$4:$AK$25, Options!$D$4:$D$25, B13 &amp; " US"))=0,0,SUM(SUMIFS(Options!$AK$4:$AK$25, Options!$D$4:$D$25, B13), SUMIFS(Options!AK$4:$AK$25, Options!$D$4:$D$25, B13 &amp; " US")))</f>
        <v>0</v>
      </c>
      <c r="T13" s="13">
        <f t="shared" si="6"/>
        <v>521480.69999999995</v>
      </c>
      <c r="U13" s="48">
        <f t="shared" si="7"/>
        <v>2.1763146300965414E-4</v>
      </c>
      <c r="V13" s="20">
        <f t="shared" si="8"/>
        <v>-6.752918115867998E-2</v>
      </c>
      <c r="W13" s="15">
        <f t="shared" si="9"/>
        <v>1128.972790065289</v>
      </c>
      <c r="X13" s="19"/>
      <c r="Y13" s="375">
        <f>Tabelad[[#This Row],[Exp %]]*$Y$10*$AD$7/Tabelad[[#This Row],[Price Today]]</f>
        <v>1228.4999999999998</v>
      </c>
      <c r="Z13" s="266">
        <f>Tabelad[[#This Row],[Vol 10d]]/16*Tabelad[[#This Row],[Exp %]]*100</f>
        <v>7.343296245037062E-2</v>
      </c>
      <c r="AA13" s="19">
        <f>Tabelad[[#This Row],[Exp %]]*Tabelad[[#This Row],[Beta Adj2]]</f>
        <v>2.2553396350743241E-4</v>
      </c>
      <c r="AB13" s="36">
        <f>_xll.BDP($B13&amp;" Equity","volatility_10d")</f>
        <v>53.987019292050164</v>
      </c>
      <c r="AC13" s="36">
        <f>_xll.BDP(B13&amp;" EQUITY","eqy_beta")</f>
        <v>1.0363113880157471</v>
      </c>
      <c r="AD13" s="15">
        <f>Tabelad[[#This Row],[D1 P&amp;L bps]]*$AD$5/10000</f>
        <v>-15167.290899572012</v>
      </c>
      <c r="AE13" s="277"/>
      <c r="AF13" s="231" t="str">
        <f>_xll.BDP(B13&amp;" Equity","EXPECTED_REPORT_DT")</f>
        <v>26/02/2026</v>
      </c>
      <c r="AG13" s="172" t="e">
        <f>_xll.BDP(B13&amp;" Index","CHG_PCT_1D_PRE_FROM_REGULAR")/100</f>
        <v>#VALUE!</v>
      </c>
      <c r="AH13" s="20" t="e">
        <f t="shared" si="10"/>
        <v>#VALUE!</v>
      </c>
      <c r="AI13" s="437" t="str">
        <f>_xll.BDP(B13&amp;" Equity","DVD_EX_DT")</f>
        <v>#N/A Field Not Applicable</v>
      </c>
    </row>
    <row r="14" spans="1:39">
      <c r="B14" s="40" t="s">
        <v>38</v>
      </c>
      <c r="C14" t="s">
        <v>1907</v>
      </c>
      <c r="E14" t="s">
        <v>194</v>
      </c>
      <c r="F14" s="22" t="str">
        <f t="shared" si="2"/>
        <v>Long</v>
      </c>
      <c r="G14" s="15"/>
      <c r="H14" s="438">
        <v>21000</v>
      </c>
      <c r="I14" s="36" cm="1">
        <f t="array" ref="I14">_xll.BDP(B14&amp;" Equity","LAST_PRICE")</f>
        <v>33.08</v>
      </c>
      <c r="J14" s="51">
        <f t="shared" si="3"/>
        <v>-1.0765550239234423E-2</v>
      </c>
      <c r="K14" s="430" cm="1">
        <f t="array" ref="K14">_xll.BDP(B14&amp;" EQUITY","PX_YEST_CLOSE")</f>
        <v>33.44</v>
      </c>
      <c r="L14" s="53" cm="1">
        <f t="array" ref="L14">_xll.BDP(E14&amp;" Curncy","PX_LAST")</f>
        <v>1</v>
      </c>
      <c r="M14" s="52">
        <v>1</v>
      </c>
      <c r="N14" s="15">
        <f t="shared" si="4"/>
        <v>694680</v>
      </c>
      <c r="O14" s="357">
        <f>IFERROR(IF(Tabelad[[#This Row],[D1 Exp USD]]&lt;&gt;0,N14/$AE$7,0),"-")</f>
        <v>2.8991336539117661E-4</v>
      </c>
      <c r="P14" s="20">
        <f>IFERROR(IF(Tabelad[[#This Row],[D1 Exp USD]]&lt;&gt;0,((I14-K14)/L14*M14*H14)/$AD$7*10000,0),"-")</f>
        <v>-3.1550426705206594E-2</v>
      </c>
      <c r="Q14" s="15">
        <f>IF(SUM(SUMIFS(Options!$AL$4:$AL$25, Options!$D$4:$D$25, B14), SUMIFS(Options!$AL$4:$AL$25, Options!$D$4:$D$25, B14 &amp; " US"))=0,0,SUM(SUMIFS(Options!$AL$4:$AL$25, Options!$D$4:$D$25, B14), SUMIFS(Options!$AL$4:$AL$25, Options!$D$4:$D$25, B14 &amp; " US")))</f>
        <v>451142.18729734409</v>
      </c>
      <c r="R14" s="19">
        <f t="shared" si="5"/>
        <v>1.8827683219512515E-4</v>
      </c>
      <c r="S14" s="20">
        <f>IF(SUM(SUMIFS(Options!$AK$4:$AK$25, Options!$D$4:$D$25, B14), SUMIFS(Options!$AK$4:$AK$25, Options!$D$4:$D$25, B14 &amp; " US"))=0,0,SUM(SUMIFS(Options!$AK$4:$AK$25, Options!$D$4:$D$25, B14), SUMIFS(Options!AK$4:$AK$25, Options!$D$4:$D$25, B14 &amp; " US")))</f>
        <v>-1.7728661765313902E-2</v>
      </c>
      <c r="T14" s="13">
        <f t="shared" si="6"/>
        <v>1145822.1872973442</v>
      </c>
      <c r="U14" s="48">
        <f t="shared" si="7"/>
        <v>4.7819019758630179E-4</v>
      </c>
      <c r="V14" s="20">
        <f t="shared" si="8"/>
        <v>-4.9279088470520496E-2</v>
      </c>
      <c r="W14" s="15">
        <f t="shared" si="9"/>
        <v>5070.4802726723092</v>
      </c>
      <c r="X14" s="19"/>
      <c r="Y14" s="375">
        <f>Tabelad[[#This Row],[Exp %]]*$Y$10*$AD$7/Tabelad[[#This Row],[Price Today]]</f>
        <v>12123.269817233084</v>
      </c>
      <c r="Z14" s="266">
        <f>Tabelad[[#This Row],[Vol 10d]]/16*Tabelad[[#This Row],[Exp %]]*100</f>
        <v>3.7976085789365052E-2</v>
      </c>
      <c r="AA14" s="19">
        <f>Tabelad[[#This Row],[Exp %]]*Tabelad[[#This Row],[Beta Adj2]]</f>
        <v>5.4568280955587082E-4</v>
      </c>
      <c r="AB14" s="36">
        <f>_xll.BDP($B14&amp;" Equity","volatility_10d")</f>
        <v>12.706604520478079</v>
      </c>
      <c r="AC14" s="36">
        <f>_xll.BDP(B14&amp;" EQUITY","eqy_beta")</f>
        <v>1.1411417722702026</v>
      </c>
      <c r="AD14" s="15">
        <f>Tabelad[[#This Row],[D1 P&amp;L bps]]*$AD$5/10000</f>
        <v>-7086.336479025771</v>
      </c>
      <c r="AE14" s="277"/>
      <c r="AF14" s="231" t="str">
        <f>_xll.BDP(B14&amp;" Equity","EXPECTED_REPORT_DT")</f>
        <v>#N/A N/A</v>
      </c>
      <c r="AG14" s="172">
        <f>_xll.BDP(B14&amp;" Index","CHG_PCT_1D_PRE_FROM_REGULAR")/100</f>
        <v>-1.166266E-2</v>
      </c>
      <c r="AH14" s="20">
        <f t="shared" si="10"/>
        <v>-5.5769696897818584E-2</v>
      </c>
      <c r="AI14" s="437" t="str">
        <f>_xll.BDP(B14&amp;" Equity","DVD_EX_DT")</f>
        <v>19/12/2025</v>
      </c>
    </row>
    <row r="15" spans="1:39" s="59" customFormat="1">
      <c r="A15" s="473"/>
      <c r="B15" s="423" t="s">
        <v>1908</v>
      </c>
      <c r="C15" s="59" t="s">
        <v>78</v>
      </c>
      <c r="E15" s="59" t="s">
        <v>194</v>
      </c>
      <c r="F15" s="163" t="str">
        <f t="shared" ref="F15" si="11">IF(T15&gt;0,"Long","Short")</f>
        <v>Short</v>
      </c>
      <c r="G15" s="404"/>
      <c r="H15" s="475">
        <v>-45</v>
      </c>
      <c r="I15" s="14" cm="1">
        <f t="array" ref="I15">_xll.BDP(B15&amp;" INDEX","LAST_PRICE")</f>
        <v>25874.25</v>
      </c>
      <c r="J15" s="476">
        <f t="shared" ref="J15" si="12">I15/K15-1</f>
        <v>9.3723180151361607E-3</v>
      </c>
      <c r="K15" s="477">
        <v>25634</v>
      </c>
      <c r="L15" s="8" cm="1">
        <f t="array" ref="L15">_xll.BDP(E15&amp;" Curncy","PX_LAST")</f>
        <v>1</v>
      </c>
      <c r="M15" s="478">
        <v>20</v>
      </c>
      <c r="N15" s="404">
        <f t="shared" ref="N15" si="13">IFERROR(IF(((I15/L15)*H15*M15)&lt;&gt;0,((I15/L15)*H15*M15),0),"-")</f>
        <v>-23286825</v>
      </c>
      <c r="O15" s="479">
        <f>IFERROR(IF(Tabelad[[#This Row],[D1 Exp USD]]&lt;&gt;0,N15/$AE$7,0),"-")</f>
        <v>-9.7183765259189637E-3</v>
      </c>
      <c r="P15" s="480">
        <f>IFERROR(IF(Tabelad[[#This Row],[D1 Exp USD]]&lt;&gt;0,((I15-K15)/L15*M15*H15)/$AD$7*10000,0),"-")</f>
        <v>-0.90237976380070184</v>
      </c>
      <c r="Q15" s="404">
        <f>IF(SUM(SUMIFS(Options!$AL$4:$AL$25, Options!$D$4:$D$25, B15), SUMIFS(Options!$AL$4:$AL$25, Options!$D$4:$D$25, B15 &amp; " US"))=0,0,SUM(SUMIFS(Options!$AL$4:$AL$25, Options!$D$4:$D$25, B15), SUMIFS(Options!$AL$4:$AL$25, Options!$D$4:$D$25, B15 &amp; " US")))</f>
        <v>0</v>
      </c>
      <c r="R15" s="128">
        <f t="shared" ref="R15:R18" si="14">Q15/$AE$7</f>
        <v>0</v>
      </c>
      <c r="S15" s="480">
        <f>IF(SUM(SUMIFS(Options!$AK$4:$AK$25, Options!$D$4:$D$25, B15), SUMIFS(Options!$AK$4:$AK$25, Options!$D$4:$D$25, B15 &amp; " US"))=0,0,SUM(SUMIFS(Options!$AK$4:$AK$25, Options!$D$4:$D$25, B15), SUMIFS(Options!AK$4:$AK$25, Options!$D$4:$D$25, B15 &amp; " US")))</f>
        <v>0</v>
      </c>
      <c r="T15" s="481">
        <f t="shared" ref="T15" si="15">N15+Q15</f>
        <v>-23286825</v>
      </c>
      <c r="U15" s="482">
        <f t="shared" ref="U15" si="16">T15/$AE$7</f>
        <v>-9.7183765259189637E-3</v>
      </c>
      <c r="V15" s="480">
        <f t="shared" ref="V15" si="17">P15+S15</f>
        <v>-0.90237976380070184</v>
      </c>
      <c r="W15" s="404">
        <f t="shared" ref="W15" si="18">$W$10/(I15/L15*M15)</f>
        <v>0.32412821129114849</v>
      </c>
      <c r="X15" s="128"/>
      <c r="Y15" s="483">
        <f>Tabelad[[#This Row],[Exp %]]*$Y$10*$AD$7/Tabelad[[#This Row],[Price Today]]</f>
        <v>-314.99999999999994</v>
      </c>
      <c r="Z15" s="484">
        <f>Tabelad[[#This Row],[Vol 10d]]/16*Tabelad[[#This Row],[Exp %]]*100</f>
        <v>-0.80613848293414758</v>
      </c>
      <c r="AA15" s="128" t="e">
        <f>Tabelad[[#This Row],[Exp %]]*Tabelad[[#This Row],[Beta Adj2]]</f>
        <v>#VALUE!</v>
      </c>
      <c r="AB15" s="14">
        <f>_xll.BDP($B15&amp;" INDEX","volatility_10d")</f>
        <v>13.27198600769043</v>
      </c>
      <c r="AC15" s="14" t="str">
        <f>_xll.BDP(B15&amp;" INDEX","eqy_beta")</f>
        <v>#N/A Field Not Applicable</v>
      </c>
      <c r="AD15" s="404">
        <f>Tabelad[[#This Row],[D1 P&amp;L bps]]*$AD$5/10000</f>
        <v>-202677.65941499334</v>
      </c>
      <c r="AE15" s="337"/>
      <c r="AF15" s="485" t="str">
        <f>_xll.BDP(B15&amp;" INDEX","EXPECTED_REPORT_DT")</f>
        <v>#N/A Field Not Applicable</v>
      </c>
      <c r="AG15" s="486" t="e">
        <f>_xll.BDP(B15&amp;" Index","CHG_PCT_1D_PRE_FROM_REGULAR")/100</f>
        <v>#VALUE!</v>
      </c>
      <c r="AH15" s="480" t="e">
        <f t="shared" ref="AH15" si="19">(T15*AG15)/$AD$7*10000</f>
        <v>#VALUE!</v>
      </c>
      <c r="AI15" s="487" t="str">
        <f>_xll.BDP(B15&amp;" INDEX","DVD_EX_DT")</f>
        <v>#N/A Field Not Applicable</v>
      </c>
    </row>
    <row r="16" spans="1:39" s="59" customFormat="1">
      <c r="A16" s="473"/>
      <c r="B16" s="423" t="s">
        <v>1908</v>
      </c>
      <c r="C16" s="59" t="s">
        <v>78</v>
      </c>
      <c r="E16" s="59" t="s">
        <v>194</v>
      </c>
      <c r="F16" s="163" t="s">
        <v>100</v>
      </c>
      <c r="G16" s="404"/>
      <c r="H16" s="475">
        <v>45</v>
      </c>
      <c r="I16" s="14" cm="1">
        <f t="array" ref="I16">_xll.BDP(B16&amp;" INDEX","LAST_PRICE")</f>
        <v>25874.25</v>
      </c>
      <c r="J16" s="476">
        <f t="shared" ref="J16" si="20">I16/K16-1</f>
        <v>1.6031178826670933E-2</v>
      </c>
      <c r="K16" s="477">
        <v>25466</v>
      </c>
      <c r="L16" s="8" cm="1">
        <f t="array" ref="L16">_xll.BDP(E16&amp;" Curncy","PX_LAST")</f>
        <v>1</v>
      </c>
      <c r="M16" s="478">
        <v>20</v>
      </c>
      <c r="N16" s="404">
        <f t="shared" ref="N16" si="21">IFERROR(IF(((I16/L16)*H16*M16)&lt;&gt;0,((I16/L16)*H16*M16),0),"-")</f>
        <v>23286825</v>
      </c>
      <c r="O16" s="479">
        <f>IFERROR(IF(Tabelad[[#This Row],[D1 Exp USD]]&lt;&gt;0,N16/$AE$7,0),"-")</f>
        <v>9.7183765259189637E-3</v>
      </c>
      <c r="P16" s="480">
        <f>IFERROR(IF(Tabelad[[#This Row],[D1 Exp USD]]&lt;&gt;0,((I16-K16)/L16*M16*H16)/$AD$7*10000,0),"-")</f>
        <v>1.5333882979048346</v>
      </c>
      <c r="Q16" s="404">
        <f>IF(SUM(SUMIFS(Options!$AL$4:$AL$25, Options!$D$4:$D$25, B16), SUMIFS(Options!$AL$4:$AL$25, Options!$D$4:$D$25, B16 &amp; " US"))=0,0,SUM(SUMIFS(Options!$AL$4:$AL$25, Options!$D$4:$D$25, B16), SUMIFS(Options!$AL$4:$AL$25, Options!$D$4:$D$25, B16 &amp; " US")))</f>
        <v>0</v>
      </c>
      <c r="R16" s="128">
        <f t="shared" ref="R16" si="22">Q16/$AE$7</f>
        <v>0</v>
      </c>
      <c r="S16" s="480">
        <f>IF(SUM(SUMIFS(Options!$AK$4:$AK$25, Options!$D$4:$D$25, B16), SUMIFS(Options!$AK$4:$AK$25, Options!$D$4:$D$25, B16 &amp; " US"))=0,0,SUM(SUMIFS(Options!$AK$4:$AK$25, Options!$D$4:$D$25, B16), SUMIFS(Options!AK$4:$AK$25, Options!$D$4:$D$25, B16 &amp; " US")))</f>
        <v>0</v>
      </c>
      <c r="T16" s="481">
        <f t="shared" ref="T16" si="23">N16+Q16</f>
        <v>23286825</v>
      </c>
      <c r="U16" s="482">
        <f t="shared" ref="U16" si="24">T16/$AE$7</f>
        <v>9.7183765259189637E-3</v>
      </c>
      <c r="V16" s="480">
        <f t="shared" ref="V16" si="25">P16+S16</f>
        <v>1.5333882979048346</v>
      </c>
      <c r="W16" s="404">
        <f t="shared" ref="W16" si="26">$W$10/(I16/L16*M16)</f>
        <v>0.32412821129114849</v>
      </c>
      <c r="X16" s="128"/>
      <c r="Y16" s="483">
        <f>Tabelad[[#This Row],[Exp %]]*$Y$10*$AD$7/Tabelad[[#This Row],[Price Today]]</f>
        <v>314.99999999999994</v>
      </c>
      <c r="Z16" s="484">
        <f>Tabelad[[#This Row],[Vol 10d]]/16*Tabelad[[#This Row],[Exp %]]*100</f>
        <v>0.80613848293414758</v>
      </c>
      <c r="AA16" s="128" t="e">
        <f>Tabelad[[#This Row],[Exp %]]*Tabelad[[#This Row],[Beta Adj2]]</f>
        <v>#VALUE!</v>
      </c>
      <c r="AB16" s="14">
        <f>_xll.BDP($B16&amp;" INDEX","volatility_10d")</f>
        <v>13.27198600769043</v>
      </c>
      <c r="AC16" s="14" t="str">
        <f>_xll.BDP(B16&amp;" INDEX","eqy_beta")</f>
        <v>#N/A Field Not Applicable</v>
      </c>
      <c r="AD16" s="404">
        <f>Tabelad[[#This Row],[D1 P&amp;L bps]]*$AD$5/10000</f>
        <v>344404.3889955089</v>
      </c>
      <c r="AE16" s="337"/>
      <c r="AF16" s="485" t="str">
        <f>_xll.BDP(B16&amp;" INDEX","EXPECTED_REPORT_DT")</f>
        <v>#N/A Field Not Applicable</v>
      </c>
      <c r="AG16" s="486" t="e">
        <f>_xll.BDP(B16&amp;" Index","CHG_PCT_1D_PRE_FROM_REGULAR")/100</f>
        <v>#VALUE!</v>
      </c>
      <c r="AH16" s="480" t="e">
        <f t="shared" ref="AH16" si="27">(T16*AG16)/$AD$7*10000</f>
        <v>#VALUE!</v>
      </c>
      <c r="AI16" s="487" t="str">
        <f>_xll.BDP(B16&amp;" INDEX","DVD_EX_DT")</f>
        <v>#N/A Field Not Applicable</v>
      </c>
    </row>
    <row r="17" spans="1:35" s="59" customFormat="1">
      <c r="A17" s="473"/>
      <c r="B17" s="423" t="s">
        <v>2463</v>
      </c>
      <c r="C17" s="59" t="s">
        <v>78</v>
      </c>
      <c r="E17" s="59" t="s">
        <v>194</v>
      </c>
      <c r="F17" s="163" t="str">
        <f>IF(T17&gt;0,"Long","Short")</f>
        <v>Short</v>
      </c>
      <c r="G17" s="488"/>
      <c r="H17" s="475"/>
      <c r="I17" s="14" cm="1">
        <f t="array" ref="I17">_xll.BDP(B17&amp;" Equity","LAST_PRICE")</f>
        <v>25874.25</v>
      </c>
      <c r="J17" s="476">
        <f>I17/K17-1</f>
        <v>7.9567588624853691E-3</v>
      </c>
      <c r="K17" s="477" cm="1">
        <f t="array" ref="K17">_xll.BDP(B17&amp;" EQUITY","PX_YEST_CLOSE")</f>
        <v>25670</v>
      </c>
      <c r="L17" s="8" cm="1">
        <f t="array" ref="L17">_xll.BDP(E17&amp;" Curncy","PX_LAST")</f>
        <v>1</v>
      </c>
      <c r="M17" s="478">
        <v>20</v>
      </c>
      <c r="N17" s="404">
        <f>IFERROR(IF(((I17/L17)*H17*M17)&lt;&gt;0,((I17/L17)*H17*M17),0),"-")</f>
        <v>0</v>
      </c>
      <c r="O17" s="479">
        <f>IFERROR(IF(Tabelad[[#This Row],[D1 Exp USD]]&lt;&gt;0,N17/$AE$7,0),"-")</f>
        <v>0</v>
      </c>
      <c r="P17" s="480">
        <f>IFERROR(IF(Tabelad[[#This Row],[D1 Exp USD]]&lt;&gt;0,((I17-K17)/L17*M17*H17)/$AD$7*10000,0),"-")</f>
        <v>0</v>
      </c>
      <c r="Q17" s="404">
        <f>IF(SUM(SUMIFS(Options!$AL$4:$AL$25, Options!$D$4:$D$25, B17), SUMIFS(Options!$AL$4:$AL$25, Options!$D$4:$D$25, B17 &amp; " US"))=0,0,SUM(SUMIFS(Options!$AL$4:$AL$25, Options!$D$4:$D$25, B17), SUMIFS(Options!$AL$4:$AL$25, Options!$D$4:$D$25, B17 &amp; " US")))</f>
        <v>-5187018.5445941985</v>
      </c>
      <c r="R17" s="128">
        <f t="shared" si="14"/>
        <v>-2.164717571557763E-3</v>
      </c>
      <c r="S17" s="480">
        <f>IF(SUM(SUMIFS(Options!$AK$4:$AK$25, Options!$D$4:$D$25, B17), SUMIFS(Options!$AK$4:$AK$25, Options!$D$4:$D$25, B17 &amp; " US"))=0,0,SUM(SUMIFS(Options!$AK$4:$AK$25, Options!$D$4:$D$25, B17), SUMIFS(Options!AK$4:$AK$25, Options!$D$4:$D$25, B17 &amp; " US")))</f>
        <v>-0.1114280943160076</v>
      </c>
      <c r="T17" s="481">
        <f>N17+Q17</f>
        <v>-5187018.5445941985</v>
      </c>
      <c r="U17" s="482">
        <f>T17/$AE$7</f>
        <v>-2.164717571557763E-3</v>
      </c>
      <c r="V17" s="480">
        <f>P17+S17</f>
        <v>-0.1114280943160076</v>
      </c>
      <c r="W17" s="490">
        <f>$W$10/(I17/L17*M17)</f>
        <v>0.32412821129114849</v>
      </c>
      <c r="X17" s="489"/>
      <c r="Y17" s="483">
        <f>Tabelad[[#This Row],[Exp %]]*$Y$10*$AD$7/Tabelad[[#This Row],[Price Today]]</f>
        <v>-70.164603441953645</v>
      </c>
      <c r="Z17" s="484">
        <f>Tabelad[[#This Row],[Vol 10d]]/16*Tabelad[[#This Row],[Exp %]]*100</f>
        <v>-0.17956313325197648</v>
      </c>
      <c r="AA17" s="128" t="e">
        <f>Tabelad[[#This Row],[Exp %]]*Tabelad[[#This Row],[Beta Adj2]]</f>
        <v>#VALUE!</v>
      </c>
      <c r="AB17" s="14">
        <f>_xll.BDP($B17&amp;" Equity","volatility_10d")</f>
        <v>13.27198600769043</v>
      </c>
      <c r="AC17" s="14" t="str">
        <f>_xll.BDP(B17&amp;" EQUITY","eqy_beta")</f>
        <v>#N/A Field Not Applicable</v>
      </c>
      <c r="AD17" s="404">
        <f>Tabelad[[#This Row],[D1 P&amp;L bps]]*$AD$5/10000</f>
        <v>0</v>
      </c>
      <c r="AE17" s="491"/>
      <c r="AF17" s="485" t="str">
        <f>_xll.BDP(B17&amp;" Equity","EXPECTED_REPORT_DT")</f>
        <v>#N/A Field Not Applicable</v>
      </c>
      <c r="AG17" s="486" t="e">
        <f>_xll.BDP(B17&amp;" Index","CHG_PCT_1D_PRE_FROM_REGULAR")/100</f>
        <v>#VALUE!</v>
      </c>
      <c r="AH17" s="480" t="e">
        <f>(T17*AG17)/$AD$7*10000</f>
        <v>#VALUE!</v>
      </c>
      <c r="AI17" s="487" t="str">
        <f>_xll.BDP(B17&amp;" Equity","DVD_EX_DT")</f>
        <v>#N/A Field Not Applicable</v>
      </c>
    </row>
    <row r="18" spans="1:35" s="59" customFormat="1">
      <c r="A18" s="473" t="s">
        <v>1770</v>
      </c>
      <c r="B18" s="423" t="s">
        <v>135</v>
      </c>
      <c r="C18" s="59" t="s">
        <v>78</v>
      </c>
      <c r="E18" s="59" t="s">
        <v>194</v>
      </c>
      <c r="F18" s="163" t="s">
        <v>100</v>
      </c>
      <c r="G18" s="404"/>
      <c r="H18" s="475"/>
      <c r="I18" s="14" cm="1">
        <f t="array" ref="I18">_xll.BDP(B18&amp;" Equity","LAST_PRICE")</f>
        <v>626.14</v>
      </c>
      <c r="J18" s="476">
        <f t="shared" ref="J18" si="28">I18/K18-1</f>
        <v>2.1530869171114912</v>
      </c>
      <c r="K18" s="477">
        <v>198.58</v>
      </c>
      <c r="L18" s="8" cm="1">
        <f t="array" ref="L18">_xll.BDP(E18&amp;" Curncy","PX_LAST")</f>
        <v>1</v>
      </c>
      <c r="M18" s="478">
        <v>1</v>
      </c>
      <c r="N18" s="404">
        <f t="shared" ref="N18" si="29">IFERROR(IF(((I18/L18)*H18*M18)&lt;&gt;0,((I18/L18)*H18*M18),0),"-")</f>
        <v>0</v>
      </c>
      <c r="O18" s="479">
        <f>IFERROR(IF(Tabelad[[#This Row],[D1 Exp USD]]&lt;&gt;0,N18/$AE$7,0),"-")</f>
        <v>0</v>
      </c>
      <c r="P18" s="480">
        <f>IFERROR(IF(Tabelad[[#This Row],[D1 Exp USD]]&lt;&gt;0,((I18-K18)/L18*M18*H18)/$AD$7*10000,0),"-")</f>
        <v>0</v>
      </c>
      <c r="Q18" s="15">
        <f>IF(SUM(SUMIFS(Options!$AL$4:$AL$25, Options!$D$4:$D$25, B18), SUMIFS(Options!$AL$4:$AL$25, Options!$D$4:$D$25, B18 &amp; " US"))=0,0,SUM(SUMIFS(Options!$AL$4:$AL$25, Options!$D$4:$D$25, B18), SUMIFS(Options!$AL$4:$AL$25, Options!$D$4:$D$25, B18 &amp; " US")))</f>
        <v>-1455410.0840711594</v>
      </c>
      <c r="R18" s="19">
        <f t="shared" si="14"/>
        <v>-6.0739165586647819E-4</v>
      </c>
      <c r="S18" s="20">
        <f>IF(SUM(SUMIFS(Options!$AK$4:$AK$25, Options!$D$4:$D$25, B18), SUMIFS(Options!$AK$4:$AK$25, Options!$D$4:$D$25, B18 &amp; " US"))=0,0,SUM(SUMIFS(Options!$AK$4:$AK$25, Options!$D$4:$D$25, B18), SUMIFS(Options!AK$4:$AK$25, Options!$D$4:$D$25, B18 &amp; " US")))</f>
        <v>-2.1467203015212988E-17</v>
      </c>
      <c r="T18" s="481">
        <f t="shared" ref="T18" si="30">N18+Q18</f>
        <v>-1455410.0840711594</v>
      </c>
      <c r="U18" s="482">
        <f t="shared" ref="U18" si="31">T18/$AE$7</f>
        <v>-6.0739165586647819E-4</v>
      </c>
      <c r="V18" s="480">
        <f t="shared" ref="V18" si="32">P18+S18</f>
        <v>-2.1467203015212988E-17</v>
      </c>
      <c r="W18" s="404">
        <f t="shared" ref="W18" si="33">$W$10/(I18/L18*M18)</f>
        <v>267.88176353531156</v>
      </c>
      <c r="X18" s="128"/>
      <c r="Y18" s="483">
        <f>Tabelad[[#This Row],[Exp %]]*$Y$10*$AD$7/Tabelad[[#This Row],[Price Today]]</f>
        <v>-813.5457396507262</v>
      </c>
      <c r="Z18" s="484">
        <f>Tabelad[[#This Row],[Vol 10d]]/16*Tabelad[[#This Row],[Exp %]]*100</f>
        <v>-4.9344177551871607E-2</v>
      </c>
      <c r="AA18" s="128">
        <f>Tabelad[[#This Row],[Exp %]]*Tabelad[[#This Row],[Beta Adj2]]</f>
        <v>-6.0798242235839378E-4</v>
      </c>
      <c r="AB18" s="14">
        <f>_xll.BDP($B18&amp;" Equity","volatility_10d")</f>
        <v>12.998315554790921</v>
      </c>
      <c r="AC18" s="14">
        <f>_xll.BDP(B18&amp;" EQUITY","eqy_beta")</f>
        <v>1.0009726285934448</v>
      </c>
      <c r="AD18" s="404">
        <f>Tabelad[[#This Row],[D1 P&amp;L bps]]*$AD$5/10000</f>
        <v>0</v>
      </c>
      <c r="AE18" s="337"/>
      <c r="AF18" s="485" t="str">
        <f>_xll.BDP(B18&amp;" Equity","EXPECTED_REPORT_DT")</f>
        <v>#N/A N/A</v>
      </c>
      <c r="AG18" s="486">
        <f>_xll.BDP(B18&amp;" Index","CHG_PCT_1D_PRE_FROM_REGULAR")/100</f>
        <v>-4.7115839999999996E-3</v>
      </c>
      <c r="AH18" s="480">
        <f t="shared" ref="AH18" si="34">(T18*AG18)/$AD$7*10000</f>
        <v>2.8617768075140045E-2</v>
      </c>
      <c r="AI18" s="487" t="str">
        <f>_xll.BDP(B18&amp;" Equity","DVD_EX_DT")</f>
        <v>22/12/2025</v>
      </c>
    </row>
    <row r="19" spans="1:35">
      <c r="B19" s="40" t="s">
        <v>3</v>
      </c>
      <c r="C19" t="s">
        <v>78</v>
      </c>
      <c r="E19" t="s">
        <v>194</v>
      </c>
      <c r="F19" s="22" t="str">
        <f t="shared" si="2"/>
        <v>Short</v>
      </c>
      <c r="G19" s="15"/>
      <c r="H19" s="438">
        <v>-47900</v>
      </c>
      <c r="I19" s="36" cm="1">
        <f t="array" ref="I19">_xll.BDP(B19&amp;" Equity","LAST_PRICE")</f>
        <v>199.1</v>
      </c>
      <c r="J19" s="51">
        <f t="shared" ref="J19" si="35">I19/K19-1</f>
        <v>5.1494345718900991E-3</v>
      </c>
      <c r="K19" s="430" cm="1">
        <f t="array" ref="K19">_xll.BDP(B19&amp;" EQUITY","PX_YEST_CLOSE")</f>
        <v>198.08</v>
      </c>
      <c r="L19" s="53" cm="1">
        <f t="array" ref="L19">_xll.BDP(E19&amp;" Curncy","PX_LAST")</f>
        <v>1</v>
      </c>
      <c r="M19" s="52">
        <v>1</v>
      </c>
      <c r="N19" s="15">
        <f t="shared" ref="N19" si="36">IFERROR(IF(((I19/L19)*H19*M19)&lt;&gt;0,((I19/L19)*H19*M19),0),"-")</f>
        <v>-9536890</v>
      </c>
      <c r="O19" s="357">
        <f>IFERROR(IF(Tabelad[[#This Row],[D1 Exp USD]]&lt;&gt;0,N19/$AE$7,0),"-")</f>
        <v>-3.9800654621774895E-3</v>
      </c>
      <c r="P19" s="20">
        <f>IFERROR(IF(Tabelad[[#This Row],[D1 Exp USD]]&lt;&gt;0,((I19-K19)/L19*M19*H19)/$AD$7*10000,0),"-")</f>
        <v>-0.20390089258769292</v>
      </c>
      <c r="Q19" s="15">
        <f>IF(SUM(SUMIFS(Options!$AL$4:$AL$25, Options!$D$4:$D$25, B19), SUMIFS(Options!$AL$4:$AL$25, Options!$D$4:$D$25, B19 &amp; " US"))=0,0,SUM(SUMIFS(Options!$AL$4:$AL$25, Options!$D$4:$D$25, B19), SUMIFS(Options!$AL$4:$AL$25, Options!$D$4:$D$25, B19 &amp; " US")))</f>
        <v>0</v>
      </c>
      <c r="R19" s="19">
        <f t="shared" ref="R19" si="37">Q19/$AE$7</f>
        <v>0</v>
      </c>
      <c r="S19" s="20">
        <f>IF(SUM(SUMIFS(Options!$AK$4:$AK$25, Options!$D$4:$D$25, B19), SUMIFS(Options!$AK$4:$AK$25, Options!$D$4:$D$25, B19 &amp; " US"))=0,0,SUM(SUMIFS(Options!$AK$4:$AK$25, Options!$D$4:$D$25, B19), SUMIFS(Options!AK$4:$AK$25, Options!$D$4:$D$25, B19 &amp; " US")))</f>
        <v>0</v>
      </c>
      <c r="T19" s="13">
        <f t="shared" ref="T19" si="38">N19+Q19</f>
        <v>-9536890</v>
      </c>
      <c r="U19" s="48">
        <f t="shared" ref="U19" si="39">T19/$AE$7</f>
        <v>-3.9800654621774895E-3</v>
      </c>
      <c r="V19" s="20">
        <f t="shared" ref="V19:V26" si="40">P19+S19</f>
        <v>-0.20390089258769292</v>
      </c>
      <c r="W19" s="15">
        <f t="shared" ref="W19" si="41">$W$10/(I19/L19*M19)</f>
        <v>842.44845514816677</v>
      </c>
      <c r="X19" s="19"/>
      <c r="Y19" s="375">
        <f>Tabelad[[#This Row],[Exp %]]*$Y$10*$AD$7/Tabelad[[#This Row],[Price Today]]</f>
        <v>-16765</v>
      </c>
      <c r="Z19" s="266">
        <f>Tabelad[[#This Row],[Vol 10d]]/16*Tabelad[[#This Row],[Exp %]]*100</f>
        <v>-0.25875057935506579</v>
      </c>
      <c r="AA19" s="19">
        <f>Tabelad[[#This Row],[Exp %]]*Tabelad[[#This Row],[Beta Adj2]]</f>
        <v>-3.9652198217233403E-3</v>
      </c>
      <c r="AB19" s="36">
        <f>_xll.BDP($B19&amp;" Equity","volatility_10d")</f>
        <v>10.401862253331025</v>
      </c>
      <c r="AC19" s="36">
        <f>_xll.BDP(B19&amp;" EQUITY","eqy_beta")</f>
        <v>0.99627000093460083</v>
      </c>
      <c r="AD19" s="15">
        <f>Tabelad[[#This Row],[D1 P&amp;L bps]]*$AD$5/10000</f>
        <v>-45796.855514845956</v>
      </c>
      <c r="AE19" s="277"/>
      <c r="AF19" s="231" t="str">
        <f>_xll.BDP(B19&amp;" Equity","EXPECTED_REPORT_DT")</f>
        <v>#N/A N/A</v>
      </c>
      <c r="AG19" s="172" t="e">
        <f>_xll.BDP(B19&amp;" Index","CHG_PCT_1D_PRE_FROM_REGULAR")/100</f>
        <v>#VALUE!</v>
      </c>
      <c r="AH19" s="20" t="e">
        <f t="shared" ref="AH19" si="42">(T19*AG19)/$AD$7*10000</f>
        <v>#VALUE!</v>
      </c>
      <c r="AI19" s="437" t="str">
        <f>_xll.BDP(B19&amp;" Equity","DVD_EX_DT")</f>
        <v>22/12/2025</v>
      </c>
    </row>
    <row r="20" spans="1:35" s="59" customFormat="1">
      <c r="A20" s="473" t="s">
        <v>1770</v>
      </c>
      <c r="B20" s="423" t="s">
        <v>3</v>
      </c>
      <c r="C20" s="59" t="s">
        <v>78</v>
      </c>
      <c r="E20" s="59" t="s">
        <v>194</v>
      </c>
      <c r="F20" s="163" t="s">
        <v>100</v>
      </c>
      <c r="G20" s="404"/>
      <c r="H20" s="475">
        <v>47900</v>
      </c>
      <c r="I20" s="14" cm="1">
        <f t="array" ref="I20">_xll.BDP(B20&amp;" Equity","LAST_PRICE")</f>
        <v>199.1</v>
      </c>
      <c r="J20" s="476">
        <f t="shared" ref="J20" si="43">I20/K20-1</f>
        <v>2.6185920032228971E-3</v>
      </c>
      <c r="K20" s="477">
        <v>198.58</v>
      </c>
      <c r="L20" s="8" cm="1">
        <f t="array" ref="L20">_xll.BDP(E20&amp;" Curncy","PX_LAST")</f>
        <v>1</v>
      </c>
      <c r="M20" s="478">
        <v>1</v>
      </c>
      <c r="N20" s="404">
        <f t="shared" ref="N20" si="44">IFERROR(IF(((I20/L20)*H20*M20)&lt;&gt;0,((I20/L20)*H20*M20),0),"-")</f>
        <v>9536890</v>
      </c>
      <c r="O20" s="479">
        <f>IFERROR(IF(Tabelad[[#This Row],[D1 Exp USD]]&lt;&gt;0,N20/$AE$7,0),"-")</f>
        <v>3.9800654621774895E-3</v>
      </c>
      <c r="P20" s="480">
        <f>IFERROR(IF(Tabelad[[#This Row],[D1 Exp USD]]&lt;&gt;0,((I20-K20)/L20*M20*H20)/$AD$7*10000,0),"-")</f>
        <v>0.10394947465254756</v>
      </c>
      <c r="Q20" s="404"/>
      <c r="R20" s="128"/>
      <c r="S20" s="480"/>
      <c r="T20" s="481">
        <f t="shared" ref="T20" si="45">N20+Q20</f>
        <v>9536890</v>
      </c>
      <c r="U20" s="482">
        <f t="shared" ref="U20" si="46">T20/$AE$7</f>
        <v>3.9800654621774895E-3</v>
      </c>
      <c r="V20" s="480">
        <f t="shared" ref="V20" si="47">P20+S20</f>
        <v>0.10394947465254756</v>
      </c>
      <c r="W20" s="404">
        <f t="shared" ref="W20" si="48">$W$10/(I20/L20*M20)</f>
        <v>842.44845514816677</v>
      </c>
      <c r="X20" s="128"/>
      <c r="Y20" s="483">
        <f>Tabelad[[#This Row],[Exp %]]*$Y$10*$AD$7/Tabelad[[#This Row],[Price Today]]</f>
        <v>16765</v>
      </c>
      <c r="Z20" s="484">
        <f>Tabelad[[#This Row],[Vol 10d]]/16*Tabelad[[#This Row],[Exp %]]*100</f>
        <v>0.25875057935506579</v>
      </c>
      <c r="AA20" s="128">
        <f>Tabelad[[#This Row],[Exp %]]*Tabelad[[#This Row],[Beta Adj2]]</f>
        <v>3.9652198217233403E-3</v>
      </c>
      <c r="AB20" s="14">
        <f>_xll.BDP($B20&amp;" Equity","volatility_10d")</f>
        <v>10.401862253331025</v>
      </c>
      <c r="AC20" s="14">
        <f>_xll.BDP(B20&amp;" EQUITY","eqy_beta")</f>
        <v>0.99627000093460083</v>
      </c>
      <c r="AD20" s="404">
        <f>Tabelad[[#This Row],[D1 P&amp;L bps]]*$AD$5/10000</f>
        <v>23347.416536979894</v>
      </c>
      <c r="AE20" s="337"/>
      <c r="AF20" s="485" t="str">
        <f>_xll.BDP(B20&amp;" Equity","EXPECTED_REPORT_DT")</f>
        <v>#N/A N/A</v>
      </c>
      <c r="AG20" s="486" t="e">
        <f>_xll.BDP(B20&amp;" Index","CHG_PCT_1D_PRE_FROM_REGULAR")/100</f>
        <v>#VALUE!</v>
      </c>
      <c r="AH20" s="480" t="e">
        <f t="shared" ref="AH20" si="49">(T20*AG20)/$AD$7*10000</f>
        <v>#VALUE!</v>
      </c>
      <c r="AI20" s="487" t="str">
        <f>_xll.BDP(B20&amp;" Equity","DVD_EX_DT")</f>
        <v>22/12/2025</v>
      </c>
    </row>
    <row r="21" spans="1:35">
      <c r="B21" s="40" t="s">
        <v>131</v>
      </c>
      <c r="C21" t="s">
        <v>2135</v>
      </c>
      <c r="E21" t="s">
        <v>194</v>
      </c>
      <c r="F21" s="22"/>
      <c r="G21" s="15"/>
      <c r="H21" s="438">
        <v>20000</v>
      </c>
      <c r="I21" s="36" cm="1">
        <f t="array" ref="I21">_xll.BDP(B21&amp;" Equity","LAST_PRICE")</f>
        <v>94.19</v>
      </c>
      <c r="J21" s="51">
        <f>I21/K21-1</f>
        <v>-1.0615711252659477E-4</v>
      </c>
      <c r="K21" s="430" cm="1">
        <f t="array" ref="K21">_xll.BDP(B21&amp;" EQUITY","PX_YEST_CLOSE")</f>
        <v>94.2</v>
      </c>
      <c r="L21" s="53" cm="1">
        <f t="array" ref="L21">_xll.BDP(E21&amp;" Curncy","PX_LAST")</f>
        <v>1</v>
      </c>
      <c r="M21" s="52">
        <v>1</v>
      </c>
      <c r="N21" s="15">
        <f t="shared" ref="N21:N26" si="50">IFERROR(IF(((I21/L21)*H21*M21)&lt;&gt;0,((I21/L21)*H21*M21),0),"-")</f>
        <v>1883800</v>
      </c>
      <c r="O21" s="357">
        <f>IFERROR(IF(Tabelad[[#This Row],[D1 Exp USD]]&lt;&gt;0,N21/$AE$7,0),"-")</f>
        <v>7.8617319877338982E-4</v>
      </c>
      <c r="P21" s="20">
        <f>IFERROR(IF(Tabelad[[#This Row],[D1 Exp USD]]&lt;&gt;0,((I21-K21)/L21*M21*H21)/$AD$7*10000,0),"-")</f>
        <v>-8.3466737315404194E-4</v>
      </c>
      <c r="Q21" s="15">
        <f>IF(SUM(SUMIFS(Options!$AL$4:$AL$25, Options!$D$4:$D$25, B21), SUMIFS(Options!$AL$4:$AL$25, Options!$D$4:$D$25, B21 &amp; " US"))=0,0,SUM(SUMIFS(Options!$AL$4:$AL$25, Options!$D$4:$D$25, B21), SUMIFS(Options!$AL$4:$AL$25, Options!$D$4:$D$25, B21 &amp; " US")))</f>
        <v>0</v>
      </c>
      <c r="R21" s="19">
        <f t="shared" ref="R21" si="51">Q21/$AE$7</f>
        <v>0</v>
      </c>
      <c r="S21" s="20">
        <f>IF(SUM(SUMIFS(Options!$AK$4:$AK$25, Options!$D$4:$D$25, B21), SUMIFS(Options!$AK$4:$AK$25, Options!$D$4:$D$25, B21 &amp; " US"))=0,0,SUM(SUMIFS(Options!$AK$4:$AK$25, Options!$D$4:$D$25, B21), SUMIFS(Options!AK$4:$AK$25, Options!$D$4:$D$25, B21 &amp; " US")))</f>
        <v>0</v>
      </c>
      <c r="T21" s="13">
        <f t="shared" ref="T21:T26" si="52">N21+Q21</f>
        <v>1883800</v>
      </c>
      <c r="U21" s="48">
        <f t="shared" ref="U21:U26" si="53">T21/$AE$7</f>
        <v>7.8617319877338982E-4</v>
      </c>
      <c r="V21" s="20">
        <f t="shared" si="40"/>
        <v>-8.3466737315404194E-4</v>
      </c>
      <c r="W21" s="15">
        <f t="shared" si="9"/>
        <v>1780.7780806879712</v>
      </c>
      <c r="X21" s="19"/>
      <c r="Y21" s="375">
        <f>Tabelad[[#This Row],[Exp %]]*$Y$10*$AD$7/Tabelad[[#This Row],[Price Today]]</f>
        <v>6999.9999999999991</v>
      </c>
      <c r="Z21" s="266">
        <f>Tabelad[[#This Row],[Vol 10d]]/16*Tabelad[[#This Row],[Exp %]]*100</f>
        <v>0.41579763700509265</v>
      </c>
      <c r="AA21" s="19">
        <f>Tabelad[[#This Row],[Exp %]]*Tabelad[[#This Row],[Beta Adj2]]</f>
        <v>7.8309803921357344E-4</v>
      </c>
      <c r="AB21" s="36">
        <f>_xll.BDP($B21&amp;" Equity","volatility_10d")</f>
        <v>84.6220934834883</v>
      </c>
      <c r="AC21" s="36">
        <f>_xll.BDP(B21&amp;" EQUITY","eqy_beta")</f>
        <v>0.99608844518661499</v>
      </c>
      <c r="AD21" s="15">
        <f>Tabelad[[#This Row],[D1 P&amp;L bps]]*$AD$5/10000</f>
        <v>-187.469219021942</v>
      </c>
      <c r="AE21" s="277"/>
      <c r="AF21" s="231" t="str">
        <f>_xll.BDP(B21&amp;" Equity","EXPECTED_REPORT_DT")</f>
        <v>#N/A N/A</v>
      </c>
      <c r="AG21" s="172">
        <f>_xll.BDP(B21&amp;" Index","CHG_PCT_1D_PRE_FROM_REGULAR")/100</f>
        <v>-2.6539279999999998E-3</v>
      </c>
      <c r="AH21" s="20">
        <f t="shared" si="10"/>
        <v>-2.086447065074265E-2</v>
      </c>
      <c r="AI21" s="437" t="str">
        <f>_xll.BDP(B21&amp;" Equity","DVD_EX_DT")</f>
        <v>22/12/2025</v>
      </c>
    </row>
    <row r="22" spans="1:35" s="59" customFormat="1">
      <c r="A22" s="473" t="s">
        <v>1770</v>
      </c>
      <c r="B22" s="423" t="s">
        <v>131</v>
      </c>
      <c r="C22" s="59" t="s">
        <v>2135</v>
      </c>
      <c r="E22" s="59" t="s">
        <v>194</v>
      </c>
      <c r="F22" s="163"/>
      <c r="G22" s="404"/>
      <c r="H22" s="475">
        <v>-20000</v>
      </c>
      <c r="I22" s="14" cm="1">
        <f t="array" ref="I22">_xll.BDP(B22&amp;" Equity","LAST_PRICE")</f>
        <v>94.19</v>
      </c>
      <c r="J22" s="476">
        <f>I22/K22-1</f>
        <v>1.7015846006593893E-3</v>
      </c>
      <c r="K22" s="477">
        <f>94.7/2+93.36/2</f>
        <v>94.03</v>
      </c>
      <c r="L22" s="8" cm="1">
        <f t="array" ref="L22">_xll.BDP(E22&amp;" Curncy","PX_LAST")</f>
        <v>1</v>
      </c>
      <c r="M22" s="478">
        <v>1</v>
      </c>
      <c r="N22" s="404">
        <f t="shared" ref="N22" si="54">IFERROR(IF(((I22/L22)*H22*M22)&lt;&gt;0,((I22/L22)*H22*M22),0),"-")</f>
        <v>-1883800</v>
      </c>
      <c r="O22" s="479">
        <f>IFERROR(IF(Tabelad[[#This Row],[D1 Exp USD]]&lt;&gt;0,N22/$AE$7,0),"-")</f>
        <v>-7.8617319877338982E-4</v>
      </c>
      <c r="P22" s="480">
        <f>IFERROR(IF(Tabelad[[#This Row],[D1 Exp USD]]&lt;&gt;0,((I22-K22)/L22*M22*H22)/$AD$7*10000,0),"-")</f>
        <v>-1.3354677970457553E-2</v>
      </c>
      <c r="Q22" s="404"/>
      <c r="R22" s="128"/>
      <c r="S22" s="480"/>
      <c r="T22" s="481">
        <f t="shared" ref="T22" si="55">N22+Q22</f>
        <v>-1883800</v>
      </c>
      <c r="U22" s="482">
        <f t="shared" ref="U22" si="56">T22/$AE$7</f>
        <v>-7.8617319877338982E-4</v>
      </c>
      <c r="V22" s="480">
        <f t="shared" ref="V22" si="57">P22+S22</f>
        <v>-1.3354677970457553E-2</v>
      </c>
      <c r="W22" s="404">
        <f t="shared" ref="W22" si="58">$W$10/(I22/L22*M22)</f>
        <v>1780.7780806879712</v>
      </c>
      <c r="X22" s="128"/>
      <c r="Y22" s="483">
        <f>Tabelad[[#This Row],[Exp %]]*$Y$10*$AD$7/Tabelad[[#This Row],[Price Today]]</f>
        <v>-6999.9999999999991</v>
      </c>
      <c r="Z22" s="484">
        <f>Tabelad[[#This Row],[Vol 10d]]/16*Tabelad[[#This Row],[Exp %]]*100</f>
        <v>-0.41579763700509265</v>
      </c>
      <c r="AA22" s="128">
        <f>Tabelad[[#This Row],[Exp %]]*Tabelad[[#This Row],[Beta Adj2]]</f>
        <v>-7.8309803921357344E-4</v>
      </c>
      <c r="AB22" s="14">
        <f>_xll.BDP($B22&amp;" Equity","volatility_10d")</f>
        <v>84.6220934834883</v>
      </c>
      <c r="AC22" s="14">
        <f>_xll.BDP(B22&amp;" EQUITY","eqy_beta")</f>
        <v>0.99608844518661499</v>
      </c>
      <c r="AD22" s="404">
        <f>Tabelad[[#This Row],[D1 P&amp;L bps]]*$AD$5/10000</f>
        <v>-2999.507504349473</v>
      </c>
      <c r="AE22" s="337"/>
      <c r="AF22" s="485" t="str">
        <f>_xll.BDP(B22&amp;" Equity","EXPECTED_REPORT_DT")</f>
        <v>#N/A N/A</v>
      </c>
      <c r="AG22" s="486">
        <f>_xll.BDP(B22&amp;" Index","CHG_PCT_1D_PRE_FROM_REGULAR")/100</f>
        <v>-2.6539279999999998E-3</v>
      </c>
      <c r="AH22" s="480">
        <f t="shared" ref="AH22" si="59">(T22*AG22)/$AD$7*10000</f>
        <v>2.086447065074265E-2</v>
      </c>
      <c r="AI22" s="487" t="str">
        <f>_xll.BDP(B22&amp;" Equity","DVD_EX_DT")</f>
        <v>22/12/2025</v>
      </c>
    </row>
    <row r="23" spans="1:35">
      <c r="B23" s="40" t="s">
        <v>2145</v>
      </c>
      <c r="C23" t="s">
        <v>2246</v>
      </c>
      <c r="E23" t="s">
        <v>194</v>
      </c>
      <c r="F23" s="22" t="s">
        <v>99</v>
      </c>
      <c r="G23" s="15"/>
      <c r="H23" s="438">
        <v>14500</v>
      </c>
      <c r="I23" s="36" cm="1">
        <f t="array" ref="I23">_xll.BDP(B23&amp;" Equity","LAST_PRICE")</f>
        <v>344.9</v>
      </c>
      <c r="J23" s="51">
        <f t="shared" ref="J23:J26" si="60">I23/K23-1</f>
        <v>1.8816648450654228E-2</v>
      </c>
      <c r="K23" s="430" cm="1">
        <f t="array" ref="K23">_xll.BDP(B23&amp;" EQUITY","PX_YEST_CLOSE")</f>
        <v>338.53</v>
      </c>
      <c r="L23" s="53" cm="1">
        <f t="array" ref="L23">_xll.BDP(E23&amp;" Curncy","PX_LAST")</f>
        <v>1</v>
      </c>
      <c r="M23" s="52">
        <v>1</v>
      </c>
      <c r="N23" s="15">
        <f t="shared" si="50"/>
        <v>5001050</v>
      </c>
      <c r="O23" s="357">
        <f>IFERROR(IF(Tabelad[[#This Row],[D1 Exp USD]]&lt;&gt;0,N23/$AE$7,0),"-")</f>
        <v>2.0871066332549429E-3</v>
      </c>
      <c r="P23" s="20">
        <f>IFERROR(IF(Tabelad[[#This Row],[D1 Exp USD]]&lt;&gt;0,((I23-K23)/L23*M23*H23)/$AD$7*10000,0),"-")</f>
        <v>0.38547025960666853</v>
      </c>
      <c r="Q23" s="15">
        <f>IF(SUM(SUMIFS(Options!$AL$4:$AL$25, Options!$D$4:$D$25, B23), SUMIFS(Options!$AL$4:$AL$25, Options!$D$4:$D$25, B23 &amp; " US"))=0,0,SUM(SUMIFS(Options!$AL$4:$AL$25, Options!$D$4:$D$25, B23), SUMIFS(Options!$AL$4:$AL$25, Options!$D$4:$D$25, B23 &amp; " US")))</f>
        <v>0</v>
      </c>
      <c r="R23" s="19">
        <f t="shared" ref="R23:R41" si="61">Q23/$AE$7</f>
        <v>0</v>
      </c>
      <c r="S23" s="20">
        <f>IF(SUM(SUMIFS(Options!$AK$4:$AK$25, Options!$D$4:$D$25, B23), SUMIFS(Options!$AK$4:$AK$25, Options!$D$4:$D$25, B23 &amp; " US"))=0,0,SUM(SUMIFS(Options!$AK$4:$AK$25, Options!$D$4:$D$25, B23), SUMIFS(Options!AK$4:$AK$25, Options!$D$4:$D$25, B23 &amp; " US")))</f>
        <v>0</v>
      </c>
      <c r="T23" s="13">
        <f t="shared" si="52"/>
        <v>5001050</v>
      </c>
      <c r="U23" s="48">
        <f t="shared" si="53"/>
        <v>2.0871066332549429E-3</v>
      </c>
      <c r="V23" s="20">
        <f t="shared" si="40"/>
        <v>0.38547025960666853</v>
      </c>
      <c r="W23" s="15">
        <f t="shared" si="9"/>
        <v>486.31918648883737</v>
      </c>
      <c r="X23" s="19"/>
      <c r="Y23" s="375">
        <f>Tabelad[[#This Row],[Exp %]]*$Y$10*$AD$7/Tabelad[[#This Row],[Price Today]]</f>
        <v>5075</v>
      </c>
      <c r="Z23" s="266">
        <f>Tabelad[[#This Row],[Vol 10d]]/16*Tabelad[[#This Row],[Exp %]]*100</f>
        <v>0.17838786300211695</v>
      </c>
      <c r="AA23" s="19">
        <f>Tabelad[[#This Row],[Exp %]]*Tabelad[[#This Row],[Beta Adj2]]</f>
        <v>2.1561276809008876E-3</v>
      </c>
      <c r="AB23" s="36">
        <f>_xll.BDP($B23&amp;" Equity","volatility_10d")</f>
        <v>13.675419178667457</v>
      </c>
      <c r="AC23" s="36" cm="1">
        <f t="array" ref="AC23">_xll.BDP(B23&amp;" EQUITY","eqy_beta")</f>
        <v>1.0330702066421509</v>
      </c>
      <c r="AD23" s="15">
        <f>Tabelad[[#This Row],[D1 P&amp;L bps]]*$AD$5/10000</f>
        <v>86577.97207476414</v>
      </c>
      <c r="AE23" s="277"/>
      <c r="AF23" s="231" t="str">
        <f>_xll.BDP(B23&amp;" Equity","EXPECTED_REPORT_DT")</f>
        <v>04/02/2026</v>
      </c>
      <c r="AG23" s="172">
        <f>_xll.BDP(B23&amp;" Index","CHG_PCT_1D_PRE_FROM_REGULAR")/100</f>
        <v>-6.5873360000000001E-3</v>
      </c>
      <c r="AH23" s="20">
        <f t="shared" si="10"/>
        <v>-0.13748472661079081</v>
      </c>
      <c r="AI23" s="437" t="str">
        <f>_xll.BDP(B23&amp;" Equity","DVD_EX_DT")</f>
        <v>08/12/2025</v>
      </c>
    </row>
    <row r="24" spans="1:35">
      <c r="B24" s="40" t="s">
        <v>79</v>
      </c>
      <c r="C24" t="s">
        <v>2246</v>
      </c>
      <c r="E24" t="s">
        <v>194</v>
      </c>
      <c r="F24" s="22" t="s">
        <v>99</v>
      </c>
      <c r="G24" s="15"/>
      <c r="H24" s="438">
        <v>0</v>
      </c>
      <c r="I24" s="36" cm="1">
        <f t="array" ref="I24">_xll.BDP(B24&amp;" Equity","LAST_PRICE")</f>
        <v>270.01</v>
      </c>
      <c r="J24" s="51">
        <f t="shared" ref="J24" si="62">I24/K24-1</f>
        <v>4.0581162324649256E-2</v>
      </c>
      <c r="K24" s="430" cm="1">
        <f t="array" ref="K24">_xll.BDP(B24&amp;" EQUITY","PX_YEST_CLOSE")</f>
        <v>259.48</v>
      </c>
      <c r="L24" s="53" cm="1">
        <f t="array" ref="L24">_xll.BDP(E24&amp;" Curncy","PX_LAST")</f>
        <v>1</v>
      </c>
      <c r="M24" s="52">
        <v>1</v>
      </c>
      <c r="N24" s="15">
        <f t="shared" ref="N24" si="63">IFERROR(IF(((I24/L24)*H24*M24)&lt;&gt;0,((I24/L24)*H24*M24),0),"-")</f>
        <v>0</v>
      </c>
      <c r="O24" s="357">
        <f>IFERROR(IF(Tabelad[[#This Row],[D1 Exp USD]]&lt;&gt;0,N24/$AE$7,0),"-")</f>
        <v>0</v>
      </c>
      <c r="P24" s="20">
        <f>IFERROR(IF(Tabelad[[#This Row],[D1 Exp USD]]&lt;&gt;0,((I24-K24)/L24*M24*H24)/$AD$7*10000,0),"-")</f>
        <v>0</v>
      </c>
      <c r="Q24" s="15">
        <f>IF(SUM(SUMIFS(Options!$AL$4:$AL$25, Options!$D$4:$D$25, B24), SUMIFS(Options!$AL$4:$AL$25, Options!$D$4:$D$25, B24 &amp; " US"))=0,0,SUM(SUMIFS(Options!$AL$4:$AL$25, Options!$D$4:$D$25, B24), SUMIFS(Options!$AL$4:$AL$25, Options!$D$4:$D$25, B24 &amp; " US")))</f>
        <v>2638773.9012420177</v>
      </c>
      <c r="R24" s="19">
        <f t="shared" si="61"/>
        <v>1.1012492402479957E-3</v>
      </c>
      <c r="S24" s="20">
        <f>IF(SUM(SUMIFS(Options!$AK$4:$AK$25, Options!$D$4:$D$25, B24), SUMIFS(Options!$AK$4:$AK$25, Options!$D$4:$D$25, B24 &amp; " US"))=0,0,SUM(SUMIFS(Options!$AK$4:$AK$25, Options!$D$4:$D$25, B24), SUMIFS(Options!AK$4:$AK$25, Options!$D$4:$D$25, B24 &amp; " US")))</f>
        <v>0.42213302397244062</v>
      </c>
      <c r="T24" s="13">
        <f t="shared" ref="T24" si="64">N24+Q24</f>
        <v>2638773.9012420177</v>
      </c>
      <c r="U24" s="48">
        <f t="shared" ref="U24" si="65">T24/$AE$7</f>
        <v>1.1012492402479957E-3</v>
      </c>
      <c r="V24" s="20">
        <f t="shared" ref="V24" si="66">P24+S24</f>
        <v>0.42213302397244062</v>
      </c>
      <c r="W24" s="15">
        <f t="shared" ref="W24" si="67">$W$10/(I24/L24*M24)</f>
        <v>621.20472360282952</v>
      </c>
      <c r="X24" s="19"/>
      <c r="Y24" s="375">
        <f>Tabelad[[#This Row],[Exp %]]*$Y$10*$AD$7/Tabelad[[#This Row],[Price Today]]</f>
        <v>3420.5061495304108</v>
      </c>
      <c r="Z24" s="266">
        <f>Tabelad[[#This Row],[Vol 10d]]/16*Tabelad[[#This Row],[Exp %]]*100</f>
        <v>0.12721772192102415</v>
      </c>
      <c r="AA24" s="19">
        <f>Tabelad[[#This Row],[Exp %]]*Tabelad[[#This Row],[Beta Adj2]]</f>
        <v>1.1794089015608677E-3</v>
      </c>
      <c r="AB24" s="36">
        <f>_xll.BDP($B24&amp;" Equity","volatility_10d")</f>
        <v>18.483404812865125</v>
      </c>
      <c r="AC24" s="36" cm="1">
        <f t="array" ref="AC24">_xll.BDP(B24&amp;" EQUITY","eqy_beta")</f>
        <v>1.0709736347198486</v>
      </c>
      <c r="AD24" s="15">
        <f>Tabelad[[#This Row],[D1 P&amp;L bps]]*$AD$5/10000</f>
        <v>0</v>
      </c>
      <c r="AE24" s="277"/>
      <c r="AF24" s="231" t="str">
        <f>_xll.BDP(B24&amp;" Equity","EXPECTED_REPORT_DT")</f>
        <v>01/05/2026</v>
      </c>
      <c r="AG24" s="172">
        <f>_xll.BDP(B24&amp;" Index","CHG_PCT_1D_PRE_FROM_REGULAR")/100</f>
        <v>2.0810010000000003E-3</v>
      </c>
      <c r="AH24" s="20">
        <f t="shared" ref="AH24" si="68">(T24*AG24)/$AD$7*10000</f>
        <v>2.2917007702053196E-2</v>
      </c>
      <c r="AI24" s="437" t="str">
        <f>_xll.BDP(B24&amp;" Equity","DVD_EX_DT")</f>
        <v>09/02/2026</v>
      </c>
    </row>
    <row r="25" spans="1:35" s="59" customFormat="1">
      <c r="A25" s="473" t="s">
        <v>1770</v>
      </c>
      <c r="B25" s="423" t="s">
        <v>79</v>
      </c>
      <c r="C25" s="59" t="s">
        <v>2246</v>
      </c>
      <c r="E25" s="59" t="s">
        <v>194</v>
      </c>
      <c r="F25" s="163" t="s">
        <v>99</v>
      </c>
      <c r="G25" s="404"/>
      <c r="H25" s="475">
        <v>3000</v>
      </c>
      <c r="I25" s="14" cm="1">
        <f t="array" ref="I25">_xll.BDP(B25&amp;" Equity","LAST_PRICE")</f>
        <v>270.01</v>
      </c>
      <c r="J25" s="476">
        <f t="shared" ref="J25" si="69">I25/K25-1</f>
        <v>1.2866681671543256E-2</v>
      </c>
      <c r="K25" s="477">
        <v>266.58</v>
      </c>
      <c r="L25" s="8" cm="1">
        <f t="array" ref="L25">_xll.BDP(E25&amp;" Curncy","PX_LAST")</f>
        <v>1</v>
      </c>
      <c r="M25" s="478">
        <v>1</v>
      </c>
      <c r="N25" s="404">
        <f t="shared" ref="N25" si="70">IFERROR(IF(((I25/L25)*H25*M25)&lt;&gt;0,((I25/L25)*H25*M25),0),"-")</f>
        <v>810030</v>
      </c>
      <c r="O25" s="479">
        <f>IFERROR(IF(Tabelad[[#This Row],[D1 Exp USD]]&lt;&gt;0,N25/$AE$7,0),"-")</f>
        <v>3.3805280613781133E-4</v>
      </c>
      <c r="P25" s="480">
        <f>IFERROR(IF(Tabelad[[#This Row],[D1 Exp USD]]&lt;&gt;0,((I25-K25)/L25*M25*H25)/$AD$7*10000,0),"-")</f>
        <v>4.2943636348753568E-2</v>
      </c>
      <c r="Q25" s="404"/>
      <c r="R25" s="128"/>
      <c r="S25" s="480"/>
      <c r="T25" s="481">
        <f t="shared" ref="T25" si="71">N25+Q25</f>
        <v>810030</v>
      </c>
      <c r="U25" s="482">
        <f t="shared" ref="U25" si="72">T25/$AE$7</f>
        <v>3.3805280613781133E-4</v>
      </c>
      <c r="V25" s="480">
        <f t="shared" ref="V25" si="73">P25+S25</f>
        <v>4.2943636348753568E-2</v>
      </c>
      <c r="W25" s="404">
        <f t="shared" ref="W25" si="74">$W$10/(I25/L25*M25)</f>
        <v>621.20472360282952</v>
      </c>
      <c r="X25" s="128"/>
      <c r="Y25" s="483">
        <f>Tabelad[[#This Row],[Exp %]]*$Y$10*$AD$7/Tabelad[[#This Row],[Price Today]]</f>
        <v>1049.9999999999998</v>
      </c>
      <c r="Z25" s="484">
        <f>Tabelad[[#This Row],[Vol 10d]]/16*Tabelad[[#This Row],[Exp %]]*100</f>
        <v>3.9052292899813643E-2</v>
      </c>
      <c r="AA25" s="128">
        <f>Tabelad[[#This Row],[Exp %]]*Tabelad[[#This Row],[Beta Adj2]]</f>
        <v>3.6204564251665617E-4</v>
      </c>
      <c r="AB25" s="14">
        <f>_xll.BDP($B25&amp;" Equity","volatility_10d")</f>
        <v>18.483404812865125</v>
      </c>
      <c r="AC25" s="14" cm="1">
        <f t="array" ref="AC25">_xll.BDP(B25&amp;" EQUITY","eqy_beta")</f>
        <v>1.0709736347198486</v>
      </c>
      <c r="AD25" s="404">
        <f>Tabelad[[#This Row],[D1 P&amp;L bps]]*$AD$5/10000</f>
        <v>9645.2913186739988</v>
      </c>
      <c r="AE25" s="337"/>
      <c r="AF25" s="485" t="str">
        <f>_xll.BDP(B25&amp;" Equity","EXPECTED_REPORT_DT")</f>
        <v>01/05/2026</v>
      </c>
      <c r="AG25" s="486">
        <f>_xll.BDP(B25&amp;" Index","CHG_PCT_1D_PRE_FROM_REGULAR")/100</f>
        <v>2.0810010000000003E-3</v>
      </c>
      <c r="AH25" s="480">
        <f t="shared" ref="AH25" si="75">(T25*AG25)/$AD$7*10000</f>
        <v>7.0348822762559158E-3</v>
      </c>
      <c r="AI25" s="487" t="str">
        <f>_xll.BDP(B25&amp;" Equity","DVD_EX_DT")</f>
        <v>09/02/2026</v>
      </c>
    </row>
    <row r="26" spans="1:35">
      <c r="B26" s="40" t="s">
        <v>399</v>
      </c>
      <c r="C26" t="s">
        <v>2246</v>
      </c>
      <c r="E26" t="s">
        <v>194</v>
      </c>
      <c r="F26" s="22" t="s">
        <v>99</v>
      </c>
      <c r="G26" s="15"/>
      <c r="H26" s="438">
        <v>16335</v>
      </c>
      <c r="I26" s="36" cm="1">
        <f t="array" ref="I26">_xll.BDP(B26&amp;" Equity","LAST_PRICE")</f>
        <v>242.96</v>
      </c>
      <c r="J26" s="51">
        <f t="shared" si="60"/>
        <v>1.5294609277058058E-2</v>
      </c>
      <c r="K26" s="430" cm="1">
        <f t="array" ref="K26">_xll.BDP(B26&amp;" EQUITY","PX_YEST_CLOSE")</f>
        <v>239.3</v>
      </c>
      <c r="L26" s="53" cm="1">
        <f t="array" ref="L26">_xll.BDP(E26&amp;" Curncy","PX_LAST")</f>
        <v>1</v>
      </c>
      <c r="M26" s="52">
        <v>1</v>
      </c>
      <c r="N26" s="15">
        <f t="shared" si="50"/>
        <v>3968751.6</v>
      </c>
      <c r="O26" s="357">
        <f>IFERROR(IF(Tabelad[[#This Row],[D1 Exp USD]]&lt;&gt;0,N26/$AE$7,0),"-")</f>
        <v>1.656293736335603E-3</v>
      </c>
      <c r="P26" s="20">
        <f>IFERROR(IF(Tabelad[[#This Row],[D1 Exp USD]]&lt;&gt;0,((I26-K26)/L26*M26*H26)/$AD$7*10000,0),"-")</f>
        <v>0.24950753519049645</v>
      </c>
      <c r="Q26" s="15">
        <f>IF(SUM(SUMIFS(Options!$AL$4:$AL$25, Options!$D$4:$D$25, B26), SUMIFS(Options!$AL$4:$AL$25, Options!$D$4:$D$25, B26 &amp; " US"))=0,0,SUM(SUMIFS(Options!$AL$4:$AL$25, Options!$D$4:$D$25, B26), SUMIFS(Options!$AL$4:$AL$25, Options!$D$4:$D$25, B26 &amp; " US")))</f>
        <v>0</v>
      </c>
      <c r="R26" s="19">
        <f t="shared" si="61"/>
        <v>0</v>
      </c>
      <c r="S26" s="20">
        <f>IF(SUM(SUMIFS(Options!$AK$4:$AK$25, Options!$D$4:$D$25, B26), SUMIFS(Options!$AK$4:$AK$25, Options!$D$4:$D$25, B26 &amp; " US"))=0,0,SUM(SUMIFS(Options!$AK$4:$AK$25, Options!$D$4:$D$25, B26), SUMIFS(Options!AK$4:$AK$25, Options!$D$4:$D$25, B26 &amp; " US")))</f>
        <v>0</v>
      </c>
      <c r="T26" s="13">
        <f t="shared" si="52"/>
        <v>3968751.6</v>
      </c>
      <c r="U26" s="48">
        <f t="shared" si="53"/>
        <v>1.656293736335603E-3</v>
      </c>
      <c r="V26" s="20">
        <f t="shared" si="40"/>
        <v>0.24950753519049645</v>
      </c>
      <c r="W26" s="15">
        <f t="shared" si="9"/>
        <v>690.36667525518601</v>
      </c>
      <c r="X26" s="19"/>
      <c r="Y26" s="375">
        <f>Tabelad[[#This Row],[Exp %]]*$Y$10*$AD$7/Tabelad[[#This Row],[Price Today]]</f>
        <v>5717.2499999999991</v>
      </c>
      <c r="Z26" s="266">
        <f>Tabelad[[#This Row],[Vol 10d]]/16*Tabelad[[#This Row],[Exp %]]*100</f>
        <v>0.22408727997383165</v>
      </c>
      <c r="AA26" s="19">
        <f>Tabelad[[#This Row],[Exp %]]*Tabelad[[#This Row],[Beta Adj2]]</f>
        <v>2.1020147383507448E-3</v>
      </c>
      <c r="AB26" s="36">
        <f>_xll.BDP($B26&amp;" Equity","volatility_10d")</f>
        <v>21.647105226115659</v>
      </c>
      <c r="AC26" s="36" cm="1">
        <f t="array" ref="AC26">_xll.BDP(B26&amp;" EQUITY","eqy_beta")</f>
        <v>1.269107460975647</v>
      </c>
      <c r="AD26" s="15">
        <f>Tabelad[[#This Row],[D1 P&amp;L bps]]*$AD$5/10000</f>
        <v>56040.267376809905</v>
      </c>
      <c r="AE26" s="277"/>
      <c r="AF26" s="231" t="str">
        <f>_xll.BDP(B26&amp;" Equity","EXPECTED_REPORT_DT")</f>
        <v>05/02/2026</v>
      </c>
      <c r="AG26" s="172">
        <f>_xll.BDP(B26&amp;" Index","CHG_PCT_1D_PRE_FROM_REGULAR")/100</f>
        <v>-4.6385319999999999E-3</v>
      </c>
      <c r="AH26" s="20">
        <f t="shared" si="10"/>
        <v>-7.6827714973922573E-2</v>
      </c>
      <c r="AI26" s="437" t="str">
        <f>_xll.BDP(B26&amp;" Equity","DVD_EX_DT")</f>
        <v>#N/A Field Not Applicable</v>
      </c>
    </row>
    <row r="27" spans="1:35" s="59" customFormat="1">
      <c r="A27" s="473" t="s">
        <v>1770</v>
      </c>
      <c r="B27" s="423" t="s">
        <v>399</v>
      </c>
      <c r="C27" s="59" t="s">
        <v>2246</v>
      </c>
      <c r="E27" s="59" t="s">
        <v>194</v>
      </c>
      <c r="F27" s="163" t="s">
        <v>99</v>
      </c>
      <c r="G27" s="404"/>
      <c r="H27" s="475">
        <v>-1635</v>
      </c>
      <c r="I27" s="14" cm="1">
        <f t="array" ref="I27">_xll.BDP(B27&amp;" Equity","LAST_PRICE")</f>
        <v>242.96</v>
      </c>
      <c r="J27" s="476">
        <f t="shared" ref="J27" si="76">I27/K27-1</f>
        <v>-1.9307398430760125E-3</v>
      </c>
      <c r="K27" s="477">
        <v>243.43</v>
      </c>
      <c r="L27" s="8" cm="1">
        <f t="array" ref="L27">_xll.BDP(E27&amp;" Curncy","PX_LAST")</f>
        <v>1</v>
      </c>
      <c r="M27" s="478">
        <v>1</v>
      </c>
      <c r="N27" s="404">
        <f t="shared" ref="N27" si="77">IFERROR(IF(((I27/L27)*H27*M27)&lt;&gt;0,((I27/L27)*H27*M27),0),"-")</f>
        <v>-397239.60000000003</v>
      </c>
      <c r="O27" s="479">
        <f>IFERROR(IF(Tabelad[[#This Row],[D1 Exp USD]]&lt;&gt;0,N27/$AE$7,0),"-")</f>
        <v>-1.6578146672229638E-4</v>
      </c>
      <c r="P27" s="480">
        <f>IFERROR(IF(Tabelad[[#This Row],[D1 Exp USD]]&lt;&gt;0,((I27-K27)/L27*M27*H27)/$AD$7*10000,0),"-")</f>
        <v>3.2070007144994685E-3</v>
      </c>
      <c r="Q27" s="404"/>
      <c r="R27" s="128"/>
      <c r="S27" s="480"/>
      <c r="T27" s="481">
        <f t="shared" ref="T27" si="78">N27+Q27</f>
        <v>-397239.60000000003</v>
      </c>
      <c r="U27" s="482">
        <f t="shared" ref="U27" si="79">T27/$AE$7</f>
        <v>-1.6578146672229638E-4</v>
      </c>
      <c r="V27" s="480">
        <f t="shared" ref="V27" si="80">P27+S27</f>
        <v>3.2070007144994685E-3</v>
      </c>
      <c r="W27" s="404">
        <f t="shared" ref="W27" si="81">$W$10/(I27/L27*M27)</f>
        <v>690.36667525518601</v>
      </c>
      <c r="X27" s="128"/>
      <c r="Y27" s="483">
        <f>Tabelad[[#This Row],[Exp %]]*$Y$10*$AD$7/Tabelad[[#This Row],[Price Today]]</f>
        <v>-572.25</v>
      </c>
      <c r="Z27" s="484">
        <f>Tabelad[[#This Row],[Vol 10d]]/16*Tabelad[[#This Row],[Exp %]]*100</f>
        <v>-2.2429305341733381E-2</v>
      </c>
      <c r="AA27" s="128">
        <f>Tabelad[[#This Row],[Exp %]]*Tabelad[[#This Row],[Beta Adj2]]</f>
        <v>-2.1039449630875227E-4</v>
      </c>
      <c r="AB27" s="14">
        <f>_xll.BDP($B27&amp;" Equity","volatility_10d")</f>
        <v>21.647105226115659</v>
      </c>
      <c r="AC27" s="14" cm="1">
        <f t="array" ref="AC27">_xll.BDP(B27&amp;" EQUITY","eqy_beta")</f>
        <v>1.269107460975647</v>
      </c>
      <c r="AD27" s="404">
        <f>Tabelad[[#This Row],[D1 P&amp;L bps]]*$AD$5/10000</f>
        <v>720.30360678668626</v>
      </c>
      <c r="AE27" s="337"/>
      <c r="AF27" s="485" t="str">
        <f>_xll.BDP(B27&amp;" Equity","EXPECTED_REPORT_DT")</f>
        <v>05/02/2026</v>
      </c>
      <c r="AG27" s="486">
        <f>_xll.BDP(B27&amp;" Index","CHG_PCT_1D_PRE_FROM_REGULAR")/100</f>
        <v>-4.6385319999999999E-3</v>
      </c>
      <c r="AH27" s="480">
        <f t="shared" ref="AH27" si="82">(T27*AG27)/$AD$7*10000</f>
        <v>7.6898263839830679E-3</v>
      </c>
      <c r="AI27" s="487" t="str">
        <f>_xll.BDP(B27&amp;" Equity","DVD_EX_DT")</f>
        <v>#N/A Field Not Applicable</v>
      </c>
    </row>
    <row r="28" spans="1:35">
      <c r="B28" s="40" t="s">
        <v>81</v>
      </c>
      <c r="C28" t="s">
        <v>2246</v>
      </c>
      <c r="E28" t="s">
        <v>194</v>
      </c>
      <c r="F28" s="22" t="s">
        <v>99</v>
      </c>
      <c r="G28" s="15"/>
      <c r="H28" s="438">
        <v>5750</v>
      </c>
      <c r="I28" s="36" cm="1">
        <f t="array" ref="I28">_xll.BDP(B28&amp;" Equity","LAST_PRICE")</f>
        <v>706.41</v>
      </c>
      <c r="J28" s="51">
        <f t="shared" si="3"/>
        <v>-1.4082344731332963E-2</v>
      </c>
      <c r="K28" s="430" cm="1">
        <f t="array" ref="K28">_xll.BDP(B28&amp;" EQUITY","PX_YEST_CLOSE")</f>
        <v>716.5</v>
      </c>
      <c r="L28" s="53" cm="1">
        <f t="array" ref="L28">_xll.BDP(E28&amp;" Curncy","PX_LAST")</f>
        <v>1</v>
      </c>
      <c r="M28" s="52">
        <v>1</v>
      </c>
      <c r="N28" s="15">
        <f t="shared" si="4"/>
        <v>4061857.5</v>
      </c>
      <c r="O28" s="357">
        <f>IFERROR(IF(Tabelad[[#This Row],[D1 Exp USD]]&lt;&gt;0,N28/$AE$7,0),"-")</f>
        <v>1.6951499648246546E-3</v>
      </c>
      <c r="P28" s="20">
        <f>IFERROR(IF(Tabelad[[#This Row],[D1 Exp USD]]&lt;&gt;0,((I28-K28)/L28*M28*H28)/$AD$7*10000,0),"-")</f>
        <v>-0.2421265716097</v>
      </c>
      <c r="Q28" s="15">
        <f>IF(SUM(SUMIFS(Options!$AL$4:$AL$25, Options!$D$4:$D$25, B28), SUMIFS(Options!$AL$4:$AL$25, Options!$D$4:$D$25, B28 &amp; " US"))=0,0,SUM(SUMIFS(Options!$AL$4:$AL$25, Options!$D$4:$D$25, B28), SUMIFS(Options!$AL$4:$AL$25, Options!$D$4:$D$25, B28 &amp; " US")))</f>
        <v>4419789.1376361251</v>
      </c>
      <c r="R28" s="19">
        <f t="shared" si="61"/>
        <v>1.8445268947018126E-3</v>
      </c>
      <c r="S28" s="20">
        <f>IF(SUM(SUMIFS(Options!$AK$4:$AK$25, Options!$D$4:$D$25, B28), SUMIFS(Options!$AK$4:$AK$25, Options!$D$4:$D$25, B28 &amp; " US"))=0,0,SUM(SUMIFS(Options!$AK$4:$AK$25, Options!$D$4:$D$25, B28), SUMIFS(Options!AK$4:$AK$25, Options!$D$4:$D$25, B28 &amp; " US")))</f>
        <v>-0.37484911728328818</v>
      </c>
      <c r="T28" s="13">
        <f t="shared" si="6"/>
        <v>8481646.6376361251</v>
      </c>
      <c r="U28" s="48">
        <f t="shared" si="7"/>
        <v>3.5396768595264672E-3</v>
      </c>
      <c r="V28" s="20">
        <f t="shared" si="8"/>
        <v>-0.61697568889298815</v>
      </c>
      <c r="W28" s="15">
        <f t="shared" si="9"/>
        <v>237.44211919423563</v>
      </c>
      <c r="X28" s="19"/>
      <c r="Y28" s="375">
        <f>Tabelad[[#This Row],[Exp %]]*$Y$10*$AD$7/Tabelad[[#This Row],[Price Today]]</f>
        <v>4202.3418739438057</v>
      </c>
      <c r="Z28" s="266">
        <f>Tabelad[[#This Row],[Vol 10d]]/16*Tabelad[[#This Row],[Exp %]]*100</f>
        <v>1.3666839681018375</v>
      </c>
      <c r="AA28" s="19">
        <f>Tabelad[[#This Row],[Exp %]]*Tabelad[[#This Row],[Beta Adj2]]</f>
        <v>4.1706886613208519E-3</v>
      </c>
      <c r="AB28" s="36">
        <f>_xll.BDP($B28&amp;" Equity","volatility_10d")</f>
        <v>61.776665942762719</v>
      </c>
      <c r="AC28" s="36" cm="1">
        <f t="array" ref="AC28">_xll.BDP(B28&amp;" EQUITY","eqy_beta")</f>
        <v>1.1782681941986084</v>
      </c>
      <c r="AD28" s="15">
        <f>Tabelad[[#This Row],[D1 P&amp;L bps]]*$AD$5/10000</f>
        <v>-54382.477072999944</v>
      </c>
      <c r="AE28" s="277"/>
      <c r="AF28" s="231" t="str">
        <f>_xll.BDP(B28&amp;" Equity","EXPECTED_REPORT_DT")</f>
        <v>30/04/2026</v>
      </c>
      <c r="AG28" s="172" t="e">
        <f>_xll.BDP(B28&amp;" Index","CHG_PCT_1D_PRE_FROM_REGULAR")/100</f>
        <v>#VALUE!</v>
      </c>
      <c r="AH28" s="20" t="e">
        <f t="shared" si="10"/>
        <v>#VALUE!</v>
      </c>
      <c r="AI28" s="437" t="str">
        <f>_xll.BDP(B28&amp;" Equity","DVD_EX_DT")</f>
        <v>15/12/2025</v>
      </c>
    </row>
    <row r="29" spans="1:35">
      <c r="B29" s="40" t="s">
        <v>90</v>
      </c>
      <c r="C29" t="s">
        <v>2246</v>
      </c>
      <c r="E29" t="s">
        <v>194</v>
      </c>
      <c r="F29" s="22" t="s">
        <v>99</v>
      </c>
      <c r="G29" s="15"/>
      <c r="H29" s="438">
        <v>4180</v>
      </c>
      <c r="I29" s="36" cm="1">
        <f t="array" ref="I29">_xll.BDP(B29&amp;" Equity","LAST_PRICE")</f>
        <v>423.37</v>
      </c>
      <c r="J29" s="51">
        <f t="shared" si="3"/>
        <v>-1.6082177136349962E-2</v>
      </c>
      <c r="K29" s="430" cm="1">
        <f t="array" ref="K29">_xll.BDP(B29&amp;" EQUITY","PX_YEST_CLOSE")</f>
        <v>430.29</v>
      </c>
      <c r="L29" s="53" cm="1">
        <f t="array" ref="L29">_xll.BDP(E29&amp;" Curncy","PX_LAST")</f>
        <v>1</v>
      </c>
      <c r="M29" s="52">
        <v>1</v>
      </c>
      <c r="N29" s="15">
        <f t="shared" si="4"/>
        <v>1769686.6</v>
      </c>
      <c r="O29" s="357">
        <f>IFERROR(IF(Tabelad[[#This Row],[D1 Exp USD]]&lt;&gt;0,N29/$AE$7,0),"-")</f>
        <v>7.3854983286357609E-4</v>
      </c>
      <c r="P29" s="20">
        <f>IFERROR(IF(Tabelad[[#This Row],[D1 Exp USD]]&lt;&gt;0,((I29-K29)/L29*M29*H29)/$AD$7*10000,0),"-")</f>
        <v>-0.12071627284446129</v>
      </c>
      <c r="Q29" s="15">
        <f>IF(SUM(SUMIFS(Options!$AL$4:$AL$25, Options!$D$4:$D$25, B29), SUMIFS(Options!$AL$4:$AL$25, Options!$D$4:$D$25, B29 &amp; " US"))=0,0,SUM(SUMIFS(Options!$AL$4:$AL$25, Options!$D$4:$D$25, B29), SUMIFS(Options!$AL$4:$AL$25, Options!$D$4:$D$25, B29 &amp; " US")))</f>
        <v>0</v>
      </c>
      <c r="R29" s="19">
        <f t="shared" si="61"/>
        <v>0</v>
      </c>
      <c r="S29" s="20">
        <f>IF(SUM(SUMIFS(Options!$AK$4:$AK$25, Options!$D$4:$D$25, B29), SUMIFS(Options!$AK$4:$AK$25, Options!$D$4:$D$25, B29 &amp; " US"))=0,0,SUM(SUMIFS(Options!$AK$4:$AK$25, Options!$D$4:$D$25, B29), SUMIFS(Options!AK$4:$AK$25, Options!$D$4:$D$25, B29 &amp; " US")))</f>
        <v>0</v>
      </c>
      <c r="T29" s="13">
        <f t="shared" si="6"/>
        <v>1769686.6</v>
      </c>
      <c r="U29" s="48">
        <f t="shared" si="7"/>
        <v>7.3854983286357609E-4</v>
      </c>
      <c r="V29" s="20">
        <f t="shared" si="8"/>
        <v>-0.12071627284446129</v>
      </c>
      <c r="W29" s="15">
        <f t="shared" si="9"/>
        <v>396.1817970569478</v>
      </c>
      <c r="X29" s="19"/>
      <c r="Y29" s="375">
        <f>Tabelad[[#This Row],[Exp %]]*$Y$10*$AD$7/Tabelad[[#This Row],[Price Today]]</f>
        <v>1463.0000000000002</v>
      </c>
      <c r="Z29" s="266">
        <f>Tabelad[[#This Row],[Vol 10d]]/16*Tabelad[[#This Row],[Exp %]]*100</f>
        <v>0.3021693345376753</v>
      </c>
      <c r="AA29" s="19">
        <f>Tabelad[[#This Row],[Exp %]]*Tabelad[[#This Row],[Beta Adj2]]</f>
        <v>7.5314631618839621E-4</v>
      </c>
      <c r="AB29" s="36">
        <f>_xll.BDP($B29&amp;" Equity","volatility_10d")</f>
        <v>65.462195473759806</v>
      </c>
      <c r="AC29" s="36" cm="1">
        <f t="array" ref="AC29">_xll.BDP(B29&amp;" EQUITY","eqy_beta")</f>
        <v>1.019763708114624</v>
      </c>
      <c r="AD29" s="15">
        <f>Tabelad[[#This Row],[D1 P&amp;L bps]]*$AD$5/10000</f>
        <v>-27113.298208691616</v>
      </c>
      <c r="AE29" s="277"/>
      <c r="AF29" s="231" t="str">
        <f>_xll.BDP(B29&amp;" Equity","EXPECTED_REPORT_DT")</f>
        <v>30/04/2026</v>
      </c>
      <c r="AG29" s="172" t="e">
        <f>_xll.BDP(B29&amp;" Index","CHG_PCT_1D_PRE_FROM_REGULAR")/100</f>
        <v>#VALUE!</v>
      </c>
      <c r="AH29" s="20" t="e">
        <f t="shared" si="10"/>
        <v>#VALUE!</v>
      </c>
      <c r="AI29" s="437" t="str">
        <f>_xll.BDP(B29&amp;" Equity","DVD_EX_DT")</f>
        <v>19/02/2026</v>
      </c>
    </row>
    <row r="30" spans="1:35">
      <c r="B30" s="40" t="s">
        <v>89</v>
      </c>
      <c r="C30" t="s">
        <v>2246</v>
      </c>
      <c r="E30" t="s">
        <v>194</v>
      </c>
      <c r="F30" s="22" t="s">
        <v>99</v>
      </c>
      <c r="G30" s="15"/>
      <c r="H30" s="438">
        <v>-26000</v>
      </c>
      <c r="I30" s="36" cm="1">
        <f t="array" ref="I30">_xll.BDP(B30&amp;" Equity","LAST_PRICE")</f>
        <v>89.52</v>
      </c>
      <c r="J30" s="51">
        <f t="shared" ref="J30" si="83">I30/K30-1</f>
        <v>-8.7476469936884627E-3</v>
      </c>
      <c r="K30" s="430" cm="1">
        <f t="array" ref="K30">_xll.BDP(B30&amp;" EQUITY","PX_YEST_CLOSE")</f>
        <v>90.31</v>
      </c>
      <c r="L30" s="53" cm="1">
        <f t="array" ref="L30">_xll.BDP(E30&amp;" Curncy","PX_LAST")</f>
        <v>1</v>
      </c>
      <c r="M30" s="52">
        <v>1</v>
      </c>
      <c r="N30" s="15">
        <f t="shared" ref="N30" si="84">IFERROR(IF(((I30/L30)*H30*M30)&lt;&gt;0,((I30/L30)*H30*M30),0),"-")</f>
        <v>-2327520</v>
      </c>
      <c r="O30" s="357">
        <f>IFERROR(IF(Tabelad[[#This Row],[D1 Exp USD]]&lt;&gt;0,N30/$AE$7,0),"-")</f>
        <v>-9.7135250218125088E-4</v>
      </c>
      <c r="P30" s="20">
        <f>IFERROR(IF(Tabelad[[#This Row],[D1 Exp USD]]&lt;&gt;0,((I30-K30)/L30*M30*H30)/$AD$7*10000,0),"-")</f>
        <v>8.5720339222876932E-2</v>
      </c>
      <c r="Q30" s="15">
        <f>IF(SUM(SUMIFS(Options!$AL$4:$AL$25, Options!$D$4:$D$25, B30), SUMIFS(Options!$AL$4:$AL$25, Options!$D$4:$D$25, B30 &amp; " US"))=0,0,SUM(SUMIFS(Options!$AL$4:$AL$25, Options!$D$4:$D$25, B30), SUMIFS(Options!$AL$4:$AL$25, Options!$D$4:$D$25, B30 &amp; " US")))</f>
        <v>0</v>
      </c>
      <c r="R30" s="19">
        <f t="shared" ref="R30" si="85">Q30/$AE$7</f>
        <v>0</v>
      </c>
      <c r="S30" s="20">
        <f>IF(SUM(SUMIFS(Options!$AK$4:$AK$25, Options!$D$4:$D$25, B30), SUMIFS(Options!$AK$4:$AK$25, Options!$D$4:$D$25, B30 &amp; " US"))=0,0,SUM(SUMIFS(Options!$AK$4:$AK$25, Options!$D$4:$D$25, B30), SUMIFS(Options!AK$4:$AK$25, Options!$D$4:$D$25, B30 &amp; " US")))</f>
        <v>0</v>
      </c>
      <c r="T30" s="13">
        <f t="shared" ref="T30" si="86">N30+Q30</f>
        <v>-2327520</v>
      </c>
      <c r="U30" s="48">
        <f t="shared" ref="U30" si="87">T30/$AE$7</f>
        <v>-9.7135250218125088E-4</v>
      </c>
      <c r="V30" s="20">
        <f t="shared" ref="V30" si="88">P30+S30</f>
        <v>8.5720339222876932E-2</v>
      </c>
      <c r="W30" s="15">
        <f t="shared" ref="W30" si="89">$W$10/(I30/L30*M30)</f>
        <v>1873.6761329311885</v>
      </c>
      <c r="X30" s="19"/>
      <c r="Y30" s="375">
        <f>Tabelad[[#This Row],[Exp %]]*$Y$10*$AD$7/Tabelad[[#This Row],[Price Today]]</f>
        <v>-9100</v>
      </c>
      <c r="Z30" s="266">
        <f>Tabelad[[#This Row],[Vol 10d]]/16*Tabelad[[#This Row],[Exp %]]*100</f>
        <v>-0.19685134390587788</v>
      </c>
      <c r="AA30" s="19">
        <f>Tabelad[[#This Row],[Exp %]]*Tabelad[[#This Row],[Beta Adj2]]</f>
        <v>-9.7015455285386358E-4</v>
      </c>
      <c r="AB30" s="36">
        <f>_xll.BDP($B30&amp;" Equity","volatility_10d")</f>
        <v>32.425113390054747</v>
      </c>
      <c r="AC30" s="36" cm="1">
        <f t="array" ref="AC30">_xll.BDP(B30&amp;" EQUITY","eqy_beta")</f>
        <v>0.99876672029495239</v>
      </c>
      <c r="AD30" s="15">
        <f>Tabelad[[#This Row],[D1 P&amp;L bps]]*$AD$5/10000</f>
        <v>19253.088793543746</v>
      </c>
      <c r="AE30" s="277"/>
      <c r="AF30" s="231" t="str">
        <f>_xll.BDP(B30&amp;" Equity","EXPECTED_REPORT_DT")</f>
        <v>#N/A N/A</v>
      </c>
      <c r="AG30" s="172">
        <f>_xll.BDP(B30&amp;" Index","CHG_PCT_1D_PRE_FROM_REGULAR")/100</f>
        <v>7.8618000000000004E-3</v>
      </c>
      <c r="AH30" s="20">
        <f t="shared" ref="AH30" si="90">(T30*AG30)/$AD$7*10000</f>
        <v>-7.6365791016485579E-2</v>
      </c>
      <c r="AI30" s="437" t="str">
        <f>_xll.BDP(B30&amp;" Equity","DVD_EX_DT")</f>
        <v>21/03/2024</v>
      </c>
    </row>
    <row r="31" spans="1:35" s="59" customFormat="1">
      <c r="A31" s="473" t="s">
        <v>1770</v>
      </c>
      <c r="B31" s="423" t="s">
        <v>89</v>
      </c>
      <c r="C31" s="59" t="s">
        <v>2246</v>
      </c>
      <c r="E31" s="59" t="s">
        <v>194</v>
      </c>
      <c r="F31" s="163" t="s">
        <v>99</v>
      </c>
      <c r="G31" s="404"/>
      <c r="H31" s="475">
        <v>18500</v>
      </c>
      <c r="I31" s="14" cm="1">
        <f t="array" ref="I31">_xll.BDP(B31&amp;" Equity","LAST_PRICE")</f>
        <v>89.52</v>
      </c>
      <c r="J31" s="476">
        <f t="shared" ref="J31" si="91">I31/K31-1</f>
        <v>-1.4856388246946239E-2</v>
      </c>
      <c r="K31" s="477">
        <v>90.87</v>
      </c>
      <c r="L31" s="8" cm="1">
        <f t="array" ref="L31">_xll.BDP(E31&amp;" Curncy","PX_LAST")</f>
        <v>1</v>
      </c>
      <c r="M31" s="478">
        <v>1</v>
      </c>
      <c r="N31" s="404">
        <f t="shared" ref="N31" si="92">IFERROR(IF(((I31/L31)*H31*M31)&lt;&gt;0,((I31/L31)*H31*M31),0),"-")</f>
        <v>1656120</v>
      </c>
      <c r="O31" s="479">
        <f>IFERROR(IF(Tabelad[[#This Row],[D1 Exp USD]]&lt;&gt;0,N31/$AE$7,0),"-")</f>
        <v>6.9115466501358232E-4</v>
      </c>
      <c r="P31" s="480">
        <f>IFERROR(IF(Tabelad[[#This Row],[D1 Exp USD]]&lt;&gt;0,((I31-K31)/L31*M31*H31)/$AD$7*10000,0),"-")</f>
        <v>-0.1042290882225583</v>
      </c>
      <c r="Q31" s="404">
        <f>IF(SUM(SUMIFS(Options!$AL$4:$AL$25, Options!$D$4:$D$25, B31), SUMIFS(Options!$AL$4:$AL$25, Options!$D$4:$D$25, B31 &amp; " US"))=0,0,SUM(SUMIFS(Options!$AL$4:$AL$25, Options!$D$4:$D$25, B31), SUMIFS(Options!$AL$4:$AL$25, Options!$D$4:$D$25, B31 &amp; " US")))</f>
        <v>0</v>
      </c>
      <c r="R31" s="128">
        <f t="shared" ref="R31" si="93">Q31/$AE$7</f>
        <v>0</v>
      </c>
      <c r="S31" s="480">
        <f>IF(SUM(SUMIFS(Options!$AK$4:$AK$25, Options!$D$4:$D$25, B31), SUMIFS(Options!$AK$4:$AK$25, Options!$D$4:$D$25, B31 &amp; " US"))=0,0,SUM(SUMIFS(Options!$AK$4:$AK$25, Options!$D$4:$D$25, B31), SUMIFS(Options!AK$4:$AK$25, Options!$D$4:$D$25, B31 &amp; " US")))</f>
        <v>0</v>
      </c>
      <c r="T31" s="481">
        <f t="shared" ref="T31" si="94">N31+Q31</f>
        <v>1656120</v>
      </c>
      <c r="U31" s="482">
        <f t="shared" ref="U31" si="95">T31/$AE$7</f>
        <v>6.9115466501358232E-4</v>
      </c>
      <c r="V31" s="480">
        <f t="shared" ref="V31" si="96">P31+S31</f>
        <v>-0.1042290882225583</v>
      </c>
      <c r="W31" s="404">
        <f t="shared" ref="W31" si="97">$W$10/(I31/L31*M31)</f>
        <v>1873.6761329311885</v>
      </c>
      <c r="X31" s="128"/>
      <c r="Y31" s="483">
        <f>Tabelad[[#This Row],[Exp %]]*$Y$10*$AD$7/Tabelad[[#This Row],[Price Today]]</f>
        <v>6474.9999999999991</v>
      </c>
      <c r="Z31" s="484">
        <f>Tabelad[[#This Row],[Vol 10d]]/16*Tabelad[[#This Row],[Exp %]]*100</f>
        <v>0.14006730239456694</v>
      </c>
      <c r="AA31" s="128">
        <f>Tabelad[[#This Row],[Exp %]]*Tabelad[[#This Row],[Beta Adj2]]</f>
        <v>6.9030227799217209E-4</v>
      </c>
      <c r="AB31" s="14">
        <f>_xll.BDP($B31&amp;" Equity","volatility_10d")</f>
        <v>32.425113390054747</v>
      </c>
      <c r="AC31" s="14" cm="1">
        <f t="array" ref="AC31">_xll.BDP(B31&amp;" EQUITY","eqy_beta")</f>
        <v>0.99876672029495239</v>
      </c>
      <c r="AD31" s="404">
        <f>Tabelad[[#This Row],[D1 P&amp;L bps]]*$AD$5/10000</f>
        <v>-23410.218725353174</v>
      </c>
      <c r="AE31" s="337"/>
      <c r="AF31" s="485" t="str">
        <f>_xll.BDP(B31&amp;" Equity","EXPECTED_REPORT_DT")</f>
        <v>#N/A N/A</v>
      </c>
      <c r="AG31" s="486">
        <f>_xll.BDP(B31&amp;" Index","CHG_PCT_1D_PRE_FROM_REGULAR")/100</f>
        <v>7.8618000000000004E-3</v>
      </c>
      <c r="AH31" s="480">
        <f t="shared" ref="AH31" si="98">(T31*AG31)/$AD$7*10000</f>
        <v>5.4337197454037825E-2</v>
      </c>
      <c r="AI31" s="487" t="str">
        <f>_xll.BDP(B31&amp;" Equity","DVD_EX_DT")</f>
        <v>21/03/2024</v>
      </c>
    </row>
    <row r="32" spans="1:35">
      <c r="B32" s="435" t="s">
        <v>2269</v>
      </c>
      <c r="C32" t="s">
        <v>2134</v>
      </c>
      <c r="E32" t="s">
        <v>2107</v>
      </c>
      <c r="F32" s="22" t="s">
        <v>99</v>
      </c>
      <c r="G32" s="15"/>
      <c r="H32" s="438">
        <v>1393</v>
      </c>
      <c r="I32" s="36" cm="1">
        <f t="array" ref="I32">_xll.BDP(B32&amp;" Equity","LAST_PRICE")</f>
        <v>830000</v>
      </c>
      <c r="J32" s="51">
        <f t="shared" si="3"/>
        <v>-8.6908690869086924E-2</v>
      </c>
      <c r="K32" s="430" cm="1">
        <f t="array" ref="K32">_xll.BDP(B32&amp;" EQUITY","PX_YEST_CLOSE")</f>
        <v>909000</v>
      </c>
      <c r="L32" s="53" cm="1">
        <f t="array" ref="L32">_xll.BDP(E32&amp;" Curncy","PX_LAST")</f>
        <v>1451.85</v>
      </c>
      <c r="M32" s="52">
        <v>1</v>
      </c>
      <c r="N32" s="15">
        <f t="shared" si="4"/>
        <v>796356.37290353689</v>
      </c>
      <c r="O32" s="357">
        <f>IFERROR(IF(Tabelad[[#This Row],[D1 Exp USD]]&lt;&gt;0,N32/$AE$7,0),"-")</f>
        <v>3.3234634093276788E-4</v>
      </c>
      <c r="P32" s="20">
        <f>IFERROR(IF(Tabelad[[#This Row],[D1 Exp USD]]&lt;&gt;0,((I32-K32)/L32*M32*H32)/$AD$7*10000,0),"-")</f>
        <v>-0.31632964980347783</v>
      </c>
      <c r="Q32" s="15">
        <f>IF(SUM(SUMIFS(Options!$AL$4:$AL$25, Options!$D$4:$D$25, B32), SUMIFS(Options!$AL$4:$AL$25, Options!$D$4:$D$25, B32 &amp; " US"))=0,0,SUM(SUMIFS(Options!$AL$4:$AL$25, Options!$D$4:$D$25, B32), SUMIFS(Options!$AL$4:$AL$25, Options!$D$4:$D$25, B32 &amp; " US")))</f>
        <v>0</v>
      </c>
      <c r="R32" s="19">
        <f t="shared" si="61"/>
        <v>0</v>
      </c>
      <c r="S32" s="20">
        <f>IF(SUM(SUMIFS(Options!$AK$4:$AK$25, Options!$D$4:$D$25, B32), SUMIFS(Options!$AK$4:$AK$25, Options!$D$4:$D$25, B32 &amp; " US"))=0,0,SUM(SUMIFS(Options!$AK$4:$AK$25, Options!$D$4:$D$25, B32), SUMIFS(Options!AK$4:$AK$25, Options!$D$4:$D$25, B32 &amp; " US")))</f>
        <v>0</v>
      </c>
      <c r="T32" s="13">
        <f t="shared" si="6"/>
        <v>796356.37290353689</v>
      </c>
      <c r="U32" s="48">
        <f t="shared" si="7"/>
        <v>3.3234634093276788E-4</v>
      </c>
      <c r="V32" s="20">
        <f t="shared" si="8"/>
        <v>-0.31632964980347783</v>
      </c>
      <c r="W32" s="15">
        <f t="shared" si="9"/>
        <v>293.39874700087591</v>
      </c>
      <c r="X32" s="19"/>
      <c r="Y32" s="375">
        <f>Tabelad[[#This Row],[Exp %]]*$Y$10*$AD$7/Tabelad[[#This Row],[Price Today]]</f>
        <v>0.33581292833281673</v>
      </c>
      <c r="Z32" s="266">
        <f>Tabelad[[#This Row],[Vol 10d]]/16*Tabelad[[#This Row],[Exp %]]*100</f>
        <v>0.17651560165139493</v>
      </c>
      <c r="AA32" s="19">
        <f>Tabelad[[#This Row],[Exp %]]*Tabelad[[#This Row],[Beta Adj2]]</f>
        <v>5.5422939914434794E-4</v>
      </c>
      <c r="AB32" s="36">
        <f>_xll.BDP($B32&amp;" Equity","volatility_10d")</f>
        <v>84.979110000000006</v>
      </c>
      <c r="AC32" s="36" cm="1">
        <f t="array" ref="AC32">_xll.BDP(B32&amp;" EQUITY","eqy_beta")</f>
        <v>1.6676260000000001</v>
      </c>
      <c r="AD32" s="15">
        <f>Tabelad[[#This Row],[D1 P&amp;L bps]]*$AD$5/10000</f>
        <v>-71048.748650677051</v>
      </c>
      <c r="AE32" s="277"/>
      <c r="AF32" s="231" t="str">
        <f>_xll.BDP(B32&amp;" Equity","EXPECTED_REPORT_DT")</f>
        <v>23/04/2026</v>
      </c>
      <c r="AG32" s="172" t="e">
        <f>_xll.BDP(B32&amp;" Index","CHG_PCT_1D_PRE_FROM_REGULAR")/100</f>
        <v>#VALUE!</v>
      </c>
      <c r="AH32" s="20" t="e">
        <f t="shared" si="10"/>
        <v>#VALUE!</v>
      </c>
      <c r="AI32" s="437" t="str">
        <f>_xll.BDP(B32&amp;" Equity","DVD_EX_DT")</f>
        <v>26/02/2026</v>
      </c>
    </row>
    <row r="33" spans="1:35" s="59" customFormat="1">
      <c r="A33" s="473"/>
      <c r="B33" s="474" t="s">
        <v>1855</v>
      </c>
      <c r="C33" s="59" t="s">
        <v>2134</v>
      </c>
      <c r="E33" s="59" t="s">
        <v>2107</v>
      </c>
      <c r="F33" s="163" t="s">
        <v>99</v>
      </c>
      <c r="G33" s="404"/>
      <c r="H33" s="475">
        <v>285</v>
      </c>
      <c r="I33" s="14" cm="1">
        <f t="array" ref="I33">_xll.BDP(B33&amp;" Equity","LAST_PRICE")</f>
        <v>513000</v>
      </c>
      <c r="J33" s="476">
        <f t="shared" si="3"/>
        <v>6.2256534582387779E-3</v>
      </c>
      <c r="K33" s="477">
        <v>509826</v>
      </c>
      <c r="L33" s="8" cm="1">
        <f t="array" ref="L33">_xll.BDP(E33&amp;" Curncy","PX_LAST")</f>
        <v>1451.85</v>
      </c>
      <c r="M33" s="478">
        <v>1</v>
      </c>
      <c r="N33" s="404">
        <f t="shared" si="4"/>
        <v>100702.5519165203</v>
      </c>
      <c r="O33" s="479">
        <f>IFERROR(IF(Tabelad[[#This Row],[D1 Exp USD]]&lt;&gt;0,N33/$AE$7,0),"-")</f>
        <v>4.2026567239013763E-5</v>
      </c>
      <c r="P33" s="480">
        <f>IFERROR(IF(Tabelad[[#This Row],[D1 Exp USD]]&lt;&gt;0,((I33-K33)/L33*M33*H33)/$AD$7*10000,0),"-")</f>
        <v>2.6002402420395648E-3</v>
      </c>
      <c r="Q33" s="404">
        <f>IF(SUM(SUMIFS(Options!$AL$4:$AL$25, Options!$D$4:$D$25, B33), SUMIFS(Options!$AL$4:$AL$25, Options!$D$4:$D$25, B33 &amp; " US"))=0,0,SUM(SUMIFS(Options!$AL$4:$AL$25, Options!$D$4:$D$25, B33), SUMIFS(Options!$AL$4:$AL$25, Options!$D$4:$D$25, B33 &amp; " US")))</f>
        <v>0</v>
      </c>
      <c r="R33" s="128">
        <f t="shared" si="61"/>
        <v>0</v>
      </c>
      <c r="S33" s="480">
        <f>IF(SUM(SUMIFS(Options!$AK$4:$AK$25, Options!$D$4:$D$25, B33), SUMIFS(Options!$AK$4:$AK$25, Options!$D$4:$D$25, B33 &amp; " US"))=0,0,SUM(SUMIFS(Options!$AK$4:$AK$25, Options!$D$4:$D$25, B33), SUMIFS(Options!AK$4:$AK$25, Options!$D$4:$D$25, B33 &amp; " US")))</f>
        <v>0</v>
      </c>
      <c r="T33" s="481">
        <f t="shared" si="6"/>
        <v>100702.5519165203</v>
      </c>
      <c r="U33" s="482">
        <f t="shared" si="7"/>
        <v>4.2026567239013763E-5</v>
      </c>
      <c r="V33" s="480">
        <f t="shared" si="8"/>
        <v>2.6002402420395648E-3</v>
      </c>
      <c r="W33" s="404">
        <f t="shared" si="9"/>
        <v>474.69972711642686</v>
      </c>
      <c r="X33" s="128"/>
      <c r="Y33" s="483">
        <f>Tabelad[[#This Row],[Exp %]]*$Y$10*$AD$7/Tabelad[[#This Row],[Price Today]]</f>
        <v>6.8705444777353034E-2</v>
      </c>
      <c r="Z33" s="484">
        <f>Tabelad[[#This Row],[Vol 10d]]/16*Tabelad[[#This Row],[Exp %]]*100</f>
        <v>2.6439097316295228E-2</v>
      </c>
      <c r="AA33" s="128">
        <f>Tabelad[[#This Row],[Exp %]]*Tabelad[[#This Row],[Beta Adj2]]</f>
        <v>8.3233700470001238E-5</v>
      </c>
      <c r="AB33" s="14">
        <f>_xll.BDP($B33&amp;" Equity","volatility_10d")</f>
        <v>100.6567</v>
      </c>
      <c r="AC33" s="14" cm="1">
        <f t="array" ref="AC33">_xll.BDP(B33&amp;" EQUITY","eqy_beta")</f>
        <v>1.980502</v>
      </c>
      <c r="AD33" s="404">
        <f>Tabelad[[#This Row],[D1 P&amp;L bps]]*$AD$5/10000</f>
        <v>584.02307688456699</v>
      </c>
      <c r="AE33" s="337"/>
      <c r="AF33" s="485" t="str">
        <f>_xll.BDP(B33&amp;" Equity","EXPECTED_REPORT_DT")</f>
        <v>11/03/2026</v>
      </c>
      <c r="AG33" s="486" t="e">
        <f>_xll.BDP(B33&amp;" Index","CHG_PCT_1D_PRE_FROM_REGULAR")/100</f>
        <v>#VALUE!</v>
      </c>
      <c r="AH33" s="480" t="e">
        <f t="shared" si="10"/>
        <v>#VALUE!</v>
      </c>
      <c r="AI33" s="487" t="str">
        <f>_xll.BDP(B33&amp;" Equity","DVD_EX_DT")</f>
        <v>#N/A N/A</v>
      </c>
    </row>
    <row r="34" spans="1:35">
      <c r="B34" s="435" t="s">
        <v>2452</v>
      </c>
      <c r="C34" t="s">
        <v>2134</v>
      </c>
      <c r="E34" t="s">
        <v>2107</v>
      </c>
      <c r="F34" s="22" t="s">
        <v>99</v>
      </c>
      <c r="G34" s="15"/>
      <c r="H34" s="438">
        <v>3090</v>
      </c>
      <c r="I34" s="36" cm="1">
        <f t="array" ref="I34">_xll.BDP(B34&amp;" Equity","LAST_PRICE")</f>
        <v>151200</v>
      </c>
      <c r="J34" s="51">
        <f t="shared" ref="J34" si="99">I34/K34-1</f>
        <v>-7.2534887287225902E-2</v>
      </c>
      <c r="K34" s="430">
        <v>163025</v>
      </c>
      <c r="L34" s="53" cm="1">
        <f t="array" ref="L34">_xll.BDP(E34&amp;" Curncy","PX_LAST")</f>
        <v>1451.85</v>
      </c>
      <c r="M34" s="52">
        <v>1</v>
      </c>
      <c r="N34" s="15">
        <f t="shared" ref="N34" si="100">IFERROR(IF(((I34/L34)*H34*M34)&lt;&gt;0,((I34/L34)*H34*M34),0),"-")</f>
        <v>321801.83903295797</v>
      </c>
      <c r="O34" s="357">
        <f>IFERROR(IF(Tabelad[[#This Row],[D1 Exp USD]]&lt;&gt;0,N34/$AE$7,0),"-")</f>
        <v>1.3429874783082071E-4</v>
      </c>
      <c r="P34" s="20">
        <f>IFERROR(IF(Tabelad[[#This Row],[D1 Exp USD]]&lt;&gt;0,((I34-K34)/L34*M34*H34)/$AD$7*10000,0),"-")</f>
        <v>-0.10503192414678936</v>
      </c>
      <c r="Q34" s="15">
        <f>IF(SUM(SUMIFS(Options!$AL$4:$AL$25, Options!$D$4:$D$25, B34), SUMIFS(Options!$AL$4:$AL$25, Options!$D$4:$D$25, B34 &amp; " US"))=0,0,SUM(SUMIFS(Options!$AL$4:$AL$25, Options!$D$4:$D$25, B34), SUMIFS(Options!$AL$4:$AL$25, Options!$D$4:$D$25, B34 &amp; " US")))</f>
        <v>0</v>
      </c>
      <c r="R34" s="19">
        <f t="shared" ref="R34" si="101">Q34/$AE$7</f>
        <v>0</v>
      </c>
      <c r="S34" s="20">
        <f>IF(SUM(SUMIFS(Options!$AK$4:$AK$25, Options!$D$4:$D$25, B34), SUMIFS(Options!$AK$4:$AK$25, Options!$D$4:$D$25, B34 &amp; " US"))=0,0,SUM(SUMIFS(Options!$AK$4:$AK$25, Options!$D$4:$D$25, B34), SUMIFS(Options!AK$4:$AK$25, Options!$D$4:$D$25, B34 &amp; " US")))</f>
        <v>0</v>
      </c>
      <c r="T34" s="13">
        <f t="shared" ref="T34" si="102">N34+Q34</f>
        <v>321801.83903295797</v>
      </c>
      <c r="U34" s="48">
        <f t="shared" ref="U34" si="103">T34/$AE$7</f>
        <v>1.3429874783082071E-4</v>
      </c>
      <c r="V34" s="20">
        <f t="shared" ref="V34" si="104">P34+S34</f>
        <v>-0.10503192414678936</v>
      </c>
      <c r="W34" s="15">
        <f t="shared" ref="W34" si="105">$W$10/(I34/L34*M34)</f>
        <v>1610.5883598593055</v>
      </c>
      <c r="X34" s="19"/>
      <c r="Y34" s="375">
        <f>Tabelad[[#This Row],[Exp %]]*$Y$10*$AD$7/Tabelad[[#This Row],[Price Today]]</f>
        <v>0.74491166442814338</v>
      </c>
      <c r="Z34" s="266">
        <f>Tabelad[[#This Row],[Vol 10d]]/16*Tabelad[[#This Row],[Exp %]]*100</f>
        <v>4.8729897754169804E-2</v>
      </c>
      <c r="AA34" s="19">
        <f>Tabelad[[#This Row],[Exp %]]*Tabelad[[#This Row],[Beta Adj2]]</f>
        <v>1.5671616341623697E-4</v>
      </c>
      <c r="AB34" s="36">
        <f>_xll.BDP($B34&amp;" Equity","volatility_10d")</f>
        <v>58.055520000000001</v>
      </c>
      <c r="AC34" s="36" cm="1">
        <f t="array" ref="AC34">_xll.BDP(B34&amp;" EQUITY","eqy_beta")</f>
        <v>1.166922</v>
      </c>
      <c r="AD34" s="15">
        <f>Tabelad[[#This Row],[D1 P&amp;L bps]]*$AD$5/10000</f>
        <v>-23590.538489320486</v>
      </c>
      <c r="AE34" s="277"/>
      <c r="AF34" s="231" t="str">
        <f>_xll.BDP(B34&amp;" Equity","EXPECTED_REPORT_DT")</f>
        <v>07/04/2026</v>
      </c>
      <c r="AG34" s="172" t="e">
        <f>_xll.BDP(B34&amp;" Index","CHG_PCT_1D_PRE_FROM_REGULAR")/100</f>
        <v>#VALUE!</v>
      </c>
      <c r="AH34" s="20" t="e">
        <f t="shared" ref="AH34" si="106">(T34*AG34)/$AD$7*10000</f>
        <v>#VALUE!</v>
      </c>
      <c r="AI34" s="437" t="str">
        <f>_xll.BDP(B34&amp;" Equity","DVD_EX_DT")</f>
        <v>29/12/2025</v>
      </c>
    </row>
    <row r="35" spans="1:35" s="59" customFormat="1">
      <c r="A35" s="473"/>
      <c r="B35" s="474" t="s">
        <v>2452</v>
      </c>
      <c r="C35" s="59" t="s">
        <v>2134</v>
      </c>
      <c r="E35" s="59" t="s">
        <v>2107</v>
      </c>
      <c r="F35" s="163" t="s">
        <v>99</v>
      </c>
      <c r="G35" s="404"/>
      <c r="H35" s="475">
        <v>3090</v>
      </c>
      <c r="I35" s="14" cm="1">
        <f t="array" ref="I35">_xll.BDP(B35&amp;" Equity","LAST_PRICE")</f>
        <v>151200</v>
      </c>
      <c r="J35" s="476">
        <f t="shared" ref="J35" si="107">I35/K35-1</f>
        <v>-2.3268433224376994E-2</v>
      </c>
      <c r="K35" s="477">
        <v>154802</v>
      </c>
      <c r="L35" s="8" cm="1">
        <f t="array" ref="L35">_xll.BDP(E35&amp;" Curncy","PX_LAST")</f>
        <v>1451.85</v>
      </c>
      <c r="M35" s="478">
        <v>1</v>
      </c>
      <c r="N35" s="404">
        <f t="shared" ref="N35" si="108">IFERROR(IF(((I35/L35)*H35*M35)&lt;&gt;0,((I35/L35)*H35*M35),0),"-")</f>
        <v>321801.83903295797</v>
      </c>
      <c r="O35" s="479">
        <f>IFERROR(IF(Tabelad[[#This Row],[D1 Exp USD]]&lt;&gt;0,N35/$AE$7,0),"-")</f>
        <v>1.3429874783082071E-4</v>
      </c>
      <c r="P35" s="480">
        <f>IFERROR(IF(Tabelad[[#This Row],[D1 Exp USD]]&lt;&gt;0,((I35-K35)/L35*M35*H35)/$AD$7*10000,0),"-")</f>
        <v>-3.1993656725305304E-2</v>
      </c>
      <c r="Q35" s="404">
        <f>IF(SUM(SUMIFS(Options!$AL$4:$AL$25, Options!$D$4:$D$25, B35), SUMIFS(Options!$AL$4:$AL$25, Options!$D$4:$D$25, B35 &amp; " US"))=0,0,SUM(SUMIFS(Options!$AL$4:$AL$25, Options!$D$4:$D$25, B35), SUMIFS(Options!$AL$4:$AL$25, Options!$D$4:$D$25, B35 &amp; " US")))</f>
        <v>0</v>
      </c>
      <c r="R35" s="128">
        <f t="shared" ref="R35" si="109">Q35/$AE$7</f>
        <v>0</v>
      </c>
      <c r="S35" s="480">
        <f>IF(SUM(SUMIFS(Options!$AK$4:$AK$25, Options!$D$4:$D$25, B35), SUMIFS(Options!$AK$4:$AK$25, Options!$D$4:$D$25, B35 &amp; " US"))=0,0,SUM(SUMIFS(Options!$AK$4:$AK$25, Options!$D$4:$D$25, B35), SUMIFS(Options!AK$4:$AK$25, Options!$D$4:$D$25, B35 &amp; " US")))</f>
        <v>0</v>
      </c>
      <c r="T35" s="481">
        <f t="shared" ref="T35" si="110">N35+Q35</f>
        <v>321801.83903295797</v>
      </c>
      <c r="U35" s="482">
        <f t="shared" ref="U35" si="111">T35/$AE$7</f>
        <v>1.3429874783082071E-4</v>
      </c>
      <c r="V35" s="480">
        <f t="shared" ref="V35" si="112">P35+S35</f>
        <v>-3.1993656725305304E-2</v>
      </c>
      <c r="W35" s="404">
        <f t="shared" ref="W35" si="113">$W$10/(I35/L35*M35)</f>
        <v>1610.5883598593055</v>
      </c>
      <c r="X35" s="128"/>
      <c r="Y35" s="483">
        <f>Tabelad[[#This Row],[Exp %]]*$Y$10*$AD$7/Tabelad[[#This Row],[Price Today]]</f>
        <v>0.74491166442814338</v>
      </c>
      <c r="Z35" s="484">
        <f>Tabelad[[#This Row],[Vol 10d]]/16*Tabelad[[#This Row],[Exp %]]*100</f>
        <v>4.8729897754169804E-2</v>
      </c>
      <c r="AA35" s="128">
        <f>Tabelad[[#This Row],[Exp %]]*Tabelad[[#This Row],[Beta Adj2]]</f>
        <v>1.5671616341623697E-4</v>
      </c>
      <c r="AB35" s="14">
        <f>_xll.BDP($B35&amp;" Equity","volatility_10d")</f>
        <v>58.055520000000001</v>
      </c>
      <c r="AC35" s="14" cm="1">
        <f t="array" ref="AC35">_xll.BDP(B35&amp;" EQUITY","eqy_beta")</f>
        <v>1.166922</v>
      </c>
      <c r="AD35" s="404">
        <f>Tabelad[[#This Row],[D1 P&amp;L bps]]*$AD$5/10000</f>
        <v>-7185.8874958589759</v>
      </c>
      <c r="AE35" s="337"/>
      <c r="AF35" s="485" t="str">
        <f>_xll.BDP(B35&amp;" Equity","EXPECTED_REPORT_DT")</f>
        <v>07/04/2026</v>
      </c>
      <c r="AG35" s="486" t="e">
        <f>_xll.BDP(B35&amp;" Index","CHG_PCT_1D_PRE_FROM_REGULAR")/100</f>
        <v>#VALUE!</v>
      </c>
      <c r="AH35" s="480" t="e">
        <f t="shared" ref="AH35" si="114">(T35*AG35)/$AD$7*10000</f>
        <v>#VALUE!</v>
      </c>
      <c r="AI35" s="487" t="str">
        <f>_xll.BDP(B35&amp;" Equity","DVD_EX_DT")</f>
        <v>29/12/2025</v>
      </c>
    </row>
    <row r="36" spans="1:35">
      <c r="B36" s="40" t="s">
        <v>1754</v>
      </c>
      <c r="C36" t="s">
        <v>2134</v>
      </c>
      <c r="E36" t="s">
        <v>194</v>
      </c>
      <c r="F36" s="22" t="s">
        <v>99</v>
      </c>
      <c r="G36" s="15"/>
      <c r="H36" s="438">
        <v>47216</v>
      </c>
      <c r="I36" s="36" cm="1">
        <f t="array" ref="I36">_xll.BDP(B36&amp;" Equity","LAST_PRICE")</f>
        <v>120.93</v>
      </c>
      <c r="J36" s="51">
        <f t="shared" si="3"/>
        <v>-1.2090515480761344E-2</v>
      </c>
      <c r="K36" s="430" cm="1">
        <f t="array" ref="K36">_xll.BDP(B36&amp;" EQUITY","PX_YEST_CLOSE")</f>
        <v>122.41</v>
      </c>
      <c r="L36" s="53" cm="1">
        <f t="array" ref="L36">_xll.BDP(E36&amp;" Curncy","PX_LAST")</f>
        <v>1</v>
      </c>
      <c r="M36" s="52">
        <v>1</v>
      </c>
      <c r="N36" s="15">
        <f t="shared" si="4"/>
        <v>5709830.8799999999</v>
      </c>
      <c r="O36" s="357">
        <f>IFERROR(IF(Tabelad[[#This Row],[D1 Exp USD]]&lt;&gt;0,N36/$AE$7,0),"-")</f>
        <v>2.3829047708804965E-3</v>
      </c>
      <c r="P36" s="20">
        <f>IFERROR(IF(Tabelad[[#This Row],[D1 Exp USD]]&lt;&gt;0,((I36-K36)/L36*M36*H36)/$AD$7*10000,0),"-")</f>
        <v>-0.29163144471207397</v>
      </c>
      <c r="Q36" s="15">
        <f>IF(SUM(SUMIFS(Options!$AL$4:$AL$25, Options!$D$4:$D$25, B36), SUMIFS(Options!$AL$4:$AL$25, Options!$D$4:$D$25, B36 &amp; " US"))=0,0,SUM(SUMIFS(Options!$AL$4:$AL$25, Options!$D$4:$D$25, B36), SUMIFS(Options!$AL$4:$AL$25, Options!$D$4:$D$25, B36 &amp; " US")))</f>
        <v>0</v>
      </c>
      <c r="R36" s="19">
        <f t="shared" si="61"/>
        <v>0</v>
      </c>
      <c r="S36" s="20">
        <f>IF(SUM(SUMIFS(Options!$AK$4:$AK$25, Options!$D$4:$D$25, B36), SUMIFS(Options!$AK$4:$AK$25, Options!$D$4:$D$25, B36 &amp; " US"))=0,0,SUM(SUMIFS(Options!$AK$4:$AK$25, Options!$D$4:$D$25, B36), SUMIFS(Options!AK$4:$AK$25, Options!$D$4:$D$25, B36 &amp; " US")))</f>
        <v>0</v>
      </c>
      <c r="T36" s="13">
        <f t="shared" si="6"/>
        <v>5709830.8799999999</v>
      </c>
      <c r="U36" s="48">
        <f t="shared" si="7"/>
        <v>2.3829047708804965E-3</v>
      </c>
      <c r="V36" s="20">
        <f t="shared" si="8"/>
        <v>-0.29163144471207397</v>
      </c>
      <c r="W36" s="15">
        <f t="shared" si="9"/>
        <v>1387.0130440750845</v>
      </c>
      <c r="X36" s="19"/>
      <c r="Y36" s="375">
        <f>Tabelad[[#This Row],[Exp %]]*$Y$10*$AD$7/Tabelad[[#This Row],[Price Today]]</f>
        <v>16525.599999999999</v>
      </c>
      <c r="Z36" s="266">
        <f>Tabelad[[#This Row],[Vol 10d]]/16*Tabelad[[#This Row],[Exp %]]*100</f>
        <v>0.54752219714482164</v>
      </c>
      <c r="AA36" s="19">
        <f>Tabelad[[#This Row],[Exp %]]*Tabelad[[#This Row],[Beta Adj2]]</f>
        <v>2.2005023423356074E-3</v>
      </c>
      <c r="AB36" s="36">
        <f>_xll.BDP($B36&amp;" Equity","volatility_10d")</f>
        <v>36.76334556617698</v>
      </c>
      <c r="AC36" s="36" cm="1">
        <f t="array" ref="AC36">_xll.BDP(B36&amp;" EQUITY","eqy_beta")</f>
        <v>0.92345374822616577</v>
      </c>
      <c r="AD36" s="15">
        <f>Tabelad[[#This Row],[D1 P&amp;L bps]]*$AD$5/10000</f>
        <v>-65501.445175482128</v>
      </c>
      <c r="AE36" s="277"/>
      <c r="AF36" s="231" t="str">
        <f>_xll.BDP(B36&amp;" Equity","EXPECTED_REPORT_DT")</f>
        <v>#N/A N/A</v>
      </c>
      <c r="AG36" s="172">
        <f>_xll.BDP(B36&amp;" Index","CHG_PCT_1D_PRE_FROM_REGULAR")/100</f>
        <v>-2.9491059999999999E-2</v>
      </c>
      <c r="AH36" s="20">
        <f t="shared" si="10"/>
        <v>-0.70274387572322972</v>
      </c>
      <c r="AI36" s="437" t="str">
        <f>_xll.BDP(B36&amp;" Equity","DVD_EX_DT")</f>
        <v>16/12/2025</v>
      </c>
    </row>
    <row r="37" spans="1:35" s="59" customFormat="1">
      <c r="A37" s="473" t="s">
        <v>1770</v>
      </c>
      <c r="B37" s="423" t="s">
        <v>1754</v>
      </c>
      <c r="C37" s="59" t="s">
        <v>2134</v>
      </c>
      <c r="E37" s="59" t="s">
        <v>194</v>
      </c>
      <c r="F37" s="163" t="s">
        <v>99</v>
      </c>
      <c r="G37" s="404"/>
      <c r="H37" s="475">
        <v>17084</v>
      </c>
      <c r="I37" s="14" cm="1">
        <f t="array" ref="I37">_xll.BDP(B37&amp;" Equity","LAST_PRICE")</f>
        <v>120.93</v>
      </c>
      <c r="J37" s="476">
        <f t="shared" ref="J37" si="115">I37/K37-1</f>
        <v>-4.9590875278937574E-4</v>
      </c>
      <c r="K37" s="477">
        <v>120.99</v>
      </c>
      <c r="L37" s="8" cm="1">
        <f t="array" ref="L37">_xll.BDP(E37&amp;" Curncy","PX_LAST")</f>
        <v>1</v>
      </c>
      <c r="M37" s="478">
        <v>1</v>
      </c>
      <c r="N37" s="404">
        <f t="shared" ref="N37" si="116">IFERROR(IF(((I37/L37)*H37*M37)&lt;&gt;0,((I37/L37)*H37*M37),0),"-")</f>
        <v>2065968.12</v>
      </c>
      <c r="O37" s="479">
        <f>IFERROR(IF(Tabelad[[#This Row],[D1 Exp USD]]&lt;&gt;0,N37/$AE$7,0),"-")</f>
        <v>8.6219809186975616E-4</v>
      </c>
      <c r="P37" s="480">
        <f>IFERROR(IF(Tabelad[[#This Row],[D1 Exp USD]]&lt;&gt;0,((I37-K37)/L37*M37*H37)/$AD$7*10000,0),"-")</f>
        <v>-4.2778372208860556E-3</v>
      </c>
      <c r="Q37" s="404"/>
      <c r="R37" s="128"/>
      <c r="S37" s="480"/>
      <c r="T37" s="481">
        <f t="shared" ref="T37" si="117">N37+Q37</f>
        <v>2065968.12</v>
      </c>
      <c r="U37" s="482">
        <f t="shared" ref="U37" si="118">T37/$AE$7</f>
        <v>8.6219809186975616E-4</v>
      </c>
      <c r="V37" s="480">
        <f t="shared" ref="V37" si="119">P37+S37</f>
        <v>-4.2778372208860556E-3</v>
      </c>
      <c r="W37" s="404">
        <f t="shared" ref="W37" si="120">$W$10/(I37/L37*M37)</f>
        <v>1387.0130440750845</v>
      </c>
      <c r="X37" s="128"/>
      <c r="Y37" s="483">
        <f>Tabelad[[#This Row],[Exp %]]*$Y$10*$AD$7/Tabelad[[#This Row],[Price Today]]</f>
        <v>5979.4</v>
      </c>
      <c r="Z37" s="484">
        <f>Tabelad[[#This Row],[Vol 10d]]/16*Tabelad[[#This Row],[Exp %]]*100</f>
        <v>0.19810803998691409</v>
      </c>
      <c r="AA37" s="128">
        <f>Tabelad[[#This Row],[Exp %]]*Tabelad[[#This Row],[Beta Adj2]]</f>
        <v>7.9620005965057436E-4</v>
      </c>
      <c r="AB37" s="14">
        <f>_xll.BDP($B37&amp;" Equity","volatility_10d")</f>
        <v>36.76334556617698</v>
      </c>
      <c r="AC37" s="14" cm="1">
        <f t="array" ref="AC37">_xll.BDP(B37&amp;" EQUITY","eqy_beta")</f>
        <v>0.92345374822616577</v>
      </c>
      <c r="AD37" s="404">
        <f>Tabelad[[#This Row],[D1 P&amp;L bps]]*$AD$5/10000</f>
        <v>-960.81724133057423</v>
      </c>
      <c r="AE37" s="337"/>
      <c r="AF37" s="485" t="str">
        <f>_xll.BDP(B37&amp;" Equity","EXPECTED_REPORT_DT")</f>
        <v>#N/A N/A</v>
      </c>
      <c r="AG37" s="486">
        <f>_xll.BDP(B37&amp;" Index","CHG_PCT_1D_PRE_FROM_REGULAR")/100</f>
        <v>-2.9491059999999999E-2</v>
      </c>
      <c r="AH37" s="480">
        <f t="shared" ref="AH37" si="121">(T37*AG37)/$AD$7*10000</f>
        <v>-0.25427135659216488</v>
      </c>
      <c r="AI37" s="487" t="str">
        <f>_xll.BDP(B37&amp;" Equity","DVD_EX_DT")</f>
        <v>16/12/2025</v>
      </c>
    </row>
    <row r="38" spans="1:35">
      <c r="B38" s="40" t="s">
        <v>2063</v>
      </c>
      <c r="C38" t="s">
        <v>2064</v>
      </c>
      <c r="E38" t="s">
        <v>194</v>
      </c>
      <c r="F38" s="22" t="s">
        <v>99</v>
      </c>
      <c r="G38" s="15"/>
      <c r="H38" s="438">
        <v>900</v>
      </c>
      <c r="I38" s="36" cm="1">
        <f t="array" ref="I38">_xll.BDP(B38&amp;" Equity","LAST_PRICE")</f>
        <v>423.42</v>
      </c>
      <c r="J38" s="51">
        <f t="shared" si="3"/>
        <v>8.0594120048999685E-2</v>
      </c>
      <c r="K38" s="430" cm="1">
        <f t="array" ref="K38">_xll.BDP(B38&amp;" EQUITY","PX_YEST_CLOSE")</f>
        <v>391.84</v>
      </c>
      <c r="L38" s="53" cm="1">
        <f t="array" ref="L38">_xll.BDP(E38&amp;" Curncy","PX_LAST")</f>
        <v>1</v>
      </c>
      <c r="M38" s="52">
        <v>1</v>
      </c>
      <c r="N38" s="15">
        <f t="shared" si="4"/>
        <v>381078</v>
      </c>
      <c r="O38" s="357">
        <f>IFERROR(IF(Tabelad[[#This Row],[D1 Exp USD]]&lt;&gt;0,N38/$AE$7,0),"-")</f>
        <v>1.5903668661331662E-4</v>
      </c>
      <c r="P38" s="20">
        <f>IFERROR(IF(Tabelad[[#This Row],[D1 Exp USD]]&lt;&gt;0,((I38-K38)/L38*M38*H38)/$AD$7*10000,0),"-")</f>
        <v>0.11861458039886036</v>
      </c>
      <c r="Q38" s="15">
        <f>IF(SUM(SUMIFS(Options!$AL$4:$AL$25, Options!$D$4:$D$25, B38), SUMIFS(Options!$AL$4:$AL$25, Options!$D$4:$D$25, B38 &amp; " US"))=0,0,SUM(SUMIFS(Options!$AL$4:$AL$25, Options!$D$4:$D$25, B38), SUMIFS(Options!$AL$4:$AL$25, Options!$D$4:$D$25, B38 &amp; " US")))</f>
        <v>1505468.3591294289</v>
      </c>
      <c r="R38" s="19">
        <f t="shared" si="61"/>
        <v>6.282826603402216E-4</v>
      </c>
      <c r="S38" s="20">
        <f>IF(SUM(SUMIFS(Options!$AK$4:$AK$25, Options!$D$4:$D$25, B38), SUMIFS(Options!$AK$4:$AK$25, Options!$D$4:$D$25, B38 &amp; " US"))=0,0,SUM(SUMIFS(Options!$AK$4:$AK$25, Options!$D$4:$D$25, B38), SUMIFS(Options!AK$4:$AK$25, Options!$D$4:$D$25, B38 &amp; " US")))</f>
        <v>0.41816835394996094</v>
      </c>
      <c r="T38" s="13">
        <f t="shared" si="6"/>
        <v>1886546.3591294289</v>
      </c>
      <c r="U38" s="48">
        <f t="shared" si="7"/>
        <v>7.8731934695353825E-4</v>
      </c>
      <c r="V38" s="20">
        <f t="shared" si="8"/>
        <v>0.53678293434882129</v>
      </c>
      <c r="W38" s="15">
        <f t="shared" si="9"/>
        <v>396.13501350904534</v>
      </c>
      <c r="X38" s="19"/>
      <c r="Y38" s="375">
        <f>Tabelad[[#This Row],[Exp %]]*$Y$10*$AD$7/Tabelad[[#This Row],[Price Today]]</f>
        <v>1559.4238007068632</v>
      </c>
      <c r="Z38" s="266">
        <f>Tabelad[[#This Row],[Vol 10d]]/16*Tabelad[[#This Row],[Exp %]]*100</f>
        <v>0.43283538032151758</v>
      </c>
      <c r="AA38" s="19">
        <f>Tabelad[[#This Row],[Exp %]]*Tabelad[[#This Row],[Beta Adj2]]</f>
        <v>1.5901012459505028E-3</v>
      </c>
      <c r="AB38" s="36">
        <f>_xll.BDP($B38&amp;" Equity","volatility_10d")</f>
        <v>87.961335028046307</v>
      </c>
      <c r="AC38" s="36" cm="1">
        <f t="array" ref="AC38">_xll.BDP(B38&amp;" EQUITY","eqy_beta")</f>
        <v>2.0196394920349121</v>
      </c>
      <c r="AD38" s="15">
        <f>Tabelad[[#This Row],[D1 P&amp;L bps]]*$AD$5/10000</f>
        <v>26641.250715194579</v>
      </c>
      <c r="AE38" s="277"/>
      <c r="AF38" s="231" t="str">
        <f>_xll.BDP(B38&amp;" Equity","EXPECTED_REPORT_DT")</f>
        <v>03/02/2026</v>
      </c>
      <c r="AG38" s="172" t="e">
        <f>_xll.BDP(B38&amp;" Index","CHG_PCT_1D_PRE_FROM_REGULAR")/100</f>
        <v>#VALUE!</v>
      </c>
      <c r="AH38" s="20" t="e">
        <f t="shared" si="10"/>
        <v>#VALUE!</v>
      </c>
      <c r="AI38" s="437" t="str">
        <f>_xll.BDP(B38&amp;" Equity","DVD_EX_DT")</f>
        <v>#N/A N/A</v>
      </c>
    </row>
    <row r="39" spans="1:35" s="59" customFormat="1">
      <c r="A39" s="473" t="s">
        <v>1770</v>
      </c>
      <c r="B39" s="423" t="s">
        <v>2063</v>
      </c>
      <c r="C39" s="59" t="s">
        <v>2064</v>
      </c>
      <c r="E39" s="59" t="s">
        <v>194</v>
      </c>
      <c r="F39" s="163" t="s">
        <v>99</v>
      </c>
      <c r="G39" s="404"/>
      <c r="H39" s="475">
        <v>-900</v>
      </c>
      <c r="I39" s="14" cm="1">
        <f t="array" ref="I39">_xll.BDP(B39&amp;" Equity","LAST_PRICE")</f>
        <v>423.42</v>
      </c>
      <c r="J39" s="476">
        <f t="shared" si="3"/>
        <v>-1.0700934579439214E-2</v>
      </c>
      <c r="K39" s="477">
        <v>428</v>
      </c>
      <c r="L39" s="8" cm="1">
        <f t="array" ref="L39">_xll.BDP(E39&amp;" Curncy","PX_LAST")</f>
        <v>1</v>
      </c>
      <c r="M39" s="478">
        <v>1</v>
      </c>
      <c r="N39" s="404">
        <f t="shared" si="4"/>
        <v>-381078</v>
      </c>
      <c r="O39" s="479">
        <f>IFERROR(IF(Tabelad[[#This Row],[D1 Exp USD]]&lt;&gt;0,N39/$AE$7,0),"-")</f>
        <v>-1.5903668661331662E-4</v>
      </c>
      <c r="P39" s="480">
        <f>IFERROR(IF(Tabelad[[#This Row],[D1 Exp USD]]&lt;&gt;0,((I39-K39)/L39*M39*H39)/$AD$7*10000,0),"-")</f>
        <v>1.7202494560695943E-2</v>
      </c>
      <c r="Q39" s="404"/>
      <c r="R39" s="128"/>
      <c r="S39" s="480"/>
      <c r="T39" s="481">
        <f t="shared" si="6"/>
        <v>-381078</v>
      </c>
      <c r="U39" s="482">
        <f t="shared" si="7"/>
        <v>-1.5903668661331662E-4</v>
      </c>
      <c r="V39" s="480">
        <f t="shared" si="8"/>
        <v>1.7202494560695943E-2</v>
      </c>
      <c r="W39" s="404">
        <f t="shared" si="9"/>
        <v>396.13501350904534</v>
      </c>
      <c r="X39" s="128"/>
      <c r="Y39" s="483">
        <f>Tabelad[[#This Row],[Exp %]]*$Y$10*$AD$7/Tabelad[[#This Row],[Price Today]]</f>
        <v>-314.99999999999994</v>
      </c>
      <c r="Z39" s="484">
        <f>Tabelad[[#This Row],[Vol 10d]]/16*Tabelad[[#This Row],[Exp %]]*100</f>
        <v>-8.7431745455902196E-2</v>
      </c>
      <c r="AA39" s="128">
        <f>Tabelad[[#This Row],[Exp %]]*Tabelad[[#This Row],[Beta Adj2]]</f>
        <v>-3.2119677296663427E-4</v>
      </c>
      <c r="AB39" s="14">
        <f>_xll.BDP($B39&amp;" Equity","volatility_10d")</f>
        <v>87.961335028046307</v>
      </c>
      <c r="AC39" s="14" cm="1">
        <f t="array" ref="AC39">_xll.BDP(B39&amp;" EQUITY","eqy_beta")</f>
        <v>2.0196394920349121</v>
      </c>
      <c r="AD39" s="404">
        <f>Tabelad[[#This Row],[D1 P&amp;L bps]]*$AD$5/10000</f>
        <v>3863.7406040402348</v>
      </c>
      <c r="AE39" s="337"/>
      <c r="AF39" s="485" t="str">
        <f>_xll.BDP(B39&amp;" Equity","EXPECTED_REPORT_DT")</f>
        <v>03/02/2026</v>
      </c>
      <c r="AG39" s="486" t="e">
        <f>_xll.BDP(B39&amp;" Index","CHG_PCT_1D_PRE_FROM_REGULAR")/100</f>
        <v>#VALUE!</v>
      </c>
      <c r="AH39" s="480" t="e">
        <f t="shared" si="10"/>
        <v>#VALUE!</v>
      </c>
      <c r="AI39" s="487" t="str">
        <f>_xll.BDP(B39&amp;" Equity","DVD_EX_DT")</f>
        <v>#N/A N/A</v>
      </c>
    </row>
    <row r="40" spans="1:35" s="59" customFormat="1">
      <c r="A40" s="473" t="s">
        <v>1770</v>
      </c>
      <c r="B40" s="423" t="s">
        <v>2345</v>
      </c>
      <c r="C40" s="59" t="s">
        <v>2064</v>
      </c>
      <c r="E40" s="59" t="s">
        <v>194</v>
      </c>
      <c r="F40" s="163" t="s">
        <v>99</v>
      </c>
      <c r="G40" s="404"/>
      <c r="H40" s="475">
        <v>1311</v>
      </c>
      <c r="I40" s="14" cm="1">
        <f t="array" ref="I40">_xll.BDP(B40&amp;" Equity","LAST_PRICE")</f>
        <v>80.64</v>
      </c>
      <c r="J40" s="476">
        <f t="shared" ref="J40" si="122">I40/K40-1</f>
        <v>-2.4740227610093868E-3</v>
      </c>
      <c r="K40" s="477">
        <v>80.84</v>
      </c>
      <c r="L40" s="8" cm="1">
        <f t="array" ref="L40">_xll.BDP(E40&amp;" Curncy","PX_LAST")</f>
        <v>1</v>
      </c>
      <c r="M40" s="478">
        <v>1</v>
      </c>
      <c r="N40" s="404">
        <f t="shared" ref="N40" si="123">IFERROR(IF(((I40/L40)*H40*M40)&lt;&gt;0,((I40/L40)*H40*M40),0),"-")</f>
        <v>105719.03999999999</v>
      </c>
      <c r="O40" s="479">
        <f>IFERROR(IF(Tabelad[[#This Row],[D1 Exp USD]]&lt;&gt;0,N40/$AE$7,0),"-")</f>
        <v>4.4120116704560964E-5</v>
      </c>
      <c r="P40" s="480">
        <f>IFERROR(IF(Tabelad[[#This Row],[D1 Exp USD]]&lt;&gt;0,((I40-K40)/L40*M40*H40)/$AD$7*10000,0),"-")</f>
        <v>-1.0942489262044048E-3</v>
      </c>
      <c r="Q40" s="404"/>
      <c r="R40" s="128"/>
      <c r="S40" s="480"/>
      <c r="T40" s="481">
        <f t="shared" ref="T40" si="124">N40+Q40</f>
        <v>105719.03999999999</v>
      </c>
      <c r="U40" s="482">
        <f t="shared" ref="U40" si="125">T40/$AE$7</f>
        <v>4.4120116704560964E-5</v>
      </c>
      <c r="V40" s="480">
        <f t="shared" ref="V40" si="126">P40+S40</f>
        <v>-1.0942489262044048E-3</v>
      </c>
      <c r="W40" s="404">
        <f t="shared" ref="W40" si="127">$W$10/(I40/L40*M40)</f>
        <v>2080.0035642361108</v>
      </c>
      <c r="X40" s="128"/>
      <c r="Y40" s="483">
        <f>Tabelad[[#This Row],[Exp %]]*$Y$10*$AD$7/Tabelad[[#This Row],[Price Today]]</f>
        <v>458.84999999999997</v>
      </c>
      <c r="Z40" s="484">
        <f>Tabelad[[#This Row],[Vol 10d]]/16*Tabelad[[#This Row],[Exp %]]*100</f>
        <v>6.3923363364145136E-3</v>
      </c>
      <c r="AA40" s="128">
        <f>Tabelad[[#This Row],[Exp %]]*Tabelad[[#This Row],[Beta Adj2]]</f>
        <v>4.1106591377399561E-5</v>
      </c>
      <c r="AB40" s="14">
        <f>_xll.BDP($B40&amp;" Equity","volatility_10d")</f>
        <v>23.181575440406572</v>
      </c>
      <c r="AC40" s="14" cm="1">
        <f t="array" ref="AC40">_xll.BDP(B40&amp;" EQUITY","eqy_beta")</f>
        <v>0.93169724941253662</v>
      </c>
      <c r="AD40" s="404">
        <f>Tabelad[[#This Row],[D1 P&amp;L bps]]*$AD$5/10000</f>
        <v>-245.77214613764374</v>
      </c>
      <c r="AE40" s="337"/>
      <c r="AF40" s="485" t="str">
        <f>_xll.BDP(B40&amp;" Equity","EXPECTED_REPORT_DT")</f>
        <v>12/02/2026</v>
      </c>
      <c r="AG40" s="486">
        <f>_xll.BDP(B40&amp;" Index","CHG_PCT_1D_PRE_FROM_REGULAR")/100</f>
        <v>-1.659822E-3</v>
      </c>
      <c r="AH40" s="480">
        <f t="shared" ref="AH40" si="128">(T40*AG40)/$AD$7*10000</f>
        <v>-7.3231540348797793E-4</v>
      </c>
      <c r="AI40" s="487" t="str">
        <f>_xll.BDP(B40&amp;" Equity","DVD_EX_DT")</f>
        <v>02/01/2026</v>
      </c>
    </row>
    <row r="41" spans="1:35">
      <c r="B41" s="40" t="s">
        <v>2345</v>
      </c>
      <c r="C41" t="s">
        <v>2064</v>
      </c>
      <c r="E41" t="s">
        <v>194</v>
      </c>
      <c r="F41" s="22" t="s">
        <v>99</v>
      </c>
      <c r="G41" s="15"/>
      <c r="H41" s="438">
        <v>30410</v>
      </c>
      <c r="I41" s="36" cm="1">
        <f t="array" ref="I41">_xll.BDP(B41&amp;" Equity","LAST_PRICE")</f>
        <v>80.64</v>
      </c>
      <c r="J41" s="51">
        <f t="shared" ref="J41" si="129">I41/K41-1</f>
        <v>2.9622063329928672E-2</v>
      </c>
      <c r="K41" s="430" cm="1">
        <f t="array" ref="K41">_xll.BDP(B41&amp;" EQUITY","PX_YEST_CLOSE")</f>
        <v>78.319999999999993</v>
      </c>
      <c r="L41" s="53" cm="1">
        <f t="array" ref="L41">_xll.BDP(E41&amp;" Curncy","PX_LAST")</f>
        <v>1</v>
      </c>
      <c r="M41" s="52">
        <v>1</v>
      </c>
      <c r="N41" s="15">
        <f t="shared" ref="N41" si="130">IFERROR(IF(((I41/L41)*H41*M41)&lt;&gt;0,((I41/L41)*H41*M41),0),"-")</f>
        <v>2452262.4</v>
      </c>
      <c r="O41" s="357">
        <f>IFERROR(IF(Tabelad[[#This Row],[D1 Exp USD]]&lt;&gt;0,N41/$AE$7,0),"-")</f>
        <v>1.0234117078456895E-3</v>
      </c>
      <c r="P41" s="20">
        <f>IFERROR(IF(Tabelad[[#This Row],[D1 Exp USD]]&lt;&gt;0,((I41-K41)/L41*M41*H41)/$AD$7*10000,0),"-")</f>
        <v>0.29443392388417755</v>
      </c>
      <c r="Q41" s="15">
        <f>IF(SUM(SUMIFS(Options!$AL$4:$AL$25, Options!$D$4:$D$25, B41), SUMIFS(Options!$AL$4:$AL$25, Options!$D$4:$D$25, B41 &amp; " US"))=0,0,SUM(SUMIFS(Options!$AL$4:$AL$25, Options!$D$4:$D$25, B41), SUMIFS(Options!$AL$4:$AL$25, Options!$D$4:$D$25, B41 &amp; " US")))</f>
        <v>0</v>
      </c>
      <c r="R41" s="19">
        <f t="shared" si="61"/>
        <v>0</v>
      </c>
      <c r="S41" s="20">
        <f>IF(SUM(SUMIFS(Options!$AK$4:$AK$25, Options!$D$4:$D$25, B41), SUMIFS(Options!$AK$4:$AK$25, Options!$D$4:$D$25, B41 &amp; " US"))=0,0,SUM(SUMIFS(Options!$AK$4:$AK$25, Options!$D$4:$D$25, B41), SUMIFS(Options!AK$4:$AK$25, Options!$D$4:$D$25, B41 &amp; " US")))</f>
        <v>0</v>
      </c>
      <c r="T41" s="13">
        <f t="shared" ref="T41" si="131">N41+Q41</f>
        <v>2452262.4</v>
      </c>
      <c r="U41" s="48">
        <f t="shared" ref="U41" si="132">T41/$AE$7</f>
        <v>1.0234117078456895E-3</v>
      </c>
      <c r="V41" s="20">
        <f t="shared" ref="V41" si="133">P41+S41</f>
        <v>0.29443392388417755</v>
      </c>
      <c r="W41" s="15">
        <f t="shared" ref="W41" si="134">$W$10/(I41/L41*M41)</f>
        <v>2080.0035642361108</v>
      </c>
      <c r="X41" s="19"/>
      <c r="Y41" s="375">
        <f>Tabelad[[#This Row],[Exp %]]*$Y$10*$AD$7/Tabelad[[#This Row],[Price Today]]</f>
        <v>10643.499999999998</v>
      </c>
      <c r="Z41" s="266">
        <f>Tabelad[[#This Row],[Vol 10d]]/16*Tabelad[[#This Row],[Exp %]]*100</f>
        <v>0.14827684820012613</v>
      </c>
      <c r="AA41" s="19">
        <f>Tabelad[[#This Row],[Exp %]]*Tabelad[[#This Row],[Beta Adj2]]</f>
        <v>9.5350987321641547E-4</v>
      </c>
      <c r="AB41" s="36">
        <f>_xll.BDP($B41&amp;" Equity","volatility_10d")</f>
        <v>23.181575440406572</v>
      </c>
      <c r="AC41" s="36" cm="1">
        <f t="array" ref="AC41">_xll.BDP(B41&amp;" EQUITY","eqy_beta")</f>
        <v>0.93169724941253662</v>
      </c>
      <c r="AD41" s="15">
        <f>Tabelad[[#This Row],[D1 P&amp;L bps]]*$AD$5/10000</f>
        <v>66130.891825270563</v>
      </c>
      <c r="AE41" s="277"/>
      <c r="AF41" s="231" t="str">
        <f>_xll.BDP(B41&amp;" Equity","EXPECTED_REPORT_DT")</f>
        <v>12/02/2026</v>
      </c>
      <c r="AG41" s="172">
        <f>_xll.BDP(B41&amp;" Index","CHG_PCT_1D_PRE_FROM_REGULAR")/100</f>
        <v>-1.659822E-3</v>
      </c>
      <c r="AH41" s="20">
        <f t="shared" ref="AH41" si="135">(T41*AG41)/$AD$7*10000</f>
        <v>-1.6986812677398481E-2</v>
      </c>
      <c r="AI41" s="437" t="str">
        <f>_xll.BDP(B41&amp;" Equity","DVD_EX_DT")</f>
        <v>02/01/2026</v>
      </c>
    </row>
    <row r="42" spans="1:35">
      <c r="B42" s="40" t="s">
        <v>2354</v>
      </c>
      <c r="C42" t="s">
        <v>2064</v>
      </c>
      <c r="E42" t="s">
        <v>194</v>
      </c>
      <c r="F42" s="22" t="s">
        <v>99</v>
      </c>
      <c r="G42" s="15"/>
      <c r="H42" s="438">
        <v>7600</v>
      </c>
      <c r="I42" s="36" cm="1">
        <f t="array" ref="I42">_xll.BDP(B42&amp;" Equity","LAST_PRICE")</f>
        <v>96.63</v>
      </c>
      <c r="J42" s="51">
        <f t="shared" ref="J42" si="136">I42/K42-1</f>
        <v>-5.3525476067937117E-3</v>
      </c>
      <c r="K42" s="430" cm="1">
        <f t="array" ref="K42">_xll.BDP(B42&amp;" EQUITY","PX_YEST_CLOSE")</f>
        <v>97.15</v>
      </c>
      <c r="L42" s="53" cm="1">
        <f t="array" ref="L42">_xll.BDP(E42&amp;" Curncy","PX_LAST")</f>
        <v>1</v>
      </c>
      <c r="M42" s="52">
        <v>1</v>
      </c>
      <c r="N42" s="15">
        <f t="shared" ref="N42" si="137">IFERROR(IF(((I42/L42)*H42*M42)&lt;&gt;0,((I42/L42)*H42*M42),0),"-")</f>
        <v>734388</v>
      </c>
      <c r="O42" s="357">
        <f>IFERROR(IF(Tabelad[[#This Row],[D1 Exp USD]]&lt;&gt;0,N42/$AE$7,0),"-")</f>
        <v>3.0648485141776847E-4</v>
      </c>
      <c r="P42" s="20">
        <f>IFERROR(IF(Tabelad[[#This Row],[D1 Exp USD]]&lt;&gt;0,((I42-K42)/L42*M42*H42)/$AD$7*10000,0),"-")</f>
        <v>-1.6493027293515754E-2</v>
      </c>
      <c r="Q42" s="15">
        <f>IF(SUM(SUMIFS(Options!$AL$4:$AL$25, Options!$D$4:$D$25, B42), SUMIFS(Options!$AL$4:$AL$25, Options!$D$4:$D$25, B42 &amp; " US"))=0,0,SUM(SUMIFS(Options!$AL$4:$AL$25, Options!$D$4:$D$25, B42), SUMIFS(Options!$AL$4:$AL$25, Options!$D$4:$D$25, B42 &amp; " US")))</f>
        <v>0</v>
      </c>
      <c r="R42" s="19">
        <f t="shared" ref="R42:R44" si="138">Q42/$AE$7</f>
        <v>0</v>
      </c>
      <c r="S42" s="20">
        <f>IF(SUM(SUMIFS(Options!$AK$4:$AK$25, Options!$D$4:$D$25, B42), SUMIFS(Options!$AK$4:$AK$25, Options!$D$4:$D$25, B42 &amp; " US"))=0,0,SUM(SUMIFS(Options!$AK$4:$AK$25, Options!$D$4:$D$25, B42), SUMIFS(Options!AK$4:$AK$25, Options!$D$4:$D$25, B42 &amp; " US")))</f>
        <v>0</v>
      </c>
      <c r="T42" s="13">
        <f t="shared" ref="T42" si="139">N42+Q42</f>
        <v>734388</v>
      </c>
      <c r="U42" s="48">
        <f t="shared" ref="U42" si="140">T42/$AE$7</f>
        <v>3.0648485141776847E-4</v>
      </c>
      <c r="V42" s="20">
        <f t="shared" ref="V42" si="141">P42+S42</f>
        <v>-1.6493027293515754E-2</v>
      </c>
      <c r="W42" s="15">
        <f t="shared" ref="W42" si="142">$W$10/(I42/L42*M42)</f>
        <v>1735.8117294835972</v>
      </c>
      <c r="X42" s="19"/>
      <c r="Y42" s="375">
        <f>Tabelad[[#This Row],[Exp %]]*$Y$10*$AD$7/Tabelad[[#This Row],[Price Today]]</f>
        <v>2660</v>
      </c>
      <c r="Z42" s="266">
        <f>Tabelad[[#This Row],[Vol 10d]]/16*Tabelad[[#This Row],[Exp %]]*100</f>
        <v>9.6145016364892713E-2</v>
      </c>
      <c r="AA42" s="19">
        <f>Tabelad[[#This Row],[Exp %]]*Tabelad[[#This Row],[Beta Adj2]]</f>
        <v>2.287882060718472E-4</v>
      </c>
      <c r="AB42" s="36">
        <f>_xll.BDP($B42&amp;" Equity","volatility_10d")</f>
        <v>50.192375078969377</v>
      </c>
      <c r="AC42" s="36" cm="1">
        <f t="array" ref="AC42">_xll.BDP(B42&amp;" EQUITY","eqy_beta")</f>
        <v>0.74649107456207275</v>
      </c>
      <c r="AD42" s="15">
        <f>Tabelad[[#This Row],[D1 P&amp;L bps]]*$AD$5/10000</f>
        <v>-3704.3917678717507</v>
      </c>
      <c r="AE42" s="277"/>
      <c r="AF42" s="231" t="str">
        <f>_xll.BDP(B42&amp;" Equity","EXPECTED_REPORT_DT")</f>
        <v>19/02/2026</v>
      </c>
      <c r="AG42" s="172">
        <f>_xll.BDP(B42&amp;" Index","CHG_PCT_1D_PRE_FROM_REGULAR")/100</f>
        <v>-9.6757839999999998E-3</v>
      </c>
      <c r="AH42" s="20">
        <f t="shared" ref="AH42" si="143">(T42*AG42)/$AD$7*10000</f>
        <v>-2.9654812215904214E-2</v>
      </c>
      <c r="AI42" s="437" t="str">
        <f>_xll.BDP(B42&amp;" Equity","DVD_EX_DT")</f>
        <v>#N/A Field Not Applicable</v>
      </c>
    </row>
    <row r="43" spans="1:35" s="59" customFormat="1">
      <c r="A43" s="473" t="s">
        <v>1770</v>
      </c>
      <c r="B43" s="423" t="s">
        <v>2354</v>
      </c>
      <c r="C43" s="59" t="s">
        <v>2064</v>
      </c>
      <c r="E43" s="59" t="s">
        <v>194</v>
      </c>
      <c r="F43" s="163" t="s">
        <v>99</v>
      </c>
      <c r="G43" s="404"/>
      <c r="H43" s="475">
        <v>116</v>
      </c>
      <c r="I43" s="14" cm="1">
        <f t="array" ref="I43">_xll.BDP(B43&amp;" Equity","LAST_PRICE")</f>
        <v>96.63</v>
      </c>
      <c r="J43" s="476">
        <f t="shared" ref="J43" si="144">I43/K43-1</f>
        <v>8.285862247539022E-4</v>
      </c>
      <c r="K43" s="477">
        <v>96.55</v>
      </c>
      <c r="L43" s="8" cm="1">
        <f t="array" ref="L43">_xll.BDP(E43&amp;" Curncy","PX_LAST")</f>
        <v>1</v>
      </c>
      <c r="M43" s="478">
        <v>1</v>
      </c>
      <c r="N43" s="404">
        <f t="shared" ref="N43" si="145">IFERROR(IF(((I43/L43)*H43*M43)&lt;&gt;0,((I43/L43)*H43*M43),0),"-")</f>
        <v>11209.08</v>
      </c>
      <c r="O43" s="479">
        <f>IFERROR(IF(Tabelad[[#This Row],[D1 Exp USD]]&lt;&gt;0,N43/$AE$7,0),"-")</f>
        <v>4.6779266795343605E-6</v>
      </c>
      <c r="P43" s="480">
        <f>IFERROR(IF(Tabelad[[#This Row],[D1 Exp USD]]&lt;&gt;0,((I43-K43)/L43*M43*H43)/$AD$7*10000,0),"-")</f>
        <v>3.8728566114326904E-5</v>
      </c>
      <c r="Q43" s="404"/>
      <c r="R43" s="128"/>
      <c r="S43" s="480"/>
      <c r="T43" s="481">
        <f t="shared" ref="T43" si="146">N43+Q43</f>
        <v>11209.08</v>
      </c>
      <c r="U43" s="482">
        <f t="shared" ref="U43" si="147">T43/$AE$7</f>
        <v>4.6779266795343605E-6</v>
      </c>
      <c r="V43" s="480">
        <f t="shared" ref="V43" si="148">P43+S43</f>
        <v>3.8728566114326904E-5</v>
      </c>
      <c r="W43" s="404">
        <f t="shared" ref="W43" si="149">$W$10/(I43/L43*M43)</f>
        <v>1735.8117294835972</v>
      </c>
      <c r="X43" s="128"/>
      <c r="Y43" s="483">
        <f>Tabelad[[#This Row],[Exp %]]*$Y$10*$AD$7/Tabelad[[#This Row],[Price Today]]</f>
        <v>40.599999999999994</v>
      </c>
      <c r="Z43" s="484">
        <f>Tabelad[[#This Row],[Vol 10d]]/16*Tabelad[[#This Row],[Exp %]]*100</f>
        <v>1.467476565569415E-3</v>
      </c>
      <c r="AA43" s="128">
        <f>Tabelad[[#This Row],[Exp %]]*Tabelad[[#This Row],[Beta Adj2]]</f>
        <v>3.4920305137281936E-6</v>
      </c>
      <c r="AB43" s="14">
        <f>_xll.BDP($B43&amp;" Equity","volatility_10d")</f>
        <v>50.192375078969377</v>
      </c>
      <c r="AC43" s="14" cm="1">
        <f t="array" ref="AC43">_xll.BDP(B43&amp;" EQUITY","eqy_beta")</f>
        <v>0.74649107456207275</v>
      </c>
      <c r="AD43" s="404">
        <f>Tabelad[[#This Row],[D1 P&amp;L bps]]*$AD$5/10000</f>
        <v>8.6985717626134722</v>
      </c>
      <c r="AE43" s="337"/>
      <c r="AF43" s="485" t="str">
        <f>_xll.BDP(B43&amp;" Equity","EXPECTED_REPORT_DT")</f>
        <v>19/02/2026</v>
      </c>
      <c r="AG43" s="486">
        <f>_xll.BDP(B43&amp;" Index","CHG_PCT_1D_PRE_FROM_REGULAR")/100</f>
        <v>-9.6757839999999998E-3</v>
      </c>
      <c r="AH43" s="480">
        <f t="shared" ref="AH43" si="150">(T43*AG43)/$AD$7*10000</f>
        <v>-4.5262608119011688E-4</v>
      </c>
      <c r="AI43" s="487" t="str">
        <f>_xll.BDP(B43&amp;" Equity","DVD_EX_DT")</f>
        <v>#N/A Field Not Applicable</v>
      </c>
    </row>
    <row r="44" spans="1:35">
      <c r="B44" s="435" t="s">
        <v>2369</v>
      </c>
      <c r="C44" t="s">
        <v>2064</v>
      </c>
      <c r="E44" t="s">
        <v>1932</v>
      </c>
      <c r="F44" s="22" t="s">
        <v>99</v>
      </c>
      <c r="G44" s="15"/>
      <c r="H44" s="438">
        <v>2600</v>
      </c>
      <c r="I44" s="36" cm="1">
        <f t="array" ref="I44">_xll.BDP(B44&amp;" Equity","LAST_PRICE")</f>
        <v>439</v>
      </c>
      <c r="J44" s="51">
        <f t="shared" ref="J44" si="151">I44/K44-1</f>
        <v>4.6508855991799436E-2</v>
      </c>
      <c r="K44" s="430" cm="1">
        <f t="array" ref="K44">_xll.BDP(B44&amp;" EQUITY","PX_YEST_CLOSE")</f>
        <v>419.49</v>
      </c>
      <c r="L44" s="53" cm="1">
        <f t="array" ref="L44">_xll.BDP(E44&amp;" Curncy","PX_LAST")</f>
        <v>6.9452999999999996</v>
      </c>
      <c r="M44" s="52">
        <v>1</v>
      </c>
      <c r="N44" s="15">
        <f t="shared" ref="N44" si="152">IFERROR(IF(((I44/L44)*H44*M44)&lt;&gt;0,((I44/L44)*H44*M44),0),"-")</f>
        <v>164341.35314529249</v>
      </c>
      <c r="O44" s="357">
        <f>IFERROR(IF(Tabelad[[#This Row],[D1 Exp USD]]&lt;&gt;0,N44/$AE$7,0),"-")</f>
        <v>6.8585182765145921E-5</v>
      </c>
      <c r="P44" s="20">
        <f>IFERROR(IF(Tabelad[[#This Row],[D1 Exp USD]]&lt;&gt;0,((I44-K44)/L44*M44*H44)/$AD$7*10000,0),"-")</f>
        <v>3.0480567556901973E-2</v>
      </c>
      <c r="Q44" s="15">
        <f>IF(SUM(SUMIFS(Options!$AL$4:$AL$25, Options!$D$4:$D$25, B44), SUMIFS(Options!$AL$4:$AL$25, Options!$D$4:$D$25, B44 &amp; " US"))=0,0,SUM(SUMIFS(Options!$AL$4:$AL$25, Options!$D$4:$D$25, B44), SUMIFS(Options!$AL$4:$AL$25, Options!$D$4:$D$25, B44 &amp; " US")))</f>
        <v>0</v>
      </c>
      <c r="R44" s="19">
        <f t="shared" si="138"/>
        <v>0</v>
      </c>
      <c r="S44" s="20">
        <f>IF(SUM(SUMIFS(Options!$AK$4:$AK$25, Options!$D$4:$D$25, B44), SUMIFS(Options!$AK$4:$AK$25, Options!$D$4:$D$25, B44 &amp; " US"))=0,0,SUM(SUMIFS(Options!$AK$4:$AK$25, Options!$D$4:$D$25, B44), SUMIFS(Options!AK$4:$AK$25, Options!$D$4:$D$25, B44 &amp; " US")))</f>
        <v>0</v>
      </c>
      <c r="T44" s="13">
        <f t="shared" ref="T44" si="153">N44+Q44</f>
        <v>164341.35314529249</v>
      </c>
      <c r="U44" s="48">
        <f t="shared" ref="U44" si="154">T44/$AE$7</f>
        <v>6.8585182765145921E-5</v>
      </c>
      <c r="V44" s="20">
        <f t="shared" ref="V44" si="155">P44+S44</f>
        <v>3.0480567556901973E-2</v>
      </c>
      <c r="W44" s="15">
        <f t="shared" ref="W44" si="156">$W$10/(I44/L44*M44)</f>
        <v>2653.6343953943642</v>
      </c>
      <c r="X44" s="19"/>
      <c r="Y44" s="375">
        <f>Tabelad[[#This Row],[Exp %]]*$Y$10*$AD$7/Tabelad[[#This Row],[Price Today]]</f>
        <v>131.02385786071156</v>
      </c>
      <c r="Z44" s="266">
        <f>Tabelad[[#This Row],[Vol 10d]]/16*Tabelad[[#This Row],[Exp %]]*100</f>
        <v>2.7099047347972399E-2</v>
      </c>
      <c r="AA44" s="19">
        <f>Tabelad[[#This Row],[Exp %]]*Tabelad[[#This Row],[Beta Adj2]]</f>
        <v>8.2268475408254653E-5</v>
      </c>
      <c r="AB44" s="36">
        <f>_xll.BDP($B44&amp;" Equity","volatility_10d")</f>
        <v>63.218429999999998</v>
      </c>
      <c r="AC44" s="36" cm="1">
        <f t="array" ref="AC44">_xll.BDP(B44&amp;" EQUITY","eqy_beta")</f>
        <v>1.199508</v>
      </c>
      <c r="AD44" s="15">
        <f>Tabelad[[#This Row],[D1 P&amp;L bps]]*$AD$5/10000</f>
        <v>6846.042362534492</v>
      </c>
      <c r="AE44" s="277"/>
      <c r="AF44" s="231" t="str">
        <f>_xll.BDP(B44&amp;" Equity","EXPECTED_REPORT_DT")</f>
        <v>22/04/2026</v>
      </c>
      <c r="AG44" s="172" t="e">
        <f>_xll.BDP(B44&amp;" Index","CHG_PCT_1D_PRE_FROM_REGULAR")/100</f>
        <v>#VALUE!</v>
      </c>
      <c r="AH44" s="20" t="e">
        <f t="shared" ref="AH44" si="157">(T44*AG44)/$AD$7*10000</f>
        <v>#VALUE!</v>
      </c>
      <c r="AI44" s="437" t="str">
        <f>_xll.BDP(B44&amp;" Equity","DVD_EX_DT")</f>
        <v>28/05/2025</v>
      </c>
    </row>
    <row r="45" spans="1:35" s="59" customFormat="1">
      <c r="A45" s="473"/>
      <c r="B45" s="474" t="s">
        <v>2369</v>
      </c>
      <c r="C45" s="59" t="s">
        <v>2064</v>
      </c>
      <c r="E45" s="59" t="s">
        <v>1932</v>
      </c>
      <c r="F45" s="163" t="s">
        <v>99</v>
      </c>
      <c r="G45" s="404"/>
      <c r="H45" s="475">
        <v>-2600</v>
      </c>
      <c r="I45" s="14" cm="1">
        <f t="array" ref="I45">_xll.BDP(B45&amp;" Equity","LAST_PRICE")</f>
        <v>439</v>
      </c>
      <c r="J45" s="476">
        <f t="shared" ref="J45" si="158">I45/K45-1</f>
        <v>-1.9551675533124868E-3</v>
      </c>
      <c r="K45" s="477">
        <v>439.86</v>
      </c>
      <c r="L45" s="8" cm="1">
        <f t="array" ref="L45">_xll.BDP(E45&amp;" Curncy","PX_LAST")</f>
        <v>6.9452999999999996</v>
      </c>
      <c r="M45" s="478">
        <v>1</v>
      </c>
      <c r="N45" s="404">
        <f t="shared" ref="N45" si="159">IFERROR(IF(((I45/L45)*H45*M45)&lt;&gt;0,((I45/L45)*H45*M45),0),"-")</f>
        <v>-164341.35314529249</v>
      </c>
      <c r="O45" s="479">
        <f>IFERROR(IF(Tabelad[[#This Row],[D1 Exp USD]]&lt;&gt;0,N45/$AE$7,0),"-")</f>
        <v>-6.8585182765145921E-5</v>
      </c>
      <c r="P45" s="480">
        <f>IFERROR(IF(Tabelad[[#This Row],[D1 Exp USD]]&lt;&gt;0,((I45-K45)/L45*M45*H45)/$AD$7*10000,0),"-")</f>
        <v>1.3435821680643834E-3</v>
      </c>
      <c r="Q45" s="404"/>
      <c r="R45" s="128"/>
      <c r="S45" s="480"/>
      <c r="T45" s="481">
        <f t="shared" ref="T45" si="160">N45+Q45</f>
        <v>-164341.35314529249</v>
      </c>
      <c r="U45" s="482">
        <f t="shared" ref="U45" si="161">T45/$AE$7</f>
        <v>-6.8585182765145921E-5</v>
      </c>
      <c r="V45" s="480">
        <f t="shared" ref="V45" si="162">P45+S45</f>
        <v>1.3435821680643834E-3</v>
      </c>
      <c r="W45" s="404">
        <f t="shared" ref="W45" si="163">$W$10/(I45/L45*M45)</f>
        <v>2653.6343953943642</v>
      </c>
      <c r="X45" s="128"/>
      <c r="Y45" s="483">
        <f>Tabelad[[#This Row],[Exp %]]*$Y$10*$AD$7/Tabelad[[#This Row],[Price Today]]</f>
        <v>-131.02385786071156</v>
      </c>
      <c r="Z45" s="484">
        <f>Tabelad[[#This Row],[Vol 10d]]/16*Tabelad[[#This Row],[Exp %]]*100</f>
        <v>-2.7099047347972399E-2</v>
      </c>
      <c r="AA45" s="128">
        <f>Tabelad[[#This Row],[Exp %]]*Tabelad[[#This Row],[Beta Adj2]]</f>
        <v>-8.2268475408254653E-5</v>
      </c>
      <c r="AB45" s="14">
        <f>_xll.BDP($B45&amp;" Equity","volatility_10d")</f>
        <v>63.218429999999998</v>
      </c>
      <c r="AC45" s="14" cm="1">
        <f t="array" ref="AC45">_xll.BDP(B45&amp;" EQUITY","eqy_beta")</f>
        <v>1.199508</v>
      </c>
      <c r="AD45" s="404">
        <f>Tabelad[[#This Row],[D1 P&amp;L bps]]*$AD$5/10000</f>
        <v>301.77326662120748</v>
      </c>
      <c r="AE45" s="337"/>
      <c r="AF45" s="485" t="str">
        <f>_xll.BDP(B45&amp;" Equity","EXPECTED_REPORT_DT")</f>
        <v>22/04/2026</v>
      </c>
      <c r="AG45" s="486" t="e">
        <f>_xll.BDP(B45&amp;" Index","CHG_PCT_1D_PRE_FROM_REGULAR")/100</f>
        <v>#VALUE!</v>
      </c>
      <c r="AH45" s="480" t="e">
        <f t="shared" ref="AH45" si="164">(T45*AG45)/$AD$7*10000</f>
        <v>#VALUE!</v>
      </c>
      <c r="AI45" s="487" t="str">
        <f>_xll.BDP(B45&amp;" Equity","DVD_EX_DT")</f>
        <v>28/05/2025</v>
      </c>
    </row>
    <row r="46" spans="1:35">
      <c r="B46" s="40" t="s">
        <v>137</v>
      </c>
      <c r="C46" t="s">
        <v>1880</v>
      </c>
      <c r="E46" t="s">
        <v>194</v>
      </c>
      <c r="F46" s="22" t="s">
        <v>99</v>
      </c>
      <c r="G46" s="15"/>
      <c r="H46" s="438">
        <v>1500</v>
      </c>
      <c r="I46" s="36" cm="1">
        <f t="array" ref="I46">_xll.BDP(B46&amp;" Equity","LAST_PRICE")</f>
        <v>331.11</v>
      </c>
      <c r="J46" s="51">
        <f t="shared" si="3"/>
        <v>-5.7349833987319077E-4</v>
      </c>
      <c r="K46" s="430" cm="1">
        <f t="array" ref="K46">_xll.BDP(B46&amp;" EQUITY","PX_YEST_CLOSE")</f>
        <v>331.3</v>
      </c>
      <c r="L46" s="53" cm="1">
        <f t="array" ref="L46">_xll.BDP(E46&amp;" Curncy","PX_LAST")</f>
        <v>1</v>
      </c>
      <c r="M46" s="52">
        <v>1</v>
      </c>
      <c r="N46" s="15">
        <f t="shared" si="4"/>
        <v>496665</v>
      </c>
      <c r="O46" s="357">
        <f>IFERROR(IF(Tabelad[[#This Row],[D1 Exp USD]]&lt;&gt;0,N46/$AE$7,0),"-")</f>
        <v>2.0727503544367006E-4</v>
      </c>
      <c r="P46" s="20">
        <f>IFERROR(IF(Tabelad[[#This Row],[D1 Exp USD]]&lt;&gt;0,((I46-K46)/L46*M46*H46)/$AD$7*10000,0),"-")</f>
        <v>-1.189401006743887E-3</v>
      </c>
      <c r="Q46" s="15">
        <f>IF(SUM(SUMIFS(Options!$AL$4:$AL$25, Options!$D$4:$D$25, B46), SUMIFS(Options!$AL$4:$AL$25, Options!$D$4:$D$25, B46 &amp; " US"))=0,0,SUM(SUMIFS(Options!$AL$4:$AL$25, Options!$D$4:$D$25, B46), SUMIFS(Options!$AL$4:$AL$25, Options!$D$4:$D$25, B46 &amp; " US")))</f>
        <v>2006322.4350357058</v>
      </c>
      <c r="R46" s="19">
        <f t="shared" ref="R46:R56" si="165">Q46/$AE$7</f>
        <v>8.3730593827520839E-4</v>
      </c>
      <c r="S46" s="20">
        <f>IF(SUM(SUMIFS(Options!$AK$4:$AK$25, Options!$D$4:$D$25, B46), SUMIFS(Options!$AK$4:$AK$25, Options!$D$4:$D$25, B46 &amp; " US"))=0,0,SUM(SUMIFS(Options!$AK$4:$AK$25, Options!$D$4:$D$25, B46), SUMIFS(Options!AK$4:$AK$25, Options!$D$4:$D$25, B46 &amp; " US")))</f>
        <v>-5.7341648535653142E-2</v>
      </c>
      <c r="T46" s="13">
        <f t="shared" si="6"/>
        <v>2502987.4350357056</v>
      </c>
      <c r="U46" s="48">
        <f t="shared" si="7"/>
        <v>1.0445809737188783E-3</v>
      </c>
      <c r="V46" s="20">
        <f t="shared" si="8"/>
        <v>-5.8531049542397032E-2</v>
      </c>
      <c r="W46" s="15">
        <f t="shared" si="9"/>
        <v>506.57330621243693</v>
      </c>
      <c r="X46" s="19"/>
      <c r="Y46" s="375">
        <f>Tabelad[[#This Row],[Exp %]]*$Y$10*$AD$7/Tabelad[[#This Row],[Price Today]]</f>
        <v>2645.7841873168945</v>
      </c>
      <c r="Z46" s="266">
        <f>Tabelad[[#This Row],[Vol 10d]]/16*Tabelad[[#This Row],[Exp %]]*100</f>
        <v>0.14133984307422759</v>
      </c>
      <c r="AA46" s="19">
        <f>Tabelad[[#This Row],[Exp %]]*Tabelad[[#This Row],[Beta Adj2]]</f>
        <v>2.1219440713778947E-3</v>
      </c>
      <c r="AB46" s="36">
        <f>_xll.BDP($B46&amp;" Equity","volatility_10d")</f>
        <v>21.64923108963545</v>
      </c>
      <c r="AC46" s="36" cm="1">
        <f t="array" ref="AC46">_xll.BDP(B46&amp;" EQUITY","eqy_beta")</f>
        <v>2.0313830375671387</v>
      </c>
      <c r="AD46" s="15">
        <f>Tabelad[[#This Row],[D1 P&amp;L bps]]*$AD$5/10000</f>
        <v>-267.14363710612747</v>
      </c>
      <c r="AE46" s="277"/>
      <c r="AF46" s="231" t="str">
        <f>_xll.BDP(B46&amp;" Equity","EXPECTED_REPORT_DT")</f>
        <v>06/03/2026</v>
      </c>
      <c r="AG46" s="172">
        <f>_xll.BDP(B46&amp;" Index","CHG_PCT_1D_PRE_FROM_REGULAR")/100</f>
        <v>-1.5695689999999998E-2</v>
      </c>
      <c r="AH46" s="20">
        <f t="shared" si="10"/>
        <v>-0.16395419143389661</v>
      </c>
      <c r="AI46" s="437" t="str">
        <f>_xll.BDP(B46&amp;" Equity","DVD_EX_DT")</f>
        <v>22/12/2025</v>
      </c>
    </row>
    <row r="47" spans="1:35" s="59" customFormat="1">
      <c r="A47" s="473"/>
      <c r="B47" s="423" t="s">
        <v>137</v>
      </c>
      <c r="C47" s="59" t="s">
        <v>1880</v>
      </c>
      <c r="E47" s="59" t="s">
        <v>194</v>
      </c>
      <c r="F47" s="163" t="s">
        <v>99</v>
      </c>
      <c r="G47" s="404"/>
      <c r="H47" s="475">
        <v>-1500</v>
      </c>
      <c r="I47" s="14" cm="1">
        <f t="array" ref="I47">_xll.BDP(B47&amp;" Equity","LAST_PRICE")</f>
        <v>331.11</v>
      </c>
      <c r="J47" s="476">
        <f t="shared" ref="J47" si="166">I47/K47-1</f>
        <v>-8.0587177950868227E-3</v>
      </c>
      <c r="K47" s="477">
        <v>333.8</v>
      </c>
      <c r="L47" s="8" cm="1">
        <f t="array" ref="L47">_xll.BDP(E47&amp;" Curncy","PX_LAST")</f>
        <v>1</v>
      </c>
      <c r="M47" s="478">
        <v>1</v>
      </c>
      <c r="N47" s="404">
        <f t="shared" ref="N47" si="167">IFERROR(IF(((I47/L47)*H47*M47)&lt;&gt;0,((I47/L47)*H47*M47),0),"-")</f>
        <v>-496665</v>
      </c>
      <c r="O47" s="479">
        <f>IFERROR(IF(Tabelad[[#This Row],[D1 Exp USD]]&lt;&gt;0,N47/$AE$7,0),"-")</f>
        <v>-2.0727503544367006E-4</v>
      </c>
      <c r="P47" s="480">
        <f>IFERROR(IF(Tabelad[[#This Row],[D1 Exp USD]]&lt;&gt;0,((I47-K47)/L47*M47*H47)/$AD$7*10000,0),"-")</f>
        <v>1.6839414253374166E-2</v>
      </c>
      <c r="Q47" s="404"/>
      <c r="R47" s="128"/>
      <c r="S47" s="480"/>
      <c r="T47" s="481">
        <f t="shared" ref="T47" si="168">N47+Q47</f>
        <v>-496665</v>
      </c>
      <c r="U47" s="482">
        <f t="shared" ref="U47" si="169">T47/$AE$7</f>
        <v>-2.0727503544367006E-4</v>
      </c>
      <c r="V47" s="480">
        <f t="shared" ref="V47" si="170">P47+S47</f>
        <v>1.6839414253374166E-2</v>
      </c>
      <c r="W47" s="404">
        <f t="shared" ref="W47" si="171">$W$10/(I47/L47*M47)</f>
        <v>506.57330621243693</v>
      </c>
      <c r="X47" s="128"/>
      <c r="Y47" s="483">
        <f>Tabelad[[#This Row],[Exp %]]*$Y$10*$AD$7/Tabelad[[#This Row],[Price Today]]</f>
        <v>-525</v>
      </c>
      <c r="Z47" s="484">
        <f>Tabelad[[#This Row],[Vol 10d]]/16*Tabelad[[#This Row],[Exp %]]*100</f>
        <v>-2.8045907133952452E-2</v>
      </c>
      <c r="AA47" s="128">
        <f>Tabelad[[#This Row],[Exp %]]*Tabelad[[#This Row],[Beta Adj2]]</f>
        <v>-4.2105499111139881E-4</v>
      </c>
      <c r="AB47" s="14">
        <f>_xll.BDP($B47&amp;" Equity","volatility_10d")</f>
        <v>21.64923108963545</v>
      </c>
      <c r="AC47" s="14" cm="1">
        <f t="array" ref="AC47">_xll.BDP(B47&amp;" EQUITY","eqy_beta")</f>
        <v>2.0313830375671387</v>
      </c>
      <c r="AD47" s="404">
        <f>Tabelad[[#This Row],[D1 P&amp;L bps]]*$AD$5/10000</f>
        <v>3782.1914937657416</v>
      </c>
      <c r="AE47" s="337"/>
      <c r="AF47" s="485" t="str">
        <f>_xll.BDP(B47&amp;" Equity","EXPECTED_REPORT_DT")</f>
        <v>06/03/2026</v>
      </c>
      <c r="AG47" s="486">
        <f>_xll.BDP(B47&amp;" Index","CHG_PCT_1D_PRE_FROM_REGULAR")/100</f>
        <v>-1.5695689999999998E-2</v>
      </c>
      <c r="AH47" s="480">
        <f t="shared" ref="AH47" si="172">(T47*AG47)/$AD$7*10000</f>
        <v>3.2533247010628576E-2</v>
      </c>
      <c r="AI47" s="487" t="str">
        <f>_xll.BDP(B47&amp;" Equity","DVD_EX_DT")</f>
        <v>22/12/2025</v>
      </c>
    </row>
    <row r="48" spans="1:35">
      <c r="B48" s="40" t="s">
        <v>96</v>
      </c>
      <c r="C48" t="s">
        <v>1880</v>
      </c>
      <c r="E48" t="s">
        <v>194</v>
      </c>
      <c r="F48" s="22" t="s">
        <v>99</v>
      </c>
      <c r="G48" s="15"/>
      <c r="H48" s="438">
        <v>5198</v>
      </c>
      <c r="I48" s="36" cm="1">
        <f t="array" ref="I48">_xll.BDP(B48&amp;" Equity","LAST_PRICE")</f>
        <v>341.36</v>
      </c>
      <c r="J48" s="51">
        <f t="shared" si="3"/>
        <v>3.2671829622458848E-2</v>
      </c>
      <c r="K48" s="430" cm="1">
        <f t="array" ref="K48">_xll.BDP(B48&amp;" EQUITY","PX_YEST_CLOSE")</f>
        <v>330.56</v>
      </c>
      <c r="L48" s="53" cm="1">
        <f t="array" ref="L48">_xll.BDP(E48&amp;" Curncy","PX_LAST")</f>
        <v>1</v>
      </c>
      <c r="M48" s="52">
        <v>1</v>
      </c>
      <c r="N48" s="15">
        <f t="shared" si="4"/>
        <v>1774389.28</v>
      </c>
      <c r="O48" s="357">
        <f>IFERROR(IF(Tabelad[[#This Row],[D1 Exp USD]]&lt;&gt;0,N48/$AE$7,0),"-")</f>
        <v>7.4051241964476699E-4</v>
      </c>
      <c r="P48" s="20">
        <f>IFERROR(IF(Tabelad[[#This Row],[D1 Exp USD]]&lt;&gt;0,((I48-K48)/L48*M48*H48)/$AD$7*10000,0),"-")</f>
        <v>0.23428445430523473</v>
      </c>
      <c r="Q48" s="15">
        <f>IF(SUM(SUMIFS(Options!$AL$4:$AL$25, Options!$D$4:$D$25, B48), SUMIFS(Options!$AL$4:$AL$25, Options!$D$4:$D$25, B48 &amp; " US"))=0,0,SUM(SUMIFS(Options!$AL$4:$AL$25, Options!$D$4:$D$25, B48), SUMIFS(Options!$AL$4:$AL$25, Options!$D$4:$D$25, B48 &amp; " US")))</f>
        <v>13431248.005437851</v>
      </c>
      <c r="R48" s="19">
        <f t="shared" si="165"/>
        <v>5.6053122454367702E-3</v>
      </c>
      <c r="S48" s="20">
        <f>IF(SUM(SUMIFS(Options!$AK$4:$AK$25, Options!$D$4:$D$25, B48), SUMIFS(Options!$AK$4:$AK$25, Options!$D$4:$D$25, B48 &amp; " US"))=0,0,SUM(SUMIFS(Options!$AK$4:$AK$25, Options!$D$4:$D$25, B48), SUMIFS(Options!AK$4:$AK$25, Options!$D$4:$D$25, B48 &amp; " US")))</f>
        <v>1.7267702949223604</v>
      </c>
      <c r="T48" s="13">
        <f t="shared" si="6"/>
        <v>15205637.28543785</v>
      </c>
      <c r="U48" s="48">
        <f t="shared" si="7"/>
        <v>6.3458246650815366E-3</v>
      </c>
      <c r="V48" s="20">
        <f t="shared" si="8"/>
        <v>1.9610547492275952</v>
      </c>
      <c r="W48" s="15">
        <f t="shared" si="9"/>
        <v>491.36245435903442</v>
      </c>
      <c r="X48" s="19"/>
      <c r="Y48" s="375">
        <f>Tabelad[[#This Row],[Exp %]]*$Y$10*$AD$7/Tabelad[[#This Row],[Price Today]]</f>
        <v>15590.499911832809</v>
      </c>
      <c r="Z48" s="266">
        <f>Tabelad[[#This Row],[Vol 10d]]/16*Tabelad[[#This Row],[Exp %]]*100</f>
        <v>1.2234495302827872</v>
      </c>
      <c r="AA48" s="19">
        <f>Tabelad[[#This Row],[Exp %]]*Tabelad[[#This Row],[Beta Adj2]]</f>
        <v>9.3957929084010992E-3</v>
      </c>
      <c r="AB48" s="36">
        <f>_xll.BDP($B48&amp;" Equity","volatility_10d")</f>
        <v>30.847357936374809</v>
      </c>
      <c r="AC48" s="36" cm="1">
        <f t="array" ref="AC48">_xll.BDP(B48&amp;" EQUITY","eqy_beta")</f>
        <v>1.4806259870529175</v>
      </c>
      <c r="AD48" s="15">
        <f>Tabelad[[#This Row],[D1 P&amp;L bps]]*$AD$5/10000</f>
        <v>52621.110025680078</v>
      </c>
      <c r="AE48" s="277"/>
      <c r="AF48" s="231" t="str">
        <f>_xll.BDP(B48&amp;" Equity","EXPECTED_REPORT_DT")</f>
        <v>17/04/2026</v>
      </c>
      <c r="AG48" s="172" t="e">
        <f>_xll.BDP(B48&amp;" Index","CHG_PCT_1D_PRE_FROM_REGULAR")/100</f>
        <v>#VALUE!</v>
      </c>
      <c r="AH48" s="20" t="e">
        <f t="shared" si="10"/>
        <v>#VALUE!</v>
      </c>
      <c r="AI48" s="437" t="str">
        <f>_xll.BDP(B48&amp;" Equity","DVD_EX_DT")</f>
        <v>17/03/2026</v>
      </c>
    </row>
    <row r="49" spans="1:35" s="59" customFormat="1">
      <c r="A49" s="473"/>
      <c r="B49" s="423" t="s">
        <v>96</v>
      </c>
      <c r="C49" s="59" t="s">
        <v>1880</v>
      </c>
      <c r="E49" s="59" t="s">
        <v>194</v>
      </c>
      <c r="F49" s="163" t="s">
        <v>99</v>
      </c>
      <c r="G49" s="404"/>
      <c r="H49" s="475">
        <v>-4400</v>
      </c>
      <c r="I49" s="14" cm="1">
        <f t="array" ref="I49">_xll.BDP(B49&amp;" Equity","LAST_PRICE")</f>
        <v>341.36</v>
      </c>
      <c r="J49" s="476">
        <f t="shared" ref="J49" si="173">I49/K49-1</f>
        <v>-2.1631102016954618E-3</v>
      </c>
      <c r="K49" s="477">
        <v>342.1</v>
      </c>
      <c r="L49" s="8" cm="1">
        <f t="array" ref="L49">_xll.BDP(E49&amp;" Curncy","PX_LAST")</f>
        <v>1</v>
      </c>
      <c r="M49" s="478">
        <v>1</v>
      </c>
      <c r="N49" s="404">
        <f t="shared" ref="N49" si="174">IFERROR(IF(((I49/L49)*H49*M49)&lt;&gt;0,((I49/L49)*H49*M49),0),"-")</f>
        <v>-1501984</v>
      </c>
      <c r="O49" s="479">
        <f>IFERROR(IF(Tabelad[[#This Row],[D1 Exp USD]]&lt;&gt;0,N49/$AE$7,0),"-")</f>
        <v>-6.2682851989937958E-4</v>
      </c>
      <c r="P49" s="480">
        <f>IFERROR(IF(Tabelad[[#This Row],[D1 Exp USD]]&lt;&gt;0,((I49-K49)/L49*M49*H49)/$AD$7*10000,0),"-")</f>
        <v>1.3588384834941018E-2</v>
      </c>
      <c r="Q49" s="404"/>
      <c r="R49" s="128"/>
      <c r="S49" s="480"/>
      <c r="T49" s="481">
        <f t="shared" ref="T49" si="175">N49+Q49</f>
        <v>-1501984</v>
      </c>
      <c r="U49" s="482">
        <f t="shared" ref="U49" si="176">T49/$AE$7</f>
        <v>-6.2682851989937958E-4</v>
      </c>
      <c r="V49" s="480">
        <f t="shared" ref="V49" si="177">P49+S49</f>
        <v>1.3588384834941018E-2</v>
      </c>
      <c r="W49" s="404">
        <f t="shared" ref="W49" si="178">$W$10/(I49/L49*M49)</f>
        <v>491.36245435903442</v>
      </c>
      <c r="X49" s="128"/>
      <c r="Y49" s="483">
        <f>Tabelad[[#This Row],[Exp %]]*$Y$10*$AD$7/Tabelad[[#This Row],[Price Today]]</f>
        <v>-1539.9999999999998</v>
      </c>
      <c r="Z49" s="484">
        <f>Tabelad[[#This Row],[Vol 10d]]/16*Tabelad[[#This Row],[Exp %]]*100</f>
        <v>-0.12085002323790127</v>
      </c>
      <c r="AA49" s="128">
        <f>Tabelad[[#This Row],[Exp %]]*Tabelad[[#This Row],[Beta Adj2]]</f>
        <v>-9.2809859598893824E-4</v>
      </c>
      <c r="AB49" s="14">
        <f>_xll.BDP($B49&amp;" Equity","volatility_10d")</f>
        <v>30.847357936374809</v>
      </c>
      <c r="AC49" s="14" cm="1">
        <f t="array" ref="AC49">_xll.BDP(B49&amp;" EQUITY","eqy_beta")</f>
        <v>1.4806259870529175</v>
      </c>
      <c r="AD49" s="404">
        <f>Tabelad[[#This Row],[D1 P&amp;L bps]]*$AD$5/10000</f>
        <v>3051.9988856756918</v>
      </c>
      <c r="AE49" s="337"/>
      <c r="AF49" s="485" t="str">
        <f>_xll.BDP(B49&amp;" Equity","EXPECTED_REPORT_DT")</f>
        <v>17/04/2026</v>
      </c>
      <c r="AG49" s="486" t="e">
        <f>_xll.BDP(B49&amp;" Index","CHG_PCT_1D_PRE_FROM_REGULAR")/100</f>
        <v>#VALUE!</v>
      </c>
      <c r="AH49" s="480" t="e">
        <f t="shared" ref="AH49" si="179">(T49*AG49)/$AD$7*10000</f>
        <v>#VALUE!</v>
      </c>
      <c r="AI49" s="487" t="str">
        <f>_xll.BDP(B49&amp;" Equity","DVD_EX_DT")</f>
        <v>17/03/2026</v>
      </c>
    </row>
    <row r="50" spans="1:35">
      <c r="B50" s="40" t="s">
        <v>708</v>
      </c>
      <c r="C50" t="s">
        <v>1880</v>
      </c>
      <c r="E50" t="s">
        <v>194</v>
      </c>
      <c r="F50" s="22" t="s">
        <v>99</v>
      </c>
      <c r="G50" s="15"/>
      <c r="H50" s="438"/>
      <c r="I50" s="36" cm="1">
        <f t="array" ref="I50">_xll.BDP(B50&amp;" Equity","LAST_PRICE")</f>
        <v>48.81</v>
      </c>
      <c r="J50" s="51">
        <f t="shared" ref="J50" si="180">I50/K50-1</f>
        <v>5.0355067785668339E-2</v>
      </c>
      <c r="K50" s="430" cm="1">
        <f t="array" ref="K50">_xll.BDP(B50&amp;" EQUITY","PX_YEST_CLOSE")</f>
        <v>46.47</v>
      </c>
      <c r="L50" s="53" cm="1">
        <f t="array" ref="L50">_xll.BDP(E50&amp;" Curncy","PX_LAST")</f>
        <v>1</v>
      </c>
      <c r="M50" s="52">
        <v>1</v>
      </c>
      <c r="N50" s="15">
        <f t="shared" ref="N50" si="181">IFERROR(IF(((I50/L50)*H50*M50)&lt;&gt;0,((I50/L50)*H50*M50),0),"-")</f>
        <v>0</v>
      </c>
      <c r="O50" s="357">
        <f>IFERROR(IF(Tabelad[[#This Row],[D1 Exp USD]]&lt;&gt;0,N50/$AE$7,0),"-")</f>
        <v>0</v>
      </c>
      <c r="P50" s="20">
        <f>IFERROR(IF(Tabelad[[#This Row],[D1 Exp USD]]&lt;&gt;0,((I50-K50)/L50*M50*H50)/$AD$7*10000,0),"-")</f>
        <v>0</v>
      </c>
      <c r="Q50" s="15">
        <f>IF(SUM(SUMIFS(Options!$AL$4:$AL$25, Options!$D$4:$D$25, B50), SUMIFS(Options!$AL$4:$AL$25, Options!$D$4:$D$25, B50 &amp; " US"))=0,0,SUM(SUMIFS(Options!$AL$4:$AL$25, Options!$D$4:$D$25, B50), SUMIFS(Options!$AL$4:$AL$25, Options!$D$4:$D$25, B50 &amp; " US")))</f>
        <v>644898.37519973516</v>
      </c>
      <c r="R50" s="19">
        <f t="shared" ref="R50" si="182">Q50/$AE$7</f>
        <v>2.6913781638949867E-4</v>
      </c>
      <c r="S50" s="20">
        <f>IF(SUM(SUMIFS(Options!$AK$4:$AK$25, Options!$D$4:$D$25, B50), SUMIFS(Options!$AK$4:$AK$25, Options!$D$4:$D$25, B50 &amp; " US"))=0,0,SUM(SUMIFS(Options!$AK$4:$AK$25, Options!$D$4:$D$25, B50), SUMIFS(Options!AK$4:$AK$25, Options!$D$4:$D$25, B50 &amp; " US")))</f>
        <v>0.13135577785005009</v>
      </c>
      <c r="T50" s="13">
        <f t="shared" ref="T50" si="183">N50+Q50</f>
        <v>644898.37519973516</v>
      </c>
      <c r="U50" s="48">
        <f t="shared" ref="U50" si="184">T50/$AE$7</f>
        <v>2.6913781638949867E-4</v>
      </c>
      <c r="V50" s="20">
        <f t="shared" ref="V50" si="185">P50+S50</f>
        <v>0.13135577785005009</v>
      </c>
      <c r="W50" s="15">
        <f t="shared" ref="W50" si="186">$W$10/(I50/L50*M50)</f>
        <v>3436.4164601516081</v>
      </c>
      <c r="X50" s="19"/>
      <c r="Y50" s="375">
        <f>Tabelad[[#This Row],[Exp %]]*$Y$10*$AD$7/Tabelad[[#This Row],[Price Today]]</f>
        <v>4624.3481114506721</v>
      </c>
      <c r="Z50" s="266">
        <f>Tabelad[[#This Row],[Vol 10d]]/16*Tabelad[[#This Row],[Exp %]]*100</f>
        <v>0.25169811770785516</v>
      </c>
      <c r="AA50" s="19">
        <f>Tabelad[[#This Row],[Exp %]]*Tabelad[[#This Row],[Beta Adj2]]</f>
        <v>3.9613900735356366E-4</v>
      </c>
      <c r="AB50" s="36">
        <f>_xll.BDP($B50&amp;" Equity","volatility_10d")</f>
        <v>149.63225671332364</v>
      </c>
      <c r="AC50" s="36" cm="1">
        <f t="array" ref="AC50">_xll.BDP(B50&amp;" EQUITY","eqy_beta")</f>
        <v>1.471881628036499</v>
      </c>
      <c r="AD50" s="15">
        <f>Tabelad[[#This Row],[D1 P&amp;L bps]]*$AD$5/10000</f>
        <v>0</v>
      </c>
      <c r="AE50" s="277"/>
      <c r="AF50" s="231" t="str">
        <f>_xll.BDP(B50&amp;" Equity","EXPECTED_REPORT_DT")</f>
        <v>24/04/2026</v>
      </c>
      <c r="AG50" s="172" t="e">
        <f>_xll.BDP(B50&amp;" Index","CHG_PCT_1D_PRE_FROM_REGULAR")/100</f>
        <v>#VALUE!</v>
      </c>
      <c r="AH50" s="20" t="e">
        <f t="shared" ref="AH50" si="187">(T50*AG50)/$AD$7*10000</f>
        <v>#VALUE!</v>
      </c>
      <c r="AI50" s="437" t="str">
        <f>_xll.BDP(B50&amp;" Equity","DVD_EX_DT")</f>
        <v>03/09/2024</v>
      </c>
    </row>
    <row r="51" spans="1:35">
      <c r="B51" s="40" t="s">
        <v>94</v>
      </c>
      <c r="C51" t="s">
        <v>1880</v>
      </c>
      <c r="E51" t="s">
        <v>194</v>
      </c>
      <c r="F51" s="22" t="s">
        <v>99</v>
      </c>
      <c r="G51" s="15"/>
      <c r="H51" s="438">
        <v>20008</v>
      </c>
      <c r="I51" s="36" cm="1">
        <f t="array" ref="I51">_xll.BDP(B51&amp;" Equity","LAST_PRICE")</f>
        <v>185.61</v>
      </c>
      <c r="J51" s="51">
        <f t="shared" si="3"/>
        <v>-2.8880866425992635E-2</v>
      </c>
      <c r="K51" s="430" cm="1">
        <f t="array" ref="K51">_xll.BDP(B51&amp;" EQUITY","PX_YEST_CLOSE")</f>
        <v>191.13</v>
      </c>
      <c r="L51" s="53" cm="1">
        <f t="array" ref="L51">_xll.BDP(E51&amp;" Curncy","PX_LAST")</f>
        <v>1</v>
      </c>
      <c r="M51" s="52">
        <v>1</v>
      </c>
      <c r="N51" s="15">
        <f t="shared" si="4"/>
        <v>3713684.8800000004</v>
      </c>
      <c r="O51" s="357">
        <f>IFERROR(IF(Tabelad[[#This Row],[D1 Exp USD]]&lt;&gt;0,N51/$AE$7,0),"-")</f>
        <v>1.5498458017549489E-3</v>
      </c>
      <c r="P51" s="20">
        <f>IFERROR(IF(Tabelad[[#This Row],[D1 Exp USD]]&lt;&gt;0,((I51-K51)/L51*M51*H51)/$AD$7*10000,0),"-")</f>
        <v>-0.46092068453678625</v>
      </c>
      <c r="Q51" s="15">
        <f>IF(SUM(SUMIFS(Options!$AL$4:$AL$25, Options!$D$4:$D$25, B51), SUMIFS(Options!$AL$4:$AL$25, Options!$D$4:$D$25, B51 &amp; " US"))=0,0,SUM(SUMIFS(Options!$AL$4:$AL$25, Options!$D$4:$D$25, B51), SUMIFS(Options!$AL$4:$AL$25, Options!$D$4:$D$25, B51 &amp; " US")))</f>
        <v>1208087.238393724</v>
      </c>
      <c r="R51" s="19">
        <f t="shared" si="165"/>
        <v>5.0417550090524723E-4</v>
      </c>
      <c r="S51" s="20">
        <f>IF(SUM(SUMIFS(Options!$AK$4:$AK$25, Options!$D$4:$D$25, B51), SUMIFS(Options!$AK$4:$AK$25, Options!$D$4:$D$25, B51 &amp; " US"))=0,0,SUM(SUMIFS(Options!$AK$4:$AK$25, Options!$D$4:$D$25, B51), SUMIFS(Options!AK$4:$AK$25, Options!$D$4:$D$25, B51 &amp; " US")))</f>
        <v>-0.17528014836225916</v>
      </c>
      <c r="T51" s="13">
        <f t="shared" si="6"/>
        <v>4921772.1183937248</v>
      </c>
      <c r="U51" s="48">
        <f t="shared" si="7"/>
        <v>2.0540213026601964E-3</v>
      </c>
      <c r="V51" s="20">
        <f t="shared" si="8"/>
        <v>-0.63620083289904539</v>
      </c>
      <c r="W51" s="15">
        <f t="shared" si="9"/>
        <v>903.6769970367975</v>
      </c>
      <c r="X51" s="19"/>
      <c r="Y51" s="375">
        <f>Tabelad[[#This Row],[Exp %]]*$Y$10*$AD$7/Tabelad[[#This Row],[Price Today]]</f>
        <v>9280.8590131878864</v>
      </c>
      <c r="Z51" s="266">
        <f>Tabelad[[#This Row],[Vol 10d]]/16*Tabelad[[#This Row],[Exp %]]*100</f>
        <v>0.25734395223848838</v>
      </c>
      <c r="AA51" s="19">
        <f>Tabelad[[#This Row],[Exp %]]*Tabelad[[#This Row],[Beta Adj2]]</f>
        <v>3.799749938475803E-3</v>
      </c>
      <c r="AB51" s="36">
        <f>_xll.BDP($B51&amp;" Equity","volatility_10d")</f>
        <v>20.046059067075735</v>
      </c>
      <c r="AC51" s="36" cm="1">
        <f t="array" ref="AC51">_xll.BDP(B51&amp;" EQUITY","eqy_beta")</f>
        <v>1.8499077558517456</v>
      </c>
      <c r="AD51" s="15">
        <f>Tabelad[[#This Row],[D1 P&amp;L bps]]*$AD$5/10000</f>
        <v>-103524.40210361873</v>
      </c>
      <c r="AE51" s="277"/>
      <c r="AF51" s="231" t="str">
        <f>_xll.BDP(B51&amp;" Equity","EXPECTED_REPORT_DT")</f>
        <v>25/02/2026</v>
      </c>
      <c r="AG51" s="172">
        <f>_xll.BDP(B51&amp;" Index","CHG_PCT_1D_PRE_FROM_REGULAR")/100</f>
        <v>-2.0823580000000001E-2</v>
      </c>
      <c r="AH51" s="20">
        <f t="shared" si="10"/>
        <v>-0.42772076917648816</v>
      </c>
      <c r="AI51" s="437" t="str">
        <f>_xll.BDP(B51&amp;" Equity","DVD_EX_DT")</f>
        <v>04/12/2025</v>
      </c>
    </row>
    <row r="52" spans="1:35">
      <c r="B52" s="40" t="s">
        <v>138</v>
      </c>
      <c r="C52" t="s">
        <v>1880</v>
      </c>
      <c r="E52" t="s">
        <v>194</v>
      </c>
      <c r="F52" s="22" t="s">
        <v>100</v>
      </c>
      <c r="G52" s="15"/>
      <c r="H52" s="438">
        <v>2951</v>
      </c>
      <c r="I52" s="36" cm="1">
        <f t="array" ref="I52">_xll.BDP(B52&amp;" Equity","LAST_PRICE")</f>
        <v>78.66</v>
      </c>
      <c r="J52" s="51">
        <f t="shared" si="3"/>
        <v>-3.294475418144982E-3</v>
      </c>
      <c r="K52" s="430" cm="1">
        <f t="array" ref="K52">_xll.BDP(B52&amp;" EQUITY","PX_YEST_CLOSE")</f>
        <v>78.92</v>
      </c>
      <c r="L52" s="53" cm="1">
        <f t="array" ref="L52">_xll.BDP(E52&amp;" Curncy","PX_LAST")</f>
        <v>1</v>
      </c>
      <c r="M52" s="52">
        <v>1</v>
      </c>
      <c r="N52" s="15">
        <f t="shared" si="4"/>
        <v>232125.66</v>
      </c>
      <c r="O52" s="357">
        <f>IFERROR(IF(Tabelad[[#This Row],[D1 Exp USD]]&lt;&gt;0,N52/$AE$7,0),"-")</f>
        <v>9.6873857436874573E-5</v>
      </c>
      <c r="P52" s="20">
        <f>IFERROR(IF(Tabelad[[#This Row],[D1 Exp USD]]&lt;&gt;0,((I52-K52)/L52*M52*H52)/$AD$7*10000,0),"-")</f>
        <v>-3.202034443629276E-3</v>
      </c>
      <c r="Q52" s="15">
        <f>IF(SUM(SUMIFS(Options!$AL$4:$AL$25, Options!$D$4:$D$25, B52), SUMIFS(Options!$AL$4:$AL$25, Options!$D$4:$D$25, B52 &amp; " US"))=0,0,SUM(SUMIFS(Options!$AL$4:$AL$25, Options!$D$4:$D$25, B52), SUMIFS(Options!$AL$4:$AL$25, Options!$D$4:$D$25, B52 &amp; " US")))</f>
        <v>-617754.82910871482</v>
      </c>
      <c r="R52" s="19">
        <f t="shared" si="165"/>
        <v>-2.5780990023256564E-4</v>
      </c>
      <c r="S52" s="20">
        <f>IF(SUM(SUMIFS(Options!$AK$4:$AK$25, Options!$D$4:$D$25, B52), SUMIFS(Options!$AK$4:$AK$25, Options!$D$4:$D$25, B52 &amp; " US"))=0,0,SUM(SUMIFS(Options!$AK$4:$AK$25, Options!$D$4:$D$25, B52), SUMIFS(Options!AK$4:$AK$25, Options!$D$4:$D$25, B52 &amp; " US")))</f>
        <v>1.7423681414581699E-2</v>
      </c>
      <c r="T52" s="13">
        <f t="shared" si="6"/>
        <v>-385629.16910871479</v>
      </c>
      <c r="U52" s="48">
        <f t="shared" si="7"/>
        <v>-1.6093604279569104E-4</v>
      </c>
      <c r="V52" s="20">
        <f t="shared" si="8"/>
        <v>1.4221646970952424E-2</v>
      </c>
      <c r="W52" s="15">
        <f t="shared" si="9"/>
        <v>2132.3606333587591</v>
      </c>
      <c r="X52" s="19"/>
      <c r="Y52" s="375">
        <f>Tabelad[[#This Row],[Exp %]]*$Y$10*$AD$7/Tabelad[[#This Row],[Price Today]]</f>
        <v>-1715.8684107303604</v>
      </c>
      <c r="Z52" s="266">
        <f>Tabelad[[#This Row],[Vol 10d]]/16*Tabelad[[#This Row],[Exp %]]*100</f>
        <v>-3.9390237456478558E-2</v>
      </c>
      <c r="AA52" s="19">
        <f>Tabelad[[#This Row],[Exp %]]*Tabelad[[#This Row],[Beta Adj2]]</f>
        <v>-3.1917203620834535E-4</v>
      </c>
      <c r="AB52" s="36">
        <f>_xll.BDP($B52&amp;" Equity","volatility_10d")</f>
        <v>39.161134346005632</v>
      </c>
      <c r="AC52" s="36" cm="1">
        <f t="array" ref="AC52">_xll.BDP(B52&amp;" EQUITY","eqy_beta")</f>
        <v>1.9832228422164917</v>
      </c>
      <c r="AD52" s="15">
        <f>Tabelad[[#This Row],[D1 P&amp;L bps]]*$AD$5/10000</f>
        <v>-719.18816493352233</v>
      </c>
      <c r="AE52" s="277"/>
      <c r="AF52" s="231" t="str">
        <f>_xll.BDP(B52&amp;" Equity","EXPECTED_REPORT_DT")</f>
        <v>05/03/2026</v>
      </c>
      <c r="AG52" s="172">
        <f>_xll.BDP(B52&amp;" Index","CHG_PCT_1D_PRE_FROM_REGULAR")/100</f>
        <v>-1.5331969999999999E-2</v>
      </c>
      <c r="AH52" s="20">
        <f t="shared" si="10"/>
        <v>2.4674665800622515E-2</v>
      </c>
      <c r="AI52" s="437" t="str">
        <f>_xll.BDP(B52&amp;" Equity","DVD_EX_DT")</f>
        <v>09/01/2026</v>
      </c>
    </row>
    <row r="53" spans="1:35">
      <c r="B53" s="40" t="s">
        <v>2128</v>
      </c>
      <c r="C53" t="s">
        <v>2129</v>
      </c>
      <c r="E53" t="s">
        <v>194</v>
      </c>
      <c r="F53" s="22" t="s">
        <v>99</v>
      </c>
      <c r="G53" s="15"/>
      <c r="H53" s="438">
        <v>35500</v>
      </c>
      <c r="I53" s="36" cm="1">
        <f t="array" ref="I53">_xll.BDP(B53&amp;" Equity","LAST_PRICE")</f>
        <v>15.32</v>
      </c>
      <c r="J53" s="51">
        <f>I53/K53-1</f>
        <v>-9.6961861667744786E-3</v>
      </c>
      <c r="K53" s="430" cm="1">
        <f t="array" ref="K53">_xll.BDP(B53&amp;" EQUITY","PX_YEST_CLOSE")</f>
        <v>15.47</v>
      </c>
      <c r="L53" s="53" cm="1">
        <f t="array" ref="L53">_xll.BDP(E53&amp;" Curncy","PX_LAST")</f>
        <v>1</v>
      </c>
      <c r="M53" s="52">
        <v>1</v>
      </c>
      <c r="N53" s="15">
        <f>IFERROR(IF(((I53/L53)*H53*M53)&lt;&gt;0,((I53/L53)*H53*M53),0),"-")</f>
        <v>543860</v>
      </c>
      <c r="O53" s="357">
        <f>IFERROR(IF(Tabelad[[#This Row],[D1 Exp USD]]&lt;&gt;0,N53/$AE$7,0),"-")</f>
        <v>2.269710987816625E-4</v>
      </c>
      <c r="P53" s="20">
        <f>IFERROR(IF(Tabelad[[#This Row],[D1 Exp USD]]&lt;&gt;0,((I53-K53)/L53*M53*H53)/$AD$7*10000,0),"-")</f>
        <v>-2.2223018810215052E-2</v>
      </c>
      <c r="Q53" s="15">
        <f>IF(SUM(SUMIFS(Options!$AL$4:$AL$25, Options!$D$4:$D$25, B53), SUMIFS(Options!$AL$4:$AL$25, Options!$D$4:$D$25, B53 &amp; " US"))=0,0,SUM(SUMIFS(Options!$AL$4:$AL$25, Options!$D$4:$D$25, B53), SUMIFS(Options!$AL$4:$AL$25, Options!$D$4:$D$25, B53 &amp; " US")))</f>
        <v>0</v>
      </c>
      <c r="R53" s="19">
        <f t="shared" si="165"/>
        <v>0</v>
      </c>
      <c r="S53" s="20">
        <f>IF(SUM(SUMIFS(Options!$AK$4:$AK$25, Options!$D$4:$D$25, B53), SUMIFS(Options!$AK$4:$AK$25, Options!$D$4:$D$25, B53 &amp; " US"))=0,0,SUM(SUMIFS(Options!$AK$4:$AK$25, Options!$D$4:$D$25, B53), SUMIFS(Options!AK$4:$AK$25, Options!$D$4:$D$25, B53 &amp; " US")))</f>
        <v>0</v>
      </c>
      <c r="T53" s="13">
        <f>N53+Q53</f>
        <v>543860</v>
      </c>
      <c r="U53" s="48">
        <f>T53/$AE$7</f>
        <v>2.269710987816625E-4</v>
      </c>
      <c r="V53" s="20">
        <f>P53+S53</f>
        <v>-2.2223018810215052E-2</v>
      </c>
      <c r="W53" s="15">
        <f>$W$10/(I53/L53*M53)</f>
        <v>10948.530510443863</v>
      </c>
      <c r="X53" s="19"/>
      <c r="Y53" s="375">
        <f>Tabelad[[#This Row],[Exp %]]*$Y$10*$AD$7/Tabelad[[#This Row],[Price Today]]</f>
        <v>12425</v>
      </c>
      <c r="Z53" s="266">
        <f>Tabelad[[#This Row],[Vol 10d]]/16*Tabelad[[#This Row],[Exp %]]*100</f>
        <v>0.11316307506992511</v>
      </c>
      <c r="AA53" s="19">
        <f>Tabelad[[#This Row],[Exp %]]*Tabelad[[#This Row],[Beta Adj2]]</f>
        <v>4.7025365648295986E-4</v>
      </c>
      <c r="AB53" s="36">
        <f>_xll.BDP($B53&amp;" Equity","volatility_10d")</f>
        <v>79.772676382050662</v>
      </c>
      <c r="AC53" s="36" cm="1">
        <f t="array" ref="AC53">_xll.BDP(B53&amp;" EQUITY","eqy_beta")</f>
        <v>2.0718657970428467</v>
      </c>
      <c r="AD53" s="15">
        <f>Tabelad[[#This Row],[D1 P&amp;L bps]]*$AD$5/10000</f>
        <v>-4991.3679564566646</v>
      </c>
      <c r="AE53" s="277"/>
      <c r="AF53" s="231" t="str">
        <f>_xll.BDP(B53&amp;" Equity","EXPECTED_REPORT_DT")</f>
        <v>24/02/2026</v>
      </c>
      <c r="AG53" s="172">
        <f>_xll.BDP(B53&amp;" Index","CHG_PCT_1D_PRE_FROM_REGULAR")/100</f>
        <v>-2.3917250000000001E-2</v>
      </c>
      <c r="AH53" s="20">
        <f>(T53*AG53)/$AD$7*10000</f>
        <v>-5.4285245123357168E-2</v>
      </c>
      <c r="AI53" s="437" t="str">
        <f>_xll.BDP(B53&amp;" Equity","DVD_EX_DT")</f>
        <v>12/10/2017</v>
      </c>
    </row>
    <row r="54" spans="1:35">
      <c r="B54" s="40" t="s">
        <v>88</v>
      </c>
      <c r="C54" t="s">
        <v>2247</v>
      </c>
      <c r="E54" t="s">
        <v>194</v>
      </c>
      <c r="F54" s="22" t="s">
        <v>99</v>
      </c>
      <c r="G54" s="15"/>
      <c r="H54" s="438">
        <v>45750</v>
      </c>
      <c r="I54" s="36" cm="1">
        <f t="array" ref="I54">_xll.BDP(B54&amp;" Equity","LAST_PRICE")</f>
        <v>54.03</v>
      </c>
      <c r="J54" s="51">
        <f t="shared" ref="J54:J56" si="188">I54/K54-1</f>
        <v>1.104041916167664E-2</v>
      </c>
      <c r="K54" s="430" cm="1">
        <f t="array" ref="K54">_xll.BDP(B54&amp;" EQUITY","PX_YEST_CLOSE")</f>
        <v>53.44</v>
      </c>
      <c r="L54" s="53" cm="1">
        <f t="array" ref="L54">_xll.BDP(E54&amp;" Curncy","PX_LAST")</f>
        <v>1</v>
      </c>
      <c r="M54" s="52">
        <v>1</v>
      </c>
      <c r="N54" s="15">
        <f t="shared" ref="N54:N56" si="189">IFERROR(IF(((I54/L54)*H54*M54)&lt;&gt;0,((I54/L54)*H54*M54),0),"-")</f>
        <v>2471872.5</v>
      </c>
      <c r="O54" s="357">
        <f>IFERROR(IF(Tabelad[[#This Row],[D1 Exp USD]]&lt;&gt;0,N54/$AE$7,0),"-")</f>
        <v>1.0315956631728295E-3</v>
      </c>
      <c r="P54" s="20">
        <f>IFERROR(IF(Tabelad[[#This Row],[D1 Exp USD]]&lt;&gt;0,((I54-K54)/L54*M54*H54)/$AD$7*10000,0),"-")</f>
        <v>0.11264879534924541</v>
      </c>
      <c r="Q54" s="15">
        <f>IF(SUM(SUMIFS(Options!$AL$4:$AL$25, Options!$D$4:$D$25, B54), SUMIFS(Options!$AL$4:$AL$25, Options!$D$4:$D$25, B54 &amp; " US"))=0,0,SUM(SUMIFS(Options!$AL$4:$AL$25, Options!$D$4:$D$25, B54), SUMIFS(Options!$AL$4:$AL$25, Options!$D$4:$D$25, B54 &amp; " US")))</f>
        <v>0</v>
      </c>
      <c r="R54" s="19">
        <f t="shared" si="165"/>
        <v>0</v>
      </c>
      <c r="S54" s="20">
        <f>IF(SUM(SUMIFS(Options!$AK$4:$AK$25, Options!$D$4:$D$25, B54), SUMIFS(Options!$AK$4:$AK$25, Options!$D$4:$D$25, B54 &amp; " US"))=0,0,SUM(SUMIFS(Options!$AK$4:$AK$25, Options!$D$4:$D$25, B54), SUMIFS(Options!AK$4:$AK$25, Options!$D$4:$D$25, B54 &amp; " US")))</f>
        <v>0</v>
      </c>
      <c r="T54" s="13">
        <f t="shared" ref="T54:T56" si="190">N54+Q54</f>
        <v>2471872.5</v>
      </c>
      <c r="U54" s="48">
        <f t="shared" ref="U54:U56" si="191">T54/$AE$7</f>
        <v>1.0315956631728295E-3</v>
      </c>
      <c r="V54" s="20">
        <f t="shared" ref="V54:V56" si="192">P54+S54</f>
        <v>0.11264879534924541</v>
      </c>
      <c r="W54" s="15">
        <f t="shared" ref="W54:W56" si="193">$W$10/(I54/L54*M54)</f>
        <v>3104.4139814917635</v>
      </c>
      <c r="X54" s="19"/>
      <c r="Y54" s="375">
        <f>Tabelad[[#This Row],[Exp %]]*$Y$10*$AD$7/Tabelad[[#This Row],[Price Today]]</f>
        <v>16012.5</v>
      </c>
      <c r="Z54" s="266">
        <f>Tabelad[[#This Row],[Vol 10d]]/16*Tabelad[[#This Row],[Exp %]]*100</f>
        <v>8.5415899958658906E-2</v>
      </c>
      <c r="AA54" s="19">
        <f>Tabelad[[#This Row],[Exp %]]*Tabelad[[#This Row],[Beta Adj2]]</f>
        <v>1.0314369629208539E-3</v>
      </c>
      <c r="AB54" s="36">
        <f>_xll.BDP($B54&amp;" Equity","volatility_10d")</f>
        <v>13.247965730441216</v>
      </c>
      <c r="AC54" s="36">
        <f>_xll.BDP(B54&amp;" EQUITY","eqy_beta")</f>
        <v>0.99984616041183472</v>
      </c>
      <c r="AD54" s="15">
        <f>Tabelad[[#This Row],[D1 P&amp;L bps]]*$AD$5/10000</f>
        <v>25301.314472236048</v>
      </c>
      <c r="AE54" s="277"/>
      <c r="AF54" s="231" t="str">
        <f>_xll.BDP(B54&amp;" Equity","EXPECTED_REPORT_DT")</f>
        <v>#N/A N/A</v>
      </c>
      <c r="AG54" s="172">
        <f>_xll.BDP(B54&amp;" Index","CHG_PCT_1D_PRE_FROM_REGULAR")/100</f>
        <v>3.7426010000000005E-4</v>
      </c>
      <c r="AH54" s="20">
        <f t="shared" ref="AH54:AH56" si="194">(T54*AG54)/$AD$7*10000</f>
        <v>3.8608509605862953E-3</v>
      </c>
      <c r="AI54" s="437" t="str">
        <f>_xll.BDP(B54&amp;" Equity","DVD_EX_DT")</f>
        <v>22/12/2025</v>
      </c>
    </row>
    <row r="55" spans="1:35">
      <c r="B55" s="40" t="s">
        <v>2261</v>
      </c>
      <c r="C55" t="s">
        <v>2247</v>
      </c>
      <c r="E55" t="s">
        <v>194</v>
      </c>
      <c r="F55" s="22" t="s">
        <v>100</v>
      </c>
      <c r="G55" s="15"/>
      <c r="H55" s="438">
        <v>-11500</v>
      </c>
      <c r="I55" s="36" cm="1">
        <f t="array" ref="I55">_xll.BDP(B55&amp;" Equity","LAST_PRICE")</f>
        <v>23.5</v>
      </c>
      <c r="J55" s="51">
        <f t="shared" ref="J55" si="195">I55/K55-1</f>
        <v>-1.0109519797809496E-2</v>
      </c>
      <c r="K55" s="430" cm="1">
        <f t="array" ref="K55">_xll.BDP(B55&amp;" EQUITY","PX_YEST_CLOSE")</f>
        <v>23.74</v>
      </c>
      <c r="L55" s="53" cm="1">
        <f t="array" ref="L55">_xll.BDP(E55&amp;" Curncy","PX_LAST")</f>
        <v>1</v>
      </c>
      <c r="M55" s="52">
        <v>1</v>
      </c>
      <c r="N55" s="15">
        <f t="shared" ref="N55" si="196">IFERROR(IF(((I55/L55)*H55*M55)&lt;&gt;0,((I55/L55)*H55*M55),0),"-")</f>
        <v>-270250</v>
      </c>
      <c r="O55" s="357">
        <f>IFERROR(IF(Tabelad[[#This Row],[D1 Exp USD]]&lt;&gt;0,N55/$AE$7,0),"-")</f>
        <v>-1.1278442879738221E-4</v>
      </c>
      <c r="P55" s="20">
        <f>IFERROR(IF(Tabelad[[#This Row],[D1 Exp USD]]&lt;&gt;0,((I55-K55)/L55*M55*H55)/$AD$7*10000,0),"-")</f>
        <v>1.1518409749519809E-2</v>
      </c>
      <c r="Q55" s="15">
        <f>IF(SUM(SUMIFS(Options!$AL$4:$AL$25, Options!$D$4:$D$25, B55), SUMIFS(Options!$AL$4:$AL$25, Options!$D$4:$D$25, B55 &amp; " US"))=0,0,SUM(SUMIFS(Options!$AL$4:$AL$25, Options!$D$4:$D$25, B55), SUMIFS(Options!$AL$4:$AL$25, Options!$D$4:$D$25, B55 &amp; " US")))</f>
        <v>0</v>
      </c>
      <c r="R55" s="19">
        <f t="shared" si="165"/>
        <v>0</v>
      </c>
      <c r="S55" s="20">
        <f>IF(SUM(SUMIFS(Options!$AK$4:$AK$25, Options!$D$4:$D$25, B55), SUMIFS(Options!$AK$4:$AK$25, Options!$D$4:$D$25, B55 &amp; " US"))=0,0,SUM(SUMIFS(Options!$AK$4:$AK$25, Options!$D$4:$D$25, B55), SUMIFS(Options!AK$4:$AK$25, Options!$D$4:$D$25, B55 &amp; " US")))</f>
        <v>0</v>
      </c>
      <c r="T55" s="13">
        <f t="shared" ref="T55" si="197">N55+Q55</f>
        <v>-270250</v>
      </c>
      <c r="U55" s="48">
        <f t="shared" ref="U55" si="198">T55/$AE$7</f>
        <v>-1.1278442879738221E-4</v>
      </c>
      <c r="V55" s="20">
        <f t="shared" ref="V55" si="199">P55+S55</f>
        <v>1.1518409749519809E-2</v>
      </c>
      <c r="W55" s="15">
        <f t="shared" ref="W55" si="200">$W$10/(I55/L55*M55)</f>
        <v>7137.5101029787229</v>
      </c>
      <c r="X55" s="19"/>
      <c r="Y55" s="375">
        <f>Tabelad[[#This Row],[Exp %]]*$Y$10*$AD$7/Tabelad[[#This Row],[Price Today]]</f>
        <v>-4025</v>
      </c>
      <c r="Z55" s="266">
        <f>Tabelad[[#This Row],[Vol 10d]]/16*Tabelad[[#This Row],[Exp %]]*100</f>
        <v>-3.0400879389005247E-2</v>
      </c>
      <c r="AA55" s="19">
        <f>Tabelad[[#This Row],[Exp %]]*Tabelad[[#This Row],[Beta Adj2]]</f>
        <v>-4.1167729306561717E-5</v>
      </c>
      <c r="AB55" s="36">
        <f>_xll.BDP($B55&amp;" Equity","volatility_10d")</f>
        <v>43.12776820441492</v>
      </c>
      <c r="AC55" s="36">
        <f>_xll.BDP(B55&amp;" EQUITY","eqy_beta")</f>
        <v>0.365012526512146</v>
      </c>
      <c r="AD55" s="15">
        <f>Tabelad[[#This Row],[D1 P&amp;L bps]]*$AD$5/10000</f>
        <v>2587.0752225014589</v>
      </c>
      <c r="AE55" s="277"/>
      <c r="AF55" s="231" t="str">
        <f>_xll.BDP(B55&amp;" Equity","EXPECTED_REPORT_DT")</f>
        <v>11/02/2026</v>
      </c>
      <c r="AG55" s="172" t="e">
        <f>_xll.BDP(B55&amp;" Index","CHG_PCT_1D_PRE_FROM_REGULAR")/100</f>
        <v>#VALUE!</v>
      </c>
      <c r="AH55" s="20" t="e">
        <f t="shared" ref="AH55" si="201">(T55*AG55)/$AD$7*10000</f>
        <v>#VALUE!</v>
      </c>
      <c r="AI55" s="437" t="str">
        <f>_xll.BDP(B55&amp;" Equity","DVD_EX_DT")</f>
        <v>28/11/2025</v>
      </c>
    </row>
    <row r="56" spans="1:35">
      <c r="B56" s="40" t="s">
        <v>4</v>
      </c>
      <c r="C56" t="s">
        <v>2247</v>
      </c>
      <c r="E56" t="s">
        <v>194</v>
      </c>
      <c r="F56" s="22" t="s">
        <v>100</v>
      </c>
      <c r="G56" s="15"/>
      <c r="H56" s="438">
        <v>-27500</v>
      </c>
      <c r="I56" s="36" cm="1">
        <f t="array" ref="I56">_xll.BDP(B56&amp;" Equity","LAST_PRICE")</f>
        <v>84.5</v>
      </c>
      <c r="J56" s="51">
        <f t="shared" si="188"/>
        <v>1.1854867680517245E-2</v>
      </c>
      <c r="K56" s="430" cm="1">
        <f t="array" ref="K56">_xll.BDP(B56&amp;" EQUITY","PX_YEST_CLOSE")</f>
        <v>83.51</v>
      </c>
      <c r="L56" s="53" cm="1">
        <f t="array" ref="L56">_xll.BDP(E56&amp;" Curncy","PX_LAST")</f>
        <v>1</v>
      </c>
      <c r="M56" s="52">
        <v>1</v>
      </c>
      <c r="N56" s="15">
        <f t="shared" si="189"/>
        <v>-2323750</v>
      </c>
      <c r="O56" s="357">
        <f>IFERROR(IF(Tabelad[[#This Row],[D1 Exp USD]]&lt;&gt;0,N56/$AE$7,0),"-")</f>
        <v>-9.697791541828563E-4</v>
      </c>
      <c r="P56" s="20">
        <f>IFERROR(IF(Tabelad[[#This Row],[D1 Exp USD]]&lt;&gt;0,((I56-K56)/L56*M56*H56)/$AD$7*10000,0),"-")</f>
        <v>-0.11361909617053524</v>
      </c>
      <c r="Q56" s="15">
        <f>IF(SUM(SUMIFS(Options!$AL$4:$AL$25, Options!$D$4:$D$25, B56), SUMIFS(Options!$AL$4:$AL$25, Options!$D$4:$D$25, B56 &amp; " US"))=0,0,SUM(SUMIFS(Options!$AL$4:$AL$25, Options!$D$4:$D$25, B56), SUMIFS(Options!$AL$4:$AL$25, Options!$D$4:$D$25, B56 &amp; " US")))</f>
        <v>0</v>
      </c>
      <c r="R56" s="19">
        <f t="shared" si="165"/>
        <v>0</v>
      </c>
      <c r="S56" s="20">
        <f>IF(SUM(SUMIFS(Options!$AK$4:$AK$25, Options!$D$4:$D$25, B56), SUMIFS(Options!$AK$4:$AK$25, Options!$D$4:$D$25, B56 &amp; " US"))=0,0,SUM(SUMIFS(Options!$AK$4:$AK$25, Options!$D$4:$D$25, B56), SUMIFS(Options!AK$4:$AK$25, Options!$D$4:$D$25, B56 &amp; " US")))</f>
        <v>0</v>
      </c>
      <c r="T56" s="13">
        <f t="shared" si="190"/>
        <v>-2323750</v>
      </c>
      <c r="U56" s="48">
        <f t="shared" si="191"/>
        <v>-9.697791541828563E-4</v>
      </c>
      <c r="V56" s="20">
        <f t="shared" si="192"/>
        <v>-0.11361909617053524</v>
      </c>
      <c r="W56" s="15">
        <f t="shared" si="193"/>
        <v>1984.9880168047337</v>
      </c>
      <c r="X56" s="19"/>
      <c r="Y56" s="375">
        <f>Tabelad[[#This Row],[Exp %]]*$Y$10*$AD$7/Tabelad[[#This Row],[Price Today]]</f>
        <v>-9625</v>
      </c>
      <c r="Z56" s="266">
        <f>Tabelad[[#This Row],[Vol 10d]]/16*Tabelad[[#This Row],[Exp %]]*100</f>
        <v>-7.7263729244244031E-2</v>
      </c>
      <c r="AA56" s="19">
        <f>Tabelad[[#This Row],[Exp %]]*Tabelad[[#This Row],[Beta Adj2]]</f>
        <v>-9.7248700954198446E-4</v>
      </c>
      <c r="AB56" s="36">
        <f>_xll.BDP($B56&amp;" Equity","volatility_10d")</f>
        <v>12.747434945119574</v>
      </c>
      <c r="AC56" s="36">
        <f>_xll.BDP(B56&amp;" EQUITY","eqy_beta")</f>
        <v>1.0027922391891479</v>
      </c>
      <c r="AD56" s="15">
        <f>Tabelad[[#This Row],[D1 P&amp;L bps]]*$AD$5/10000</f>
        <v>-25519.247439348666</v>
      </c>
      <c r="AE56" s="277"/>
      <c r="AF56" s="231" t="str">
        <f>_xll.BDP(B56&amp;" Equity","EXPECTED_REPORT_DT")</f>
        <v>#N/A N/A</v>
      </c>
      <c r="AG56" s="172">
        <f>_xll.BDP(B56&amp;" Index","CHG_PCT_1D_PRE_FROM_REGULAR")/100</f>
        <v>2.6344299999999997E-3</v>
      </c>
      <c r="AH56" s="20">
        <f t="shared" si="194"/>
        <v>-2.5548152971539419E-2</v>
      </c>
      <c r="AI56" s="437" t="str">
        <f>_xll.BDP(B56&amp;" Equity","DVD_EX_DT")</f>
        <v>22/12/2025</v>
      </c>
    </row>
    <row r="57" spans="1:35">
      <c r="C57" s="40"/>
      <c r="D57" s="40"/>
      <c r="E57" s="40"/>
      <c r="H57" s="13"/>
      <c r="I57" s="53"/>
      <c r="K57" s="53"/>
      <c r="L57" s="53"/>
      <c r="M57" s="36"/>
      <c r="S57" s="277"/>
      <c r="U57" s="71"/>
      <c r="V57" s="65"/>
      <c r="X57" s="53"/>
      <c r="Y57" s="436"/>
      <c r="Z57" s="19"/>
      <c r="AG57" s="53"/>
      <c r="AI57" s="48"/>
    </row>
    <row r="58" spans="1:35">
      <c r="C58" s="21"/>
      <c r="D58" s="21"/>
      <c r="E58" s="21"/>
      <c r="H58" s="13"/>
      <c r="L58" s="3"/>
      <c r="S58" s="276"/>
    </row>
    <row r="59" spans="1:35">
      <c r="C59" s="21"/>
      <c r="D59" s="21"/>
      <c r="E59" s="21"/>
      <c r="H59" s="13"/>
      <c r="L59" s="3"/>
      <c r="S59" s="276"/>
    </row>
    <row r="60" spans="1:35">
      <c r="C60" s="21"/>
      <c r="D60" s="21"/>
      <c r="E60" s="21"/>
      <c r="H60" s="13"/>
      <c r="L60" s="3"/>
      <c r="S60" s="276"/>
    </row>
    <row r="61" spans="1:35">
      <c r="C61" s="21"/>
      <c r="D61" s="21"/>
      <c r="E61" s="21"/>
      <c r="H61" s="13"/>
      <c r="S61" s="276"/>
    </row>
    <row r="62" spans="1:35">
      <c r="C62" s="21"/>
      <c r="D62" s="21"/>
      <c r="E62" s="21"/>
      <c r="H62" s="13"/>
      <c r="S62" s="276"/>
    </row>
    <row r="63" spans="1:35">
      <c r="C63" s="21"/>
      <c r="D63" s="21"/>
      <c r="E63" s="21"/>
      <c r="H63" s="13"/>
    </row>
    <row r="64" spans="1:35">
      <c r="C64" s="21"/>
      <c r="D64" s="21"/>
      <c r="E64" s="21"/>
    </row>
    <row r="65" spans="3:5">
      <c r="C65" s="21"/>
      <c r="D65" s="21"/>
      <c r="E65" s="21"/>
    </row>
    <row r="66" spans="3:5">
      <c r="C66" s="21"/>
      <c r="D66" s="21"/>
      <c r="E66" s="21"/>
    </row>
    <row r="67" spans="3:5">
      <c r="C67" s="21"/>
      <c r="D67" s="21"/>
      <c r="E67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56">
    <cfRule type="colorScale" priority="563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56">
    <cfRule type="colorScale" priority="563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3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56">
    <cfRule type="dataBar" priority="56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56">
    <cfRule type="colorScale" priority="563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56">
    <cfRule type="dataBar" priority="5639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56">
    <cfRule type="colorScale" priority="563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56">
    <cfRule type="colorScale" priority="563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3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56">
    <cfRule type="colorScale" priority="56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56">
    <cfRule type="colorScale" priority="564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AB12:AB56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AC12:AC56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6"/>
  <sheetViews>
    <sheetView zoomScale="80" zoomScaleNormal="8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AG17" activeCellId="1" sqref="AG22 AG17"/>
    </sheetView>
  </sheetViews>
  <sheetFormatPr defaultRowHeight="15" outlineLevelCol="1"/>
  <cols>
    <col min="1" max="1" width="4.425781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6">
        <f>'Master P&amp;L'!V10</f>
        <v>2.1792365808973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1696</v>
      </c>
      <c r="K1" s="74" t="str">
        <f>_xll.BDP(B1&amp;" index","PX_YEST_CLOSE")</f>
        <v>#N/A Requesting Data...</v>
      </c>
      <c r="L1" s="74" t="str">
        <f>_xll.BDP($B1&amp;" Index","mid")</f>
        <v>#N/A Requesting Data...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>
        <f>SUM(V4:V25)</f>
        <v>24.724955127927295</v>
      </c>
      <c r="W1" s="50">
        <f>SUM(W4:W25)</f>
        <v>21.483753917812834</v>
      </c>
      <c r="X1" s="50">
        <f>SUM(X4:X25)</f>
        <v>28.879999999999995</v>
      </c>
      <c r="Y1" s="269"/>
      <c r="AG1" s="43"/>
      <c r="AI1" s="415">
        <f>SUM(AI4:AI25)*252</f>
        <v>-30.33884621534494</v>
      </c>
      <c r="AJ1" s="415"/>
      <c r="AK1" s="363" t="s">
        <v>1902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1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1781</v>
      </c>
      <c r="AD3" s="10" t="s">
        <v>1780</v>
      </c>
      <c r="AE3" s="10" t="s">
        <v>1782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2121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1843</v>
      </c>
      <c r="BB3" s="10" t="s">
        <v>1846</v>
      </c>
      <c r="BC3" s="10" t="s">
        <v>1847</v>
      </c>
      <c r="BD3" s="10" t="s">
        <v>1848</v>
      </c>
    </row>
    <row r="4" spans="1:56">
      <c r="A4" s="335"/>
      <c r="B4" s="73" t="s">
        <v>2224</v>
      </c>
      <c r="C4" s="73" t="str" cm="1">
        <f t="array" ref="C4">_xll.BDP($B4&amp;" Equity","opt_put_call")</f>
        <v>Call</v>
      </c>
      <c r="D4" s="73" t="str" cm="1">
        <f t="array" ref="D4">_xll.BDP(B4&amp;" Equity","OPT_UNDL_TICKER")</f>
        <v>ASHR US</v>
      </c>
      <c r="E4" s="73" t="str" cm="1">
        <f t="array" ref="E4">_xll.BDP($B4&amp;" Equity","mifid_Maturity_date")</f>
        <v>20/02/2026</v>
      </c>
      <c r="F4" s="73" cm="1">
        <f t="array" ref="F4">_xll.BDP($B4&amp;" Equity","opt_days_expire")</f>
        <v>18</v>
      </c>
      <c r="G4" s="73" t="str" cm="1">
        <f t="array" ref="G4">_xll.BDP(B4&amp;" Equity","QUOTED_CURRENCY_REALTIME")</f>
        <v>USD</v>
      </c>
      <c r="H4" s="42">
        <v>1000</v>
      </c>
      <c r="I4" s="409">
        <v>0.48</v>
      </c>
      <c r="J4" s="14">
        <f>VLOOKUP(B4,Precificação!$B:$O,14,FALSE)</f>
        <v>0.15248078296945977</v>
      </c>
      <c r="K4" s="14">
        <f t="shared" ref="K4" si="0">+J4</f>
        <v>0.15248078296945977</v>
      </c>
      <c r="L4" s="74" cm="1">
        <f t="array" ref="L4">_xll.BDP($B4&amp;" Equity","mid")</f>
        <v>0.11</v>
      </c>
      <c r="M4" s="75">
        <f t="shared" ref="M4:M25" si="1">L4/Z4</f>
        <v>3.3252720677146314E-3</v>
      </c>
      <c r="N4" s="352"/>
      <c r="O4" s="75">
        <f t="shared" ref="O4:O25" si="2">L4/K4-1</f>
        <v>-0.27859761828458218</v>
      </c>
      <c r="P4" s="74" cm="1">
        <f t="array" ref="P4">_xll.BDP($B4&amp;" Equity","bid")</f>
        <v>0.08</v>
      </c>
      <c r="Q4" s="74" cm="1">
        <f t="array" ref="Q4">_xll.BDP($B4&amp;" Equity","ask")</f>
        <v>0.14000000000000001</v>
      </c>
      <c r="R4" s="76">
        <f t="shared" ref="R4:R25" si="3">(Q4/P4-1)</f>
        <v>0.75000000000000022</v>
      </c>
      <c r="S4" s="36" cm="1">
        <f t="array" ref="S4">_xll.BDP(G4&amp;" Curncy","PX_LAST")</f>
        <v>1</v>
      </c>
      <c r="T4" s="42" cm="1">
        <f t="array" ref="T4">_xll.BDP(B4&amp;" Equity","OPT_MULTIPLIER")</f>
        <v>100</v>
      </c>
      <c r="U4" s="42">
        <f t="shared" ref="U4:U25" si="4">(L4/S4)*H4*T4</f>
        <v>11000</v>
      </c>
      <c r="V4" s="113">
        <f>U4/'Master P&amp;L'!$AD$7*10000</f>
        <v>4.5906705523448818E-2</v>
      </c>
      <c r="W4" s="113">
        <f>(Y4*H4*T4/S4)/'Master P&amp;L'!$AD$7*10000</f>
        <v>4.5906705523448818E-2</v>
      </c>
      <c r="X4" s="118">
        <f t="shared" ref="X4:X25" si="5">IF(C4="Put",IF(Z4&lt;AA4,AA4-Z4,0),IF(Z4&gt;AA4,Z4-AA4,0))</f>
        <v>0</v>
      </c>
      <c r="Y4" s="272">
        <f t="shared" ref="Y4:Y25" si="6">L4-X4</f>
        <v>0.11</v>
      </c>
      <c r="Z4" s="77">
        <f>_xll.BDP(D4&amp;" Equity","LAST_PRICE")</f>
        <v>33.08</v>
      </c>
      <c r="AA4" s="77" cm="1">
        <f t="array" ref="AA4">_xll.BDP(B4&amp;" Equity","OPT_STRIKE_PX")</f>
        <v>35</v>
      </c>
      <c r="AB4" s="76">
        <f t="shared" ref="AB4:AB25" si="7">AA4/Z4-1</f>
        <v>5.8041112454655375E-2</v>
      </c>
      <c r="AC4" s="323" cm="1">
        <f t="array" ref="AC4">_xll.BDP($D4&amp;" Equity","volatility_10d")</f>
        <v>12.671177302514275</v>
      </c>
      <c r="AD4" s="77" cm="1">
        <f t="array" ref="AD4">_xll.BDP(B4&amp;" Equity","ivol_mid")</f>
        <v>21.30256</v>
      </c>
      <c r="AE4" s="77">
        <f t="shared" ref="AE4:AE25" si="8">AD4/AC4</f>
        <v>1.6811823788286069</v>
      </c>
      <c r="AF4" s="78" cm="1">
        <f t="array" ref="AF4">_xll.BDP(B4&amp;" Equity","DELTA_MID_RT")</f>
        <v>0.13637913763523102</v>
      </c>
      <c r="AG4" s="75">
        <f>AL4/'Master P&amp;L'!$AE$7</f>
        <v>1.8827683219512515E-4</v>
      </c>
      <c r="AH4" s="75">
        <f>AM4/'Master P&amp;L'!$AE$7</f>
        <v>1.380539835196079E-3</v>
      </c>
      <c r="AI4" s="427">
        <f>AO4/'Master P&amp;L'!$AD$7*10000</f>
        <v>-3.9317889971593103E-3</v>
      </c>
      <c r="AJ4" s="350">
        <f t="shared" ref="AJ4:AJ25" si="9">(252*AI4)/$AI$1</f>
        <v>3.2658157803740366E-2</v>
      </c>
      <c r="AK4" s="78">
        <f>AP4/'Master P&amp;L'!$AD$7*10000</f>
        <v>-1.7728661765313902E-2</v>
      </c>
      <c r="AL4" s="42">
        <f t="shared" ref="AL4:AL25" si="10">Z4*AF4*H4*T4/S4</f>
        <v>451142.18729734409</v>
      </c>
      <c r="AM4" s="42">
        <f t="shared" ref="AM4:AM25" si="11">IF(C4="Put",-Z4*H4*T4/S4,Z4*H4*T4/S4)</f>
        <v>3308000</v>
      </c>
      <c r="AN4" s="78" cm="1">
        <f t="array" ref="AN4">_xll.BDP($B4&amp;" Equity","theta_mid_rt")</f>
        <v>-9.4212116673588753E-3</v>
      </c>
      <c r="AO4" s="42">
        <f t="shared" ref="AO4:AO25" si="12">AN4*H4*T4/S4</f>
        <v>-942.12116673588753</v>
      </c>
      <c r="AP4" s="42">
        <f t="shared" ref="AP4:AP25" si="13">(L4-K4)*T4/S4*H4</f>
        <v>-4248.0782969459769</v>
      </c>
      <c r="AQ4" s="74" t="str" cm="1">
        <f t="array" ref="AQ4">_xll.BDP($D4&amp;" Equity","EXPECTED_REPORT_DT")</f>
        <v>#N/A N/A</v>
      </c>
      <c r="AR4" s="235" cm="1">
        <f t="array" ref="AR4">_xll.BDP($B4&amp;" Equity","GAMMA_LAST")</f>
        <v>4.3548999999999997E-2</v>
      </c>
      <c r="AS4" s="73">
        <f t="shared" ref="AS4:AS25" si="14">$Z4*($AR4*$Z4*$AS$3)*$H4*$T4/$S4</f>
        <v>47655.078433599985</v>
      </c>
      <c r="AT4" s="73">
        <f t="shared" ref="AT4:AT25" si="15">$Z4*($AR4*$Z4*$AT$3)*$H4*$T4/$S4</f>
        <v>238275.39216800002</v>
      </c>
      <c r="AU4" s="73" t="s">
        <v>151</v>
      </c>
      <c r="AV4" s="322" t="e" cm="1">
        <f t="array" ref="AV4">_xll.BDP($D4&amp;" Equity","EST_PE_NXT_YR")*(AA4/Z4)</f>
        <v>#VALUE!</v>
      </c>
      <c r="AW4" s="73"/>
      <c r="AX4" s="42"/>
      <c r="AY4" s="322">
        <v>0.11</v>
      </c>
      <c r="AZ4" s="354"/>
      <c r="BA4" s="42">
        <f t="shared" ref="BA4:BA25" si="16">+AY4</f>
        <v>0.11</v>
      </c>
      <c r="BB4" s="346">
        <f t="shared" ref="BB4:BB25" si="17">+J4</f>
        <v>0.15248078296945977</v>
      </c>
      <c r="BC4" s="346">
        <f t="shared" ref="BC4:BC25" si="18">(BB4-BA4)*H4*100</f>
        <v>4248.0782969459779</v>
      </c>
      <c r="BD4" s="346">
        <f>BC4/'Master P&amp;L'!$AD$7*10000</f>
        <v>1.7728661765313906E-2</v>
      </c>
    </row>
    <row r="5" spans="1:56" s="59" customFormat="1">
      <c r="A5" s="356"/>
      <c r="B5" t="s">
        <v>2102</v>
      </c>
      <c r="C5" t="str" cm="1">
        <f t="array" ref="C5">_xll.BDP($B5&amp;" Equity","opt_put_call")</f>
        <v>Call</v>
      </c>
      <c r="D5" t="str" cm="1">
        <f t="array" ref="D5">_xll.BDP(B5&amp;" Equity","OPT_UNDL_TICKER")</f>
        <v>AVGO US</v>
      </c>
      <c r="E5" t="str" cm="1">
        <f t="array" ref="E5">_xll.BDP($B5&amp;" Equity","mifid_Maturity_date")</f>
        <v>18/06/2026</v>
      </c>
      <c r="F5" cm="1">
        <f t="array" ref="F5">_xll.BDP($B5&amp;" Equity","opt_days_expire")</f>
        <v>136</v>
      </c>
      <c r="G5" t="str" cm="1">
        <f t="array" ref="G5">_xll.BDP(B5&amp;" Equity","QUOTED_CURRENCY_REALTIME")</f>
        <v>USD</v>
      </c>
      <c r="H5" s="15">
        <v>120</v>
      </c>
      <c r="I5" s="410">
        <v>37.5</v>
      </c>
      <c r="J5" s="14">
        <f>VLOOKUP(B5,Precificação!$B:$O,14,FALSE)</f>
        <v>35.224999999999994</v>
      </c>
      <c r="K5" s="14">
        <f t="shared" ref="K5:K21" si="19">+J5</f>
        <v>35.224999999999994</v>
      </c>
      <c r="L5" s="74" cm="1">
        <f t="array" ref="L5">_xll.BDP($B5&amp;" Equity","mid")</f>
        <v>34.08</v>
      </c>
      <c r="M5" s="19">
        <f t="shared" si="1"/>
        <v>0.10292651988765061</v>
      </c>
      <c r="N5" s="350"/>
      <c r="O5" s="19">
        <f t="shared" si="2"/>
        <v>-3.2505322924059499E-2</v>
      </c>
      <c r="P5" s="36" cm="1">
        <f t="array" ref="P5">_xll.BDP($B5&amp;" Equity","bid")</f>
        <v>33.799999999999997</v>
      </c>
      <c r="Q5" s="36" cm="1">
        <f t="array" ref="Q5">_xll.BDP($B5&amp;" Equity","ask")</f>
        <v>34.35</v>
      </c>
      <c r="R5" s="40">
        <f t="shared" si="3"/>
        <v>1.6272189349112454E-2</v>
      </c>
      <c r="S5" s="36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4"/>
        <v>408960</v>
      </c>
      <c r="V5" s="124">
        <f>U5/'Master P&amp;L'!$AD$7*10000</f>
        <v>1.7067278446245118</v>
      </c>
      <c r="W5" s="124">
        <f>(Y5*H5*T5/S5)/'Master P&amp;L'!$AD$7*10000</f>
        <v>1.7067278446245118</v>
      </c>
      <c r="X5" s="413">
        <f t="shared" si="5"/>
        <v>0</v>
      </c>
      <c r="Y5" s="273">
        <f t="shared" si="6"/>
        <v>34.08</v>
      </c>
      <c r="Z5" s="37">
        <f>_xll.BDP(D5&amp;" Equity","LAST_PRICE")</f>
        <v>331.11</v>
      </c>
      <c r="AA5" s="37" cm="1">
        <f t="array" ref="AA5">_xll.BDP(B5&amp;" Equity","OPT_STRIKE_PX")</f>
        <v>350</v>
      </c>
      <c r="AB5" s="40">
        <f t="shared" si="7"/>
        <v>5.705052701519131E-2</v>
      </c>
      <c r="AC5" s="324" cm="1">
        <f t="array" ref="AC5">_xll.BDP($D5&amp;" Equity","volatility_10d")</f>
        <v>21.895040478441082</v>
      </c>
      <c r="AD5" s="37" cm="1">
        <f t="array" ref="AD5">_xll.BDP(B5&amp;" Equity","ivol_mid")</f>
        <v>49.935740000000003</v>
      </c>
      <c r="AE5" s="37">
        <f t="shared" si="8"/>
        <v>2.2806872656467183</v>
      </c>
      <c r="AF5" s="38" cm="1">
        <f t="array" ref="AF5">_xll.BDP(B5&amp;" Equity","DELTA_MID_RT")</f>
        <v>0.50494861602783203</v>
      </c>
      <c r="AG5" s="19">
        <f>AL5/'Master P&amp;L'!$AE$7</f>
        <v>8.3730593827520839E-4</v>
      </c>
      <c r="AH5" s="19">
        <f>AM5/'Master P&amp;L'!$AE$7</f>
        <v>1.6582002835493607E-3</v>
      </c>
      <c r="AI5" s="426">
        <f>AO5/'Master P&amp;L'!$AD$7*10000</f>
        <v>-7.1573412704142832E-3</v>
      </c>
      <c r="AJ5" s="350">
        <f t="shared" si="9"/>
        <v>5.945018433931544E-2</v>
      </c>
      <c r="AK5" s="38">
        <f>AP5/'Master P&amp;L'!$AD$7*10000</f>
        <v>-5.7341648535653142E-2</v>
      </c>
      <c r="AL5" s="15">
        <f t="shared" si="10"/>
        <v>2006322.4350357058</v>
      </c>
      <c r="AM5" s="15">
        <f t="shared" si="11"/>
        <v>3973320.0000000005</v>
      </c>
      <c r="AN5" s="38" cm="1">
        <f t="array" ref="AN5">_xll.BDP($B5&amp;" Equity","theta_mid_rt")</f>
        <v>-0.14291803538799286</v>
      </c>
      <c r="AO5" s="15">
        <f t="shared" si="12"/>
        <v>-1715.0164246559143</v>
      </c>
      <c r="AP5" s="15">
        <f t="shared" si="13"/>
        <v>-13739.999999999953</v>
      </c>
      <c r="AQ5" s="36" t="str" cm="1">
        <f t="array" ref="AQ5">_xll.BDP($D5&amp;" Equity","EXPECTED_REPORT_DT")</f>
        <v>06/03/2026</v>
      </c>
      <c r="AR5" s="66" cm="1">
        <f t="array" ref="AR5">_xll.BDP($B5&amp;" Equity","GAMMA_LAST")</f>
        <v>1.2926E-2</v>
      </c>
      <c r="AS5">
        <f t="shared" si="14"/>
        <v>170055.22964695201</v>
      </c>
      <c r="AT5">
        <f t="shared" si="15"/>
        <v>850276.14823475992</v>
      </c>
      <c r="AU5" t="s">
        <v>151</v>
      </c>
      <c r="AV5" s="277" cm="1">
        <f t="array" ref="AV5">_xll.BDP($D5&amp;" Equity","EST_PE_NXT_YR")*(AA5/Z5)</f>
        <v>24.941902311426063</v>
      </c>
      <c r="AW5"/>
      <c r="AX5" s="15"/>
      <c r="AY5" s="277">
        <v>34.08</v>
      </c>
      <c r="AZ5" s="355"/>
      <c r="BA5" s="15">
        <f t="shared" si="16"/>
        <v>34.08</v>
      </c>
      <c r="BB5" s="414">
        <f t="shared" si="17"/>
        <v>35.224999999999994</v>
      </c>
      <c r="BC5" s="414">
        <f t="shared" si="18"/>
        <v>13739.999999999953</v>
      </c>
      <c r="BD5" s="414">
        <f>BC5/'Master P&amp;L'!$AD$7*10000</f>
        <v>5.7341648535653142E-2</v>
      </c>
    </row>
    <row r="6" spans="1:56">
      <c r="A6" s="335"/>
      <c r="B6" s="73" t="s">
        <v>2388</v>
      </c>
      <c r="C6" s="73" t="str" cm="1">
        <f t="array" ref="C6">_xll.BDP($B6&amp;" Equity","opt_put_call")</f>
        <v>Call</v>
      </c>
      <c r="D6" s="73" t="str" cm="1">
        <f t="array" ref="D6">_xll.BDP(B6&amp;" Equity","OPT_UNDL_TICKER")</f>
        <v>NVDA US</v>
      </c>
      <c r="E6" s="73" t="str" cm="1">
        <f t="array" ref="E6">_xll.BDP($B6&amp;" Equity","mifid_Maturity_date")</f>
        <v>15/05/2026</v>
      </c>
      <c r="F6" s="73" cm="1">
        <f t="array" ref="F6">_xll.BDP($B6&amp;" Equity","opt_days_expire")</f>
        <v>102</v>
      </c>
      <c r="G6" s="73" t="str" cm="1">
        <f t="array" ref="G6">_xll.BDP(B6&amp;" Equity","QUOTED_CURRENCY_REALTIME")</f>
        <v>USD</v>
      </c>
      <c r="H6" s="42">
        <v>150</v>
      </c>
      <c r="I6" s="409">
        <v>14.91</v>
      </c>
      <c r="J6" s="14">
        <f>VLOOKUP(B6,Precificação!$B:$O,14,FALSE)</f>
        <v>14.8</v>
      </c>
      <c r="K6" s="14">
        <f t="shared" si="19"/>
        <v>14.8</v>
      </c>
      <c r="L6" s="74" cm="1">
        <f t="array" ref="L6">_xll.BDP($B6&amp;" Equity","mid")</f>
        <v>12</v>
      </c>
      <c r="M6" s="75">
        <f t="shared" ref="M6" si="20">L6/Z6</f>
        <v>6.4651689025375783E-2</v>
      </c>
      <c r="N6" s="352"/>
      <c r="O6" s="75">
        <f t="shared" ref="O6" si="21">L6/K6-1</f>
        <v>-0.18918918918918926</v>
      </c>
      <c r="P6" s="74" cm="1">
        <f t="array" ref="P6">_xll.BDP($B6&amp;" Equity","bid")</f>
        <v>11.95</v>
      </c>
      <c r="Q6" s="74" cm="1">
        <f t="array" ref="Q6">_xll.BDP($B6&amp;" Equity","ask")</f>
        <v>12.05</v>
      </c>
      <c r="R6" s="76">
        <f t="shared" ref="R6" si="22">(Q6/P6-1)</f>
        <v>8.3682008368202165E-3</v>
      </c>
      <c r="S6" s="36" cm="1">
        <f t="array" ref="S6">_xll.BDP(G6&amp;" Curncy","PX_LAST")</f>
        <v>1</v>
      </c>
      <c r="T6" s="42" cm="1">
        <f t="array" ref="T6">_xll.BDP(B6&amp;" Equity","OPT_MULTIPLIER")</f>
        <v>100</v>
      </c>
      <c r="U6" s="42">
        <f t="shared" ref="U6" si="23">(L6/S6)*H6*T6</f>
        <v>180000</v>
      </c>
      <c r="V6" s="113">
        <f>U6/'Master P&amp;L'!$AD$7*10000</f>
        <v>0.75120063583825336</v>
      </c>
      <c r="W6" s="113">
        <f>(Y6*H6*T6/S6)/'Master P&amp;L'!$AD$7*10000</f>
        <v>0.75120063583825336</v>
      </c>
      <c r="X6" s="118">
        <f t="shared" ref="X6" si="24">IF(C6="Put",IF(Z6&lt;AA6,AA6-Z6,0),IF(Z6&gt;AA6,Z6-AA6,0))</f>
        <v>0</v>
      </c>
      <c r="Y6" s="272">
        <f t="shared" ref="Y6" si="25">L6-X6</f>
        <v>12</v>
      </c>
      <c r="Z6" s="77">
        <f>_xll.BDP(D6&amp;" Equity","LAST_PRICE")</f>
        <v>185.61</v>
      </c>
      <c r="AA6" s="77" cm="1">
        <f t="array" ref="AA6">_xll.BDP(B6&amp;" Equity","OPT_STRIKE_PX")</f>
        <v>200</v>
      </c>
      <c r="AB6" s="76">
        <f t="shared" ref="AB6" si="26">AA6/Z6-1</f>
        <v>7.7528150422929709E-2</v>
      </c>
      <c r="AC6" s="323" cm="1">
        <f t="array" ref="AC6">_xll.BDP($D6&amp;" Equity","volatility_10d")</f>
        <v>20.039935654844385</v>
      </c>
      <c r="AD6" s="77" cm="1">
        <f t="array" ref="AD6">_xll.BDP(B6&amp;" Equity","ivol_mid")</f>
        <v>42.511180000000003</v>
      </c>
      <c r="AE6" s="77">
        <f t="shared" ref="AE6" si="27">AD6/AC6</f>
        <v>2.1213231784865285</v>
      </c>
      <c r="AF6" s="78" cm="1">
        <f t="array" ref="AF6">_xll.BDP(B6&amp;" Equity","DELTA_MID_RT")</f>
        <v>0.43391600251197815</v>
      </c>
      <c r="AG6" s="75">
        <f>AL6/'Master P&amp;L'!$AE$7</f>
        <v>5.0417550090524723E-4</v>
      </c>
      <c r="AH6" s="75">
        <f>AM6/'Master P&amp;L'!$AE$7</f>
        <v>1.1619195834828187E-3</v>
      </c>
      <c r="AI6" s="427">
        <f>AO6/'Master P&amp;L'!$AD$7*10000</f>
        <v>-4.9459440461400083E-3</v>
      </c>
      <c r="AJ6" s="350">
        <f t="shared" ref="AJ6" si="28">(252*AI6)/$AI$1</f>
        <v>4.108191494101323E-2</v>
      </c>
      <c r="AK6" s="78">
        <f>AP6/'Master P&amp;L'!$AD$7*10000</f>
        <v>-0.17528014836225916</v>
      </c>
      <c r="AL6" s="42">
        <f t="shared" ref="AL6" si="29">Z6*AF6*H6*T6/S6</f>
        <v>1208087.238393724</v>
      </c>
      <c r="AM6" s="42">
        <f t="shared" ref="AM6" si="30">IF(C6="Put",-Z6*H6*T6/S6,Z6*H6*T6/S6)</f>
        <v>2784150.0000000005</v>
      </c>
      <c r="AN6" s="78" cm="1">
        <f t="array" ref="AN6">_xll.BDP($B6&amp;" Equity","theta_mid_rt")</f>
        <v>-7.9008623957633972E-2</v>
      </c>
      <c r="AO6" s="42">
        <f t="shared" ref="AO6" si="31">AN6*H6*T6/S6</f>
        <v>-1185.1293593645096</v>
      </c>
      <c r="AP6" s="42">
        <f t="shared" ref="AP6" si="32">(L6-K6)*T6/S6*H6</f>
        <v>-42000.000000000007</v>
      </c>
      <c r="AQ6" s="74" t="str" cm="1">
        <f t="array" ref="AQ6">_xll.BDP($D6&amp;" Equity","EXPECTED_REPORT_DT")</f>
        <v>25/02/2026</v>
      </c>
      <c r="AR6" s="235" cm="1">
        <f t="array" ref="AR6">_xll.BDP($B6&amp;" Equity","GAMMA_LAST")</f>
        <v>1.7495E-2</v>
      </c>
      <c r="AS6" s="73">
        <f t="shared" si="14"/>
        <v>90408.225958425028</v>
      </c>
      <c r="AT6" s="73">
        <f t="shared" si="15"/>
        <v>452041.12979212502</v>
      </c>
      <c r="AU6" s="73" t="s">
        <v>151</v>
      </c>
      <c r="AV6" s="322" cm="1">
        <f t="array" ref="AV6">_xll.BDP($D6&amp;" Equity","EST_PE_NXT_YR")*(AA6/Z6)</f>
        <v>26.447784948898988</v>
      </c>
      <c r="AW6" s="73"/>
      <c r="AX6" s="42"/>
      <c r="AY6" s="322">
        <v>12</v>
      </c>
      <c r="AZ6" s="354"/>
      <c r="BA6" s="42">
        <f t="shared" ref="BA6" si="33">+AY6</f>
        <v>12</v>
      </c>
      <c r="BB6" s="346">
        <f t="shared" ref="BB6" si="34">+J6</f>
        <v>14.8</v>
      </c>
      <c r="BC6" s="346">
        <f t="shared" ref="BC6" si="35">(BB6-BA6)*H6*100</f>
        <v>42000.000000000015</v>
      </c>
      <c r="BD6" s="346">
        <f>BC6/'Master P&amp;L'!$AD$7*10000</f>
        <v>0.17528014836225919</v>
      </c>
    </row>
    <row r="7" spans="1:56" s="59" customFormat="1">
      <c r="A7" s="356"/>
      <c r="B7" t="s">
        <v>2283</v>
      </c>
      <c r="C7" t="str" cm="1">
        <f t="array" ref="C7">_xll.BDP($B7&amp;" Equity","opt_put_call")</f>
        <v>Call</v>
      </c>
      <c r="D7" t="str" cm="1">
        <f t="array" ref="D7">_xll.BDP(B7&amp;" Equity","OPT_UNDL_TICKER")</f>
        <v>LITE US</v>
      </c>
      <c r="E7" t="str" cm="1">
        <f t="array" ref="E7">_xll.BDP($B7&amp;" Equity","mifid_Maturity_date")</f>
        <v>20/03/2026</v>
      </c>
      <c r="F7" cm="1">
        <f t="array" ref="F7">_xll.BDP($B7&amp;" Equity","opt_days_expire")</f>
        <v>46</v>
      </c>
      <c r="G7" t="str" cm="1">
        <f t="array" ref="G7">_xll.BDP(B7&amp;" Equity","QUOTED_CURRENCY_REALTIME")</f>
        <v>USD</v>
      </c>
      <c r="H7" s="15">
        <v>60</v>
      </c>
      <c r="I7" s="410">
        <v>39.83</v>
      </c>
      <c r="J7" s="14">
        <f>VLOOKUP(B7,Precificação!$B:$O,14,FALSE)</f>
        <v>52.35</v>
      </c>
      <c r="K7" s="14">
        <f t="shared" si="19"/>
        <v>52.35</v>
      </c>
      <c r="L7" s="74" cm="1">
        <f t="array" ref="L7">_xll.BDP($B7&amp;" Equity","mid")</f>
        <v>69.05</v>
      </c>
      <c r="M7" s="19">
        <f t="shared" si="1"/>
        <v>0.16307685040857775</v>
      </c>
      <c r="N7" s="350"/>
      <c r="O7" s="19">
        <f t="shared" si="2"/>
        <v>0.31900668576886337</v>
      </c>
      <c r="P7" s="36" cm="1">
        <f t="array" ref="P7">_xll.BDP($B7&amp;" Equity","bid")</f>
        <v>67.5</v>
      </c>
      <c r="Q7" s="36" cm="1">
        <f t="array" ref="Q7">_xll.BDP($B7&amp;" Equity","ask")</f>
        <v>70.599999999999994</v>
      </c>
      <c r="R7" s="40">
        <f t="shared" si="3"/>
        <v>4.5925925925925926E-2</v>
      </c>
      <c r="S7" s="36" cm="1">
        <f t="array" ref="S7">_xll.BDP(G7&amp;" Curncy","PX_LAST")</f>
        <v>1</v>
      </c>
      <c r="T7" s="15" cm="1">
        <f t="array" ref="T7">_xll.BDP(B7&amp;" Equity","OPT_MULTIPLIER")</f>
        <v>100</v>
      </c>
      <c r="U7" s="15">
        <f t="shared" si="4"/>
        <v>414300</v>
      </c>
      <c r="V7" s="124">
        <f>U7/'Master P&amp;L'!$AD$7*10000</f>
        <v>1.7290134634877132</v>
      </c>
      <c r="W7" s="124">
        <f>(Y7*H7*T7/S7)/'Master P&amp;L'!$AD$7*10000</f>
        <v>1.6433765910021518</v>
      </c>
      <c r="X7" s="413">
        <f t="shared" si="5"/>
        <v>3.4200000000000159</v>
      </c>
      <c r="Y7" s="273">
        <f t="shared" si="6"/>
        <v>65.629999999999981</v>
      </c>
      <c r="Z7" s="37">
        <f>_xll.BDP(D7&amp;" Equity","LAST_PRICE")</f>
        <v>423.42</v>
      </c>
      <c r="AA7" s="37" cm="1">
        <f t="array" ref="AA7">_xll.BDP(B7&amp;" Equity","OPT_STRIKE_PX")</f>
        <v>420</v>
      </c>
      <c r="AB7" s="40">
        <f t="shared" si="7"/>
        <v>-8.0770865807000547E-3</v>
      </c>
      <c r="AC7" s="324" cm="1">
        <f t="array" ref="AC7">_xll.BDP($D7&amp;" Equity","volatility_10d")</f>
        <v>90.263070123877469</v>
      </c>
      <c r="AD7" s="37" cm="1">
        <f t="array" ref="AD7">_xll.BDP(B7&amp;" Equity","ivol_mid")</f>
        <v>109.2929</v>
      </c>
      <c r="AE7" s="37">
        <f t="shared" si="8"/>
        <v>1.210826308588949</v>
      </c>
      <c r="AF7" s="38" cm="1">
        <f t="array" ref="AF7">_xll.BDP(B7&amp;" Equity","DELTA_MID_RT")</f>
        <v>0.59258276224136353</v>
      </c>
      <c r="AG7" s="19">
        <f>AL7/'Master P&amp;L'!$AE$7</f>
        <v>6.282826603402216E-4</v>
      </c>
      <c r="AH7" s="19">
        <f>AM7/'Master P&amp;L'!$AE$7</f>
        <v>1.0602445774221109E-3</v>
      </c>
      <c r="AI7" s="426">
        <f>AO7/'Master P&amp;L'!$AD$7*10000</f>
        <v>-1.6914387442863655E-2</v>
      </c>
      <c r="AJ7" s="350">
        <f t="shared" si="9"/>
        <v>0.14049399259770692</v>
      </c>
      <c r="AK7" s="38">
        <f>AP7/'Master P&amp;L'!$AD$7*10000</f>
        <v>0.41816835394996094</v>
      </c>
      <c r="AL7" s="15">
        <f t="shared" si="10"/>
        <v>1505468.3591294289</v>
      </c>
      <c r="AM7" s="15">
        <f t="shared" si="11"/>
        <v>2540520</v>
      </c>
      <c r="AN7" s="38" cm="1">
        <f t="array" ref="AN7">_xll.BDP($B7&amp;" Equity","theta_mid_rt")</f>
        <v>-0.67549413442611694</v>
      </c>
      <c r="AO7" s="15">
        <f t="shared" si="12"/>
        <v>-4052.9648065567017</v>
      </c>
      <c r="AP7" s="15">
        <f t="shared" si="13"/>
        <v>100199.99999999997</v>
      </c>
      <c r="AQ7" s="36" t="str" cm="1">
        <f t="array" ref="AQ7">_xll.BDP($D7&amp;" Equity","EXPECTED_REPORT_DT")</f>
        <v>03/02/2026</v>
      </c>
      <c r="AR7" s="66" cm="1">
        <f t="array" ref="AR7">_xll.BDP($B7&amp;" Equity","GAMMA_LAST")</f>
        <v>9.5879999999999993E-3</v>
      </c>
      <c r="AS7">
        <f t="shared" si="14"/>
        <v>103138.78508899202</v>
      </c>
      <c r="AT7">
        <f t="shared" si="15"/>
        <v>515693.92544496001</v>
      </c>
      <c r="AU7" t="s">
        <v>151</v>
      </c>
      <c r="AV7" s="277" cm="1">
        <f t="array" ref="AV7">_xll.BDP($D7&amp;" Equity","EST_PE_NXT_YR")*(AA7/Z7)</f>
        <v>46.60749481494841</v>
      </c>
      <c r="AW7"/>
      <c r="AX7" s="15"/>
      <c r="AY7" s="277">
        <v>69.05</v>
      </c>
      <c r="AZ7" s="355"/>
      <c r="BA7" s="15">
        <f t="shared" si="16"/>
        <v>69.05</v>
      </c>
      <c r="BB7" s="414">
        <f t="shared" si="17"/>
        <v>52.35</v>
      </c>
      <c r="BC7" s="414">
        <f t="shared" si="18"/>
        <v>-100199.99999999997</v>
      </c>
      <c r="BD7" s="414">
        <f>BC7/'Master P&amp;L'!$AD$7*10000</f>
        <v>-0.41816835394996094</v>
      </c>
    </row>
    <row r="8" spans="1:56">
      <c r="A8" s="335"/>
      <c r="B8" s="73" t="s">
        <v>2456</v>
      </c>
      <c r="C8" s="73" t="str" cm="1">
        <f t="array" ref="C8">_xll.BDP($B8&amp;" Equity","opt_put_call")</f>
        <v>Call</v>
      </c>
      <c r="D8" s="73" t="str" cm="1">
        <f t="array" ref="D8">_xll.BDP(B8&amp;" Equity","OPT_UNDL_TICKER")</f>
        <v>META US</v>
      </c>
      <c r="E8" s="73" t="str" cm="1">
        <f t="array" ref="E8">_xll.BDP($B8&amp;" Equity","mifid_Maturity_date")</f>
        <v>17/07/2026</v>
      </c>
      <c r="F8" s="73" cm="1">
        <f t="array" ref="F8">_xll.BDP($B8&amp;" Equity","opt_days_expire")</f>
        <v>165</v>
      </c>
      <c r="G8" s="73" t="str" cm="1">
        <f t="array" ref="G8">_xll.BDP(B8&amp;" Equity","QUOTED_CURRENCY_REALTIME")</f>
        <v>USD</v>
      </c>
      <c r="H8" s="42">
        <v>60</v>
      </c>
      <c r="I8" s="409">
        <v>59.2</v>
      </c>
      <c r="J8" s="14">
        <f>VLOOKUP(B8,Precificação!$B:$O,14,FALSE)</f>
        <v>54.65</v>
      </c>
      <c r="K8" s="14">
        <f t="shared" si="19"/>
        <v>54.65</v>
      </c>
      <c r="L8" s="74" cm="1">
        <f t="array" ref="L8">_xll.BDP($B8&amp;" Equity","mid")</f>
        <v>48.08</v>
      </c>
      <c r="M8" s="75">
        <f t="shared" si="1"/>
        <v>6.8062456646989705E-2</v>
      </c>
      <c r="N8" s="352"/>
      <c r="O8" s="75">
        <f t="shared" si="2"/>
        <v>-0.12021957913998171</v>
      </c>
      <c r="P8" s="74" cm="1">
        <f t="array" ref="P8">_xll.BDP($B8&amp;" Equity","bid")</f>
        <v>47.95</v>
      </c>
      <c r="Q8" s="74" cm="1">
        <f t="array" ref="Q8">_xll.BDP($B8&amp;" Equity","ask")</f>
        <v>48.2</v>
      </c>
      <c r="R8" s="76">
        <f t="shared" si="3"/>
        <v>5.2137643378520337E-3</v>
      </c>
      <c r="S8" s="36" cm="1">
        <f t="array" ref="S8">_xll.BDP(G8&amp;" Curncy","PX_LAST")</f>
        <v>1</v>
      </c>
      <c r="T8" s="42" cm="1">
        <f t="array" ref="T8">_xll.BDP(B8&amp;" Equity","OPT_MULTIPLIER")</f>
        <v>100</v>
      </c>
      <c r="U8" s="42">
        <f t="shared" si="4"/>
        <v>288480</v>
      </c>
      <c r="V8" s="113">
        <f>U8/'Master P&amp;L'!$AD$7*10000</f>
        <v>1.203924219036774</v>
      </c>
      <c r="W8" s="113">
        <f>(Y8*H8*T8/S8)/'Master P&amp;L'!$AD$7*10000</f>
        <v>1.203924219036774</v>
      </c>
      <c r="X8" s="118">
        <f t="shared" si="5"/>
        <v>0</v>
      </c>
      <c r="Y8" s="272">
        <f t="shared" si="6"/>
        <v>48.08</v>
      </c>
      <c r="Z8" s="77">
        <f>_xll.BDP(D8&amp;" Equity","LAST_PRICE")</f>
        <v>706.41</v>
      </c>
      <c r="AA8" s="77" cm="1">
        <f t="array" ref="AA8">_xll.BDP(B8&amp;" Equity","OPT_STRIKE_PX")</f>
        <v>750</v>
      </c>
      <c r="AB8" s="76">
        <f t="shared" si="7"/>
        <v>6.1706374485072546E-2</v>
      </c>
      <c r="AC8" s="323" cm="1">
        <f t="array" ref="AC8">_xll.BDP($D8&amp;" Equity","volatility_10d")</f>
        <v>61.787721939118391</v>
      </c>
      <c r="AD8" s="77" cm="1">
        <f t="array" ref="AD8">_xll.BDP(B8&amp;" Equity","ivol_mid")</f>
        <v>32.499070000000003</v>
      </c>
      <c r="AE8" s="77">
        <f t="shared" si="8"/>
        <v>0.52597941759404043</v>
      </c>
      <c r="AF8" s="78" cm="1">
        <f t="array" ref="AF8">_xll.BDP(B8&amp;" Equity","DELTA_MID_RT")</f>
        <v>0.4634585976600647</v>
      </c>
      <c r="AG8" s="75">
        <f>AL8/'Master P&amp;L'!$AE$7</f>
        <v>8.1978973097858346E-4</v>
      </c>
      <c r="AH8" s="75">
        <f>AM8/'Master P&amp;L'!$AE$7</f>
        <v>1.7688521372083352E-3</v>
      </c>
      <c r="AI8" s="427">
        <f>AO8/'Master P&amp;L'!$AD$7*10000</f>
        <v>-4.6593880359352231E-3</v>
      </c>
      <c r="AJ8" s="350">
        <f t="shared" si="9"/>
        <v>3.8701728362425344E-2</v>
      </c>
      <c r="AK8" s="78">
        <f>AP8/'Master P&amp;L'!$AD$7*10000</f>
        <v>-0.16451293924857749</v>
      </c>
      <c r="AL8" s="42">
        <f t="shared" si="10"/>
        <v>1964350.7278382778</v>
      </c>
      <c r="AM8" s="42">
        <f t="shared" si="11"/>
        <v>4238460</v>
      </c>
      <c r="AN8" s="78" cm="1">
        <f t="array" ref="AN8">_xll.BDP($B8&amp;" Equity","theta_mid_rt")</f>
        <v>-0.18607763946056366</v>
      </c>
      <c r="AO8" s="42">
        <f t="shared" si="12"/>
        <v>-1116.465836763382</v>
      </c>
      <c r="AP8" s="42">
        <f t="shared" si="13"/>
        <v>-39420</v>
      </c>
      <c r="AQ8" s="74" t="str" cm="1">
        <f t="array" ref="AQ8">_xll.BDP($D8&amp;" Equity","EXPECTED_REPORT_DT")</f>
        <v>30/04/2026</v>
      </c>
      <c r="AR8" s="235" cm="1">
        <f t="array" ref="AR8">_xll.BDP($B8&amp;" Equity","GAMMA_LAST")</f>
        <v>1.8147E-2</v>
      </c>
      <c r="AS8" s="73">
        <f t="shared" si="14"/>
        <v>543337.608225042</v>
      </c>
      <c r="AT8" s="73">
        <f t="shared" si="15"/>
        <v>2716688.04112521</v>
      </c>
      <c r="AU8" s="73" t="s">
        <v>151</v>
      </c>
      <c r="AV8" s="322" cm="1">
        <f t="array" ref="AV8">_xll.BDP($D8&amp;" Equity","EST_PE_NXT_YR")*(AA8/Z8)</f>
        <v>20.132887240208941</v>
      </c>
      <c r="AW8" s="73"/>
      <c r="AX8" s="42"/>
      <c r="AY8" s="322">
        <v>48.08</v>
      </c>
      <c r="AZ8" s="354"/>
      <c r="BA8" s="42">
        <f t="shared" si="16"/>
        <v>48.08</v>
      </c>
      <c r="BB8" s="346">
        <f t="shared" si="17"/>
        <v>54.65</v>
      </c>
      <c r="BC8" s="346">
        <f t="shared" si="18"/>
        <v>39420.000000000007</v>
      </c>
      <c r="BD8" s="346">
        <f>BC8/'Master P&amp;L'!$AD$7*10000</f>
        <v>0.16451293924857752</v>
      </c>
    </row>
    <row r="9" spans="1:56" s="59" customFormat="1">
      <c r="A9" s="522"/>
      <c r="B9" s="59" t="s">
        <v>2456</v>
      </c>
      <c r="C9" s="59" t="str" cm="1">
        <f t="array" ref="C9">_xll.BDP($B9&amp;" Equity","opt_put_call")</f>
        <v>Call</v>
      </c>
      <c r="D9" s="59" t="str" cm="1">
        <f t="array" ref="D9">_xll.BDP(B9&amp;" Equity","OPT_UNDL_TICKER")</f>
        <v>META US</v>
      </c>
      <c r="E9" s="59" t="str" cm="1">
        <f t="array" ref="E9">_xll.BDP($B9&amp;" Equity","mifid_Maturity_date")</f>
        <v>17/07/2026</v>
      </c>
      <c r="F9" s="59" cm="1">
        <f t="array" ref="F9">_xll.BDP($B9&amp;" Equity","opt_days_expire")</f>
        <v>165</v>
      </c>
      <c r="G9" s="59" t="str" cm="1">
        <f t="array" ref="G9">_xll.BDP(B9&amp;" Equity","QUOTED_CURRENCY_REALTIME")</f>
        <v>USD</v>
      </c>
      <c r="H9" s="404">
        <v>75</v>
      </c>
      <c r="I9" s="411">
        <v>51.68</v>
      </c>
      <c r="J9" s="14"/>
      <c r="K9" s="14">
        <v>51.68</v>
      </c>
      <c r="L9" s="14" cm="1">
        <f t="array" ref="L9">_xll.BDP($B9&amp;" Equity","mid")</f>
        <v>48.08</v>
      </c>
      <c r="M9" s="128">
        <f t="shared" ref="M9" si="36">L9/Z9</f>
        <v>6.8062456646989705E-2</v>
      </c>
      <c r="N9" s="424"/>
      <c r="O9" s="128">
        <f t="shared" ref="O9" si="37">L9/K9-1</f>
        <v>-6.9659442724458231E-2</v>
      </c>
      <c r="P9" s="14" cm="1">
        <f t="array" ref="P9">_xll.BDP($B9&amp;" Equity","bid")</f>
        <v>47.95</v>
      </c>
      <c r="Q9" s="14" cm="1">
        <f t="array" ref="Q9">_xll.BDP($B9&amp;" Equity","ask")</f>
        <v>48.2</v>
      </c>
      <c r="R9" s="423">
        <f t="shared" ref="R9" si="38">(Q9/P9-1)</f>
        <v>5.2137643378520337E-3</v>
      </c>
      <c r="S9" s="14" cm="1">
        <f t="array" ref="S9">_xll.BDP(G9&amp;" Curncy","PX_LAST")</f>
        <v>1</v>
      </c>
      <c r="T9" s="404" cm="1">
        <f t="array" ref="T9">_xll.BDP(B9&amp;" Equity","OPT_MULTIPLIER")</f>
        <v>100</v>
      </c>
      <c r="U9" s="404">
        <f t="shared" ref="U9" si="39">(L9/S9)*H9*T9</f>
        <v>360600</v>
      </c>
      <c r="V9" s="523">
        <f>U9/'Master P&amp;L'!$AD$7*10000</f>
        <v>1.5049052737959676</v>
      </c>
      <c r="W9" s="523">
        <f>(Y9*H9*T9/S9)/'Master P&amp;L'!$AD$7*10000</f>
        <v>1.5049052737959676</v>
      </c>
      <c r="X9" s="524">
        <f t="shared" ref="X9" si="40">IF(C9="Put",IF(Z9&lt;AA9,AA9-Z9,0),IF(Z9&gt;AA9,Z9-AA9,0))</f>
        <v>0</v>
      </c>
      <c r="Y9" s="525">
        <f t="shared" ref="Y9" si="41">L9-X9</f>
        <v>48.08</v>
      </c>
      <c r="Z9" s="526">
        <f>_xll.BDP(D9&amp;" Equity","LAST_PRICE")</f>
        <v>706.41</v>
      </c>
      <c r="AA9" s="526" cm="1">
        <f t="array" ref="AA9">_xll.BDP(B9&amp;" Equity","OPT_STRIKE_PX")</f>
        <v>750</v>
      </c>
      <c r="AB9" s="423">
        <f t="shared" ref="AB9" si="42">AA9/Z9-1</f>
        <v>6.1706374485072546E-2</v>
      </c>
      <c r="AC9" s="425" cm="1">
        <f t="array" ref="AC9">_xll.BDP($D9&amp;" Equity","volatility_10d")</f>
        <v>61.787721939118391</v>
      </c>
      <c r="AD9" s="526" cm="1">
        <f t="array" ref="AD9">_xll.BDP(B9&amp;" Equity","ivol_mid")</f>
        <v>32.499070000000003</v>
      </c>
      <c r="AE9" s="526">
        <f t="shared" ref="AE9" si="43">AD9/AC9</f>
        <v>0.52597941759404043</v>
      </c>
      <c r="AF9" s="527" cm="1">
        <f t="array" ref="AF9">_xll.BDP(B9&amp;" Equity","DELTA_MID_RT")</f>
        <v>0.4634585976600647</v>
      </c>
      <c r="AG9" s="128">
        <f>AL9/'Master P&amp;L'!$AE$7</f>
        <v>1.0247371637232292E-3</v>
      </c>
      <c r="AH9" s="128">
        <f>AM9/'Master P&amp;L'!$AE$7</f>
        <v>2.2110651715104191E-3</v>
      </c>
      <c r="AI9" s="528">
        <f>AO9/'Master P&amp;L'!$AD$7*10000</f>
        <v>-5.8242350449190291E-3</v>
      </c>
      <c r="AJ9" s="424">
        <f t="shared" ref="AJ9" si="44">(252*AI9)/$AI$1</f>
        <v>4.8377160453031691E-2</v>
      </c>
      <c r="AK9" s="527">
        <f>AP9/'Master P&amp;L'!$AD$7*10000</f>
        <v>-0.11268009537573805</v>
      </c>
      <c r="AL9" s="404">
        <f t="shared" ref="AL9" si="45">Z9*AF9*H9*T9/S9</f>
        <v>2455438.4097978473</v>
      </c>
      <c r="AM9" s="404">
        <f t="shared" ref="AM9" si="46">IF(C9="Put",-Z9*H9*T9/S9,Z9*H9*T9/S9)</f>
        <v>5298075</v>
      </c>
      <c r="AN9" s="527" cm="1">
        <f t="array" ref="AN9">_xll.BDP($B9&amp;" Equity","theta_mid_rt")</f>
        <v>-0.18607763946056366</v>
      </c>
      <c r="AO9" s="404">
        <f t="shared" ref="AO9" si="47">AN9*H9*T9/S9</f>
        <v>-1395.5822959542274</v>
      </c>
      <c r="AP9" s="404">
        <f t="shared" ref="AP9" si="48">(L9-K9)*T9/S9*H9</f>
        <v>-27000.000000000007</v>
      </c>
      <c r="AQ9" s="14" t="str" cm="1">
        <f t="array" ref="AQ9">_xll.BDP($D9&amp;" Equity","EXPECTED_REPORT_DT")</f>
        <v>30/04/2026</v>
      </c>
      <c r="AR9" s="114" cm="1">
        <f t="array" ref="AR9">_xll.BDP($B9&amp;" Equity","GAMMA_LAST")</f>
        <v>1.8147E-2</v>
      </c>
      <c r="AS9" s="59">
        <f t="shared" si="14"/>
        <v>679172.0102813025</v>
      </c>
      <c r="AT9" s="59">
        <f t="shared" si="15"/>
        <v>3395860.0514065125</v>
      </c>
      <c r="AU9" s="59" t="s">
        <v>151</v>
      </c>
      <c r="AV9" s="337" cm="1">
        <f t="array" ref="AV9">_xll.BDP($D9&amp;" Equity","EST_PE_NXT_YR")*(AA9/Z9)</f>
        <v>20.132887240208941</v>
      </c>
      <c r="AX9" s="404"/>
      <c r="AY9" s="337">
        <v>48.08</v>
      </c>
      <c r="AZ9" s="529"/>
      <c r="BA9" s="404">
        <f t="shared" ref="BA9" si="49">+AY9</f>
        <v>48.08</v>
      </c>
      <c r="BB9" s="530">
        <f t="shared" ref="BB9" si="50">+J9</f>
        <v>0</v>
      </c>
      <c r="BC9" s="530">
        <f t="shared" ref="BC9" si="51">(BB9-BA9)*H9*100</f>
        <v>-360600</v>
      </c>
      <c r="BD9" s="530">
        <f>BC9/'Master P&amp;L'!$AD$7*10000</f>
        <v>-1.5049052737959676</v>
      </c>
    </row>
    <row r="10" spans="1:56" s="532" customFormat="1">
      <c r="A10" s="531"/>
      <c r="B10" s="532" t="s">
        <v>2402</v>
      </c>
      <c r="C10" s="532" t="str" cm="1">
        <f t="array" ref="C10">_xll.BDP($B10&amp;" Equity","opt_put_call")</f>
        <v>Call</v>
      </c>
      <c r="D10" s="532" t="str" cm="1">
        <f t="array" ref="D10">_xll.BDP(B10&amp;" Equity","OPT_UNDL_TICKER")</f>
        <v>META US</v>
      </c>
      <c r="E10" s="532" t="str" cm="1">
        <f t="array" ref="E10">_xll.BDP($B10&amp;" Equity","mifid_Maturity_date")</f>
        <v>17/07/2026</v>
      </c>
      <c r="F10" s="532" cm="1">
        <f t="array" ref="F10">_xll.BDP($B10&amp;" Equity","opt_days_expire")</f>
        <v>165</v>
      </c>
      <c r="G10" s="532" t="str" cm="1">
        <f t="array" ref="G10">_xll.BDP(B10&amp;" Equity","QUOTED_CURRENCY_REALTIME")</f>
        <v>USD</v>
      </c>
      <c r="H10" s="533">
        <v>75</v>
      </c>
      <c r="I10" s="534">
        <v>59.27</v>
      </c>
      <c r="J10" s="535">
        <f>VLOOKUP(B10,Precificação!$B:$O,14,FALSE)</f>
        <v>78.8</v>
      </c>
      <c r="K10" s="535">
        <f t="shared" si="19"/>
        <v>78.8</v>
      </c>
      <c r="L10" s="535">
        <v>75.680000000000007</v>
      </c>
      <c r="M10" s="536">
        <f t="shared" ref="M10" si="52">L10/Z10</f>
        <v>0.10713325122804039</v>
      </c>
      <c r="N10" s="537"/>
      <c r="O10" s="536">
        <f t="shared" ref="O10" si="53">L10/K10-1</f>
        <v>-3.9593908629441454E-2</v>
      </c>
      <c r="P10" s="535" cm="1">
        <f t="array" ref="P10">_xll.BDP($B10&amp;" Equity","bid")</f>
        <v>71.099999999999994</v>
      </c>
      <c r="Q10" s="535" cm="1">
        <f t="array" ref="Q10">_xll.BDP($B10&amp;" Equity","ask")</f>
        <v>71.5</v>
      </c>
      <c r="R10" s="538">
        <f t="shared" ref="R10" si="54">(Q10/P10-1)</f>
        <v>5.6258790436005679E-3</v>
      </c>
      <c r="S10" s="535" cm="1">
        <f t="array" ref="S10">_xll.BDP(G10&amp;" Curncy","PX_LAST")</f>
        <v>1</v>
      </c>
      <c r="T10" s="533" cm="1">
        <f t="array" ref="T10">_xll.BDP(B10&amp;" Equity","OPT_MULTIPLIER")</f>
        <v>100</v>
      </c>
      <c r="U10" s="533">
        <f t="shared" ref="U10" si="55">(L10/S10)*H10*T10</f>
        <v>567600.00000000012</v>
      </c>
      <c r="V10" s="539">
        <f>U10/'Master P&amp;L'!$AD$7*10000</f>
        <v>2.3687860050099596</v>
      </c>
      <c r="W10" s="539">
        <f>(Y10*H10*T10/S10)/'Master P&amp;L'!$AD$7*10000</f>
        <v>2.16815283518816</v>
      </c>
      <c r="X10" s="540">
        <f t="shared" ref="X10" si="56">IF(C10="Put",IF(Z10&lt;AA10,AA10-Z10,0),IF(Z10&gt;AA10,Z10-AA10,0))</f>
        <v>6.4099999999999682</v>
      </c>
      <c r="Y10" s="541">
        <f t="shared" ref="Y10" si="57">L10-X10</f>
        <v>69.270000000000039</v>
      </c>
      <c r="Z10" s="542">
        <f>_xll.BDP(D10&amp;" Equity","LAST_PRICE")</f>
        <v>706.41</v>
      </c>
      <c r="AA10" s="542" cm="1">
        <f t="array" ref="AA10">_xll.BDP(B10&amp;" Equity","OPT_STRIKE_PX")</f>
        <v>700</v>
      </c>
      <c r="AB10" s="538">
        <f t="shared" ref="AB10" si="58">AA10/Z10-1</f>
        <v>-9.0740504805990607E-3</v>
      </c>
      <c r="AC10" s="543" cm="1">
        <f t="array" ref="AC10">_xll.BDP($D10&amp;" Equity","volatility_10d")</f>
        <v>61.787721939118391</v>
      </c>
      <c r="AD10" s="542" cm="1">
        <f t="array" ref="AD10">_xll.BDP(B10&amp;" Equity","ivol_mid")</f>
        <v>33.276629999999997</v>
      </c>
      <c r="AE10" s="542">
        <f t="shared" ref="AE10" si="59">AD10/AC10</f>
        <v>0.5385637948068166</v>
      </c>
      <c r="AF10" s="544"/>
      <c r="AG10" s="536"/>
      <c r="AH10" s="536"/>
      <c r="AI10" s="545"/>
      <c r="AJ10" s="537"/>
      <c r="AK10" s="544">
        <f>AP10/'Master P&amp;L'!$AD$7*10000</f>
        <v>-9.7656082658972646E-2</v>
      </c>
      <c r="AL10" s="533">
        <f t="shared" ref="AL10" si="60">Z10*AF10*H10*T10/S10</f>
        <v>0</v>
      </c>
      <c r="AM10" s="533">
        <f t="shared" ref="AM10" si="61">IF(C10="Put",-Z10*H10*T10/S10,Z10*H10*T10/S10)</f>
        <v>5298075</v>
      </c>
      <c r="AN10" s="544" cm="1">
        <f t="array" ref="AN10">_xll.BDP($B10&amp;" Equity","theta_mid_rt")</f>
        <v>-0.18644461035728455</v>
      </c>
      <c r="AO10" s="533">
        <f t="shared" ref="AO10" si="62">AN10*H10*T10/S10</f>
        <v>-1398.3345776796341</v>
      </c>
      <c r="AP10" s="533">
        <f t="shared" ref="AP10" si="63">(L10-K10)*T10/S10*H10</f>
        <v>-23399.999999999927</v>
      </c>
      <c r="AQ10" s="535" t="str" cm="1">
        <f t="array" ref="AQ10">_xll.BDP($D10&amp;" Equity","EXPECTED_REPORT_DT")</f>
        <v>30/04/2026</v>
      </c>
      <c r="AR10" s="546" cm="1">
        <f t="array" ref="AR10">_xll.BDP($B10&amp;" Equity","GAMMA_LAST")</f>
        <v>1.72E-2</v>
      </c>
      <c r="AS10" s="532">
        <f t="shared" si="14"/>
        <v>643729.46364900004</v>
      </c>
      <c r="AT10" s="532">
        <f t="shared" si="15"/>
        <v>3218647.3182450007</v>
      </c>
      <c r="AU10" s="532" t="s">
        <v>151</v>
      </c>
      <c r="AV10" s="547" cm="1">
        <f t="array" ref="AV10">_xll.BDP($D10&amp;" Equity","EST_PE_NXT_YR")*(AA10/Z10)</f>
        <v>18.790694757528343</v>
      </c>
      <c r="AX10" s="533"/>
      <c r="AY10" s="547">
        <v>75.680000000000007</v>
      </c>
      <c r="AZ10" s="548"/>
      <c r="BA10" s="533">
        <f t="shared" ref="BA10" si="64">+AY10</f>
        <v>75.680000000000007</v>
      </c>
      <c r="BB10" s="549">
        <f t="shared" ref="BB10" si="65">+J10</f>
        <v>78.8</v>
      </c>
      <c r="BC10" s="549">
        <f t="shared" ref="BC10" si="66">(BB10-BA10)*H10*100</f>
        <v>23399.999999999927</v>
      </c>
      <c r="BD10" s="549">
        <f>BC10/'Master P&amp;L'!$AD$7*10000</f>
        <v>9.7656082658972646E-2</v>
      </c>
    </row>
    <row r="11" spans="1:56">
      <c r="A11" s="335"/>
      <c r="B11" s="73" t="s">
        <v>2094</v>
      </c>
      <c r="C11" s="73" t="str" cm="1">
        <f t="array" ref="C11">_xll.BDP($B11&amp;" Equity","opt_put_call")</f>
        <v>Put</v>
      </c>
      <c r="D11" s="73" t="str" cm="1">
        <f t="array" ref="D11">_xll.BDP(B11&amp;" Equity","OPT_UNDL_TICKER")</f>
        <v>MRVL US</v>
      </c>
      <c r="E11" s="73" t="str" cm="1">
        <f t="array" ref="E11">_xll.BDP($B11&amp;" Equity","mifid_Maturity_date")</f>
        <v>20/03/2026</v>
      </c>
      <c r="F11" s="73" cm="1">
        <f t="array" ref="F11">_xll.BDP($B11&amp;" Equity","opt_days_expire")</f>
        <v>46</v>
      </c>
      <c r="G11" s="73" t="str" cm="1">
        <f t="array" ref="G11">_xll.BDP(B11&amp;" Equity","QUOTED_CURRENCY_REALTIME")</f>
        <v>USD</v>
      </c>
      <c r="H11" s="42">
        <v>200</v>
      </c>
      <c r="I11" s="409">
        <v>9.1999999999999993</v>
      </c>
      <c r="J11" s="14">
        <f>VLOOKUP(B11,Precificação!$B:$O,14,FALSE)</f>
        <v>10.4</v>
      </c>
      <c r="K11" s="14">
        <f t="shared" si="19"/>
        <v>10.4</v>
      </c>
      <c r="L11" s="74" cm="1">
        <f t="array" ref="L11">_xll.BDP($B11&amp;" Equity","mid")</f>
        <v>10.6</v>
      </c>
      <c r="M11" s="75">
        <f t="shared" si="1"/>
        <v>0.13475718281210272</v>
      </c>
      <c r="N11" s="352"/>
      <c r="O11" s="75">
        <f t="shared" si="2"/>
        <v>1.9230769230769162E-2</v>
      </c>
      <c r="P11" s="74" cm="1">
        <f t="array" ref="P11">_xll.BDP($B11&amp;" Equity","bid")</f>
        <v>10.45</v>
      </c>
      <c r="Q11" s="74" cm="1">
        <f t="array" ref="Q11">_xll.BDP($B11&amp;" Equity","ask")</f>
        <v>10.75</v>
      </c>
      <c r="R11" s="76">
        <f t="shared" si="3"/>
        <v>2.8708133971292016E-2</v>
      </c>
      <c r="S11" s="36" cm="1">
        <f t="array" ref="S11">_xll.BDP(G11&amp;" Curncy","PX_LAST")</f>
        <v>1</v>
      </c>
      <c r="T11" s="42" cm="1">
        <f t="array" ref="T11">_xll.BDP(B11&amp;" Equity","OPT_MULTIPLIER")</f>
        <v>100</v>
      </c>
      <c r="U11" s="42">
        <f t="shared" si="4"/>
        <v>212000</v>
      </c>
      <c r="V11" s="113">
        <f>U11/'Master P&amp;L'!$AD$7*10000</f>
        <v>0.88474741554283187</v>
      </c>
      <c r="W11" s="113">
        <f>(Y11*H11*T11/S11)/'Master P&amp;L'!$AD$7*10000</f>
        <v>0.35556830096343961</v>
      </c>
      <c r="X11" s="118">
        <f t="shared" si="5"/>
        <v>6.3400000000000034</v>
      </c>
      <c r="Y11" s="272">
        <f t="shared" si="6"/>
        <v>4.2599999999999962</v>
      </c>
      <c r="Z11" s="77">
        <f>_xll.BDP(D11&amp;" Equity","LAST_PRICE")</f>
        <v>78.66</v>
      </c>
      <c r="AA11" s="77" cm="1">
        <f t="array" ref="AA11">_xll.BDP(B11&amp;" Equity","OPT_STRIKE_PX")</f>
        <v>85</v>
      </c>
      <c r="AB11" s="76">
        <f t="shared" si="7"/>
        <v>8.0600050851767246E-2</v>
      </c>
      <c r="AC11" s="323" cm="1">
        <f t="array" ref="AC11">_xll.BDP($D11&amp;" Equity","volatility_10d")</f>
        <v>39.168890195964956</v>
      </c>
      <c r="AD11" s="77" cm="1">
        <f t="array" ref="AD11">_xll.BDP(B11&amp;" Equity","ivol_mid")</f>
        <v>60.314630000000001</v>
      </c>
      <c r="AE11" s="77">
        <f t="shared" si="8"/>
        <v>1.539860580635328</v>
      </c>
      <c r="AF11" s="78" cm="1">
        <f t="array" ref="AF11">_xll.BDP(B11&amp;" Equity","DELTA_MID_RT")</f>
        <v>-0.59027814865112305</v>
      </c>
      <c r="AG11" s="75">
        <f>AL11/'Master P&amp;L'!$AE$7</f>
        <v>-3.875467381940436E-4</v>
      </c>
      <c r="AH11" s="75">
        <f>AM11/'Master P&amp;L'!$AE$7</f>
        <v>-6.5654935572263351E-4</v>
      </c>
      <c r="AI11" s="427">
        <f>AO11/'Master P&amp;L'!$AD$7*10000</f>
        <v>-5.9492853771159239E-3</v>
      </c>
      <c r="AJ11" s="350">
        <f t="shared" si="9"/>
        <v>4.94158513607195E-2</v>
      </c>
      <c r="AK11" s="78">
        <f>AP11/'Master P&amp;L'!$AD$7*10000</f>
        <v>1.6693347463072238E-2</v>
      </c>
      <c r="AL11" s="42">
        <f t="shared" si="10"/>
        <v>-928625.58345794654</v>
      </c>
      <c r="AM11" s="42">
        <f t="shared" si="11"/>
        <v>-1573200</v>
      </c>
      <c r="AN11" s="78" cm="1">
        <f t="array" ref="AN11">_xll.BDP($B11&amp;" Equity","theta_mid_rt")</f>
        <v>-7.1277320384979248E-2</v>
      </c>
      <c r="AO11" s="42">
        <f t="shared" si="12"/>
        <v>-1425.546407699585</v>
      </c>
      <c r="AP11" s="42">
        <f t="shared" si="13"/>
        <v>3999.9999999999859</v>
      </c>
      <c r="AQ11" s="74" t="str" cm="1">
        <f t="array" ref="AQ11">_xll.BDP($D11&amp;" Equity","EXPECTED_REPORT_DT")</f>
        <v>05/03/2026</v>
      </c>
      <c r="AR11" s="235" cm="1">
        <f t="array" ref="AR11">_xll.BDP($B11&amp;" Equity","GAMMA_LAST")</f>
        <v>1.8133E-2</v>
      </c>
      <c r="AS11" s="73">
        <f t="shared" si="14"/>
        <v>22439.20888296</v>
      </c>
      <c r="AT11" s="73">
        <f t="shared" si="15"/>
        <v>112196.04441479998</v>
      </c>
      <c r="AU11" s="73" t="s">
        <v>151</v>
      </c>
      <c r="AV11" s="322" cm="1">
        <f t="array" ref="AV11">_xll.BDP($D11&amp;" Equity","EST_PE_NXT_YR")*(AA11/Z11)</f>
        <v>23.740638393992228</v>
      </c>
      <c r="AW11" s="73"/>
      <c r="AX11" s="42"/>
      <c r="AY11" s="322">
        <v>10.6</v>
      </c>
      <c r="AZ11" s="354"/>
      <c r="BA11" s="42">
        <f t="shared" si="16"/>
        <v>10.6</v>
      </c>
      <c r="BB11" s="346">
        <f t="shared" si="17"/>
        <v>10.4</v>
      </c>
      <c r="BC11" s="346">
        <f t="shared" si="18"/>
        <v>-3999.9999999999859</v>
      </c>
      <c r="BD11" s="346">
        <f>BC11/'Master P&amp;L'!$AD$7*10000</f>
        <v>-1.6693347463072238E-2</v>
      </c>
    </row>
    <row r="12" spans="1:56" s="59" customFormat="1">
      <c r="A12" s="356"/>
      <c r="B12" t="s">
        <v>2095</v>
      </c>
      <c r="C12" t="str" cm="1">
        <f t="array" ref="C12">_xll.BDP($B12&amp;" Equity","opt_put_call")</f>
        <v>Put</v>
      </c>
      <c r="D12" t="str" cm="1">
        <f t="array" ref="D12">_xll.BDP(B12&amp;" Equity","OPT_UNDL_TICKER")</f>
        <v>MRVL US</v>
      </c>
      <c r="E12" t="str" cm="1">
        <f t="array" ref="E12">_xll.BDP($B12&amp;" Equity","mifid_Maturity_date")</f>
        <v>20/03/2026</v>
      </c>
      <c r="F12" cm="1">
        <f t="array" ref="F12">_xll.BDP($B12&amp;" Equity","opt_days_expire")</f>
        <v>46</v>
      </c>
      <c r="G12" t="str" cm="1">
        <f t="array" ref="G12">_xll.BDP(B12&amp;" Equity","QUOTED_CURRENCY_REALTIME")</f>
        <v>USD</v>
      </c>
      <c r="H12" s="15">
        <v>-200</v>
      </c>
      <c r="I12" s="410">
        <v>4.5999999999999996</v>
      </c>
      <c r="J12" s="14">
        <f>VLOOKUP(B12,Precificação!$B:$O,14,FALSE)</f>
        <v>4.9000000000000004</v>
      </c>
      <c r="K12" s="14">
        <f t="shared" si="19"/>
        <v>4.9000000000000004</v>
      </c>
      <c r="L12" s="74" cm="1">
        <f t="array" ref="L12">_xll.BDP($B12&amp;" Equity","mid")</f>
        <v>4.97</v>
      </c>
      <c r="M12" s="19">
        <f t="shared" si="1"/>
        <v>6.3183320620391559E-2</v>
      </c>
      <c r="N12" s="350"/>
      <c r="O12" s="19">
        <f t="shared" si="2"/>
        <v>1.4285714285714235E-2</v>
      </c>
      <c r="P12" s="36" cm="1">
        <f t="array" ref="P12">_xll.BDP($B12&amp;" Equity","bid")</f>
        <v>4.8499999999999996</v>
      </c>
      <c r="Q12" s="36" cm="1">
        <f t="array" ref="Q12">_xll.BDP($B12&amp;" Equity","ask")</f>
        <v>5.0999999999999996</v>
      </c>
      <c r="R12" s="40">
        <f t="shared" si="3"/>
        <v>5.1546391752577359E-2</v>
      </c>
      <c r="S12" s="36" cm="1">
        <f t="array" ref="S12">_xll.BDP(G12&amp;" Curncy","PX_LAST")</f>
        <v>1</v>
      </c>
      <c r="T12" s="15" cm="1">
        <f t="array" ref="T12">_xll.BDP(B12&amp;" Equity","OPT_MULTIPLIER")</f>
        <v>100</v>
      </c>
      <c r="U12" s="15">
        <f t="shared" si="4"/>
        <v>-99400</v>
      </c>
      <c r="V12" s="124">
        <f>U12/'Master P&amp;L'!$AD$7*10000</f>
        <v>-0.41482968445734658</v>
      </c>
      <c r="W12" s="124">
        <f>(Y12*H12*T12/S12)/'Master P&amp;L'!$AD$7*10000</f>
        <v>-0.41482968445734658</v>
      </c>
      <c r="X12" s="413">
        <f t="shared" si="5"/>
        <v>0</v>
      </c>
      <c r="Y12" s="273">
        <f t="shared" si="6"/>
        <v>4.97</v>
      </c>
      <c r="Z12" s="37">
        <f>_xll.BDP(D12&amp;" Equity","LAST_PRICE")</f>
        <v>78.66</v>
      </c>
      <c r="AA12" s="37" cm="1">
        <f t="array" ref="AA12">_xll.BDP(B12&amp;" Equity","OPT_STRIKE_PX")</f>
        <v>75</v>
      </c>
      <c r="AB12" s="40">
        <f t="shared" si="7"/>
        <v>-4.652936689549958E-2</v>
      </c>
      <c r="AC12" s="324" cm="1">
        <f t="array" ref="AC12">_xll.BDP($D12&amp;" Equity","volatility_10d")</f>
        <v>39.168890195964956</v>
      </c>
      <c r="AD12" s="37" cm="1">
        <f t="array" ref="AD12">_xll.BDP(B12&amp;" Equity","ivol_mid")</f>
        <v>60.671059999999997</v>
      </c>
      <c r="AE12" s="37">
        <f t="shared" si="8"/>
        <v>1.5489604044551184</v>
      </c>
      <c r="AF12" s="38" cm="1">
        <f t="array" ref="AF12">_xll.BDP(B12&amp;" Equity","DELTA_MID_RT")</f>
        <v>-0.36534881591796875</v>
      </c>
      <c r="AG12" s="19">
        <f>AL12/'Master P&amp;L'!$AE$7</f>
        <v>2.398695297049694E-4</v>
      </c>
      <c r="AH12" s="19">
        <f>AM12/'Master P&amp;L'!$AE$7</f>
        <v>6.5654935572263351E-4</v>
      </c>
      <c r="AI12" s="426">
        <f>AO12/'Master P&amp;L'!$AD$7*10000</f>
        <v>5.7612370201205283E-3</v>
      </c>
      <c r="AJ12" s="350">
        <f t="shared" si="9"/>
        <v>-4.7853887348427181E-2</v>
      </c>
      <c r="AK12" s="38">
        <f>AP12/'Master P&amp;L'!$AD$7*10000</f>
        <v>-5.8426716120752531E-3</v>
      </c>
      <c r="AL12" s="15">
        <f t="shared" si="10"/>
        <v>574766.75720214844</v>
      </c>
      <c r="AM12" s="15">
        <f t="shared" si="11"/>
        <v>1573200</v>
      </c>
      <c r="AN12" s="38" cm="1">
        <f t="array" ref="AN12">_xll.BDP($B12&amp;" Equity","theta_mid_rt")</f>
        <v>-6.9024346768856049E-2</v>
      </c>
      <c r="AO12" s="15">
        <f t="shared" si="12"/>
        <v>1380.486935377121</v>
      </c>
      <c r="AP12" s="15">
        <f t="shared" si="13"/>
        <v>-1399.9999999999879</v>
      </c>
      <c r="AQ12" s="36" t="str" cm="1">
        <f t="array" ref="AQ12">_xll.BDP($D12&amp;" Equity","EXPECTED_REPORT_DT")</f>
        <v>05/03/2026</v>
      </c>
      <c r="AR12" s="66" cm="1">
        <f t="array" ref="AR12">_xll.BDP($B12&amp;" Equity","GAMMA_LAST")</f>
        <v>1.7132999999999999E-2</v>
      </c>
      <c r="AS12">
        <f t="shared" si="14"/>
        <v>-21201.729762959996</v>
      </c>
      <c r="AT12">
        <f t="shared" si="15"/>
        <v>-106008.64881479998</v>
      </c>
      <c r="AU12" t="s">
        <v>151</v>
      </c>
      <c r="AV12" s="277" cm="1">
        <f t="array" ref="AV12">_xll.BDP($D12&amp;" Equity","EST_PE_NXT_YR")*(AA12/Z12)</f>
        <v>20.947622112346082</v>
      </c>
      <c r="AW12"/>
      <c r="AX12" s="15"/>
      <c r="AY12" s="277">
        <v>4.97</v>
      </c>
      <c r="AZ12" s="355"/>
      <c r="BA12" s="15">
        <f t="shared" si="16"/>
        <v>4.97</v>
      </c>
      <c r="BB12" s="414">
        <f t="shared" si="17"/>
        <v>4.9000000000000004</v>
      </c>
      <c r="BC12" s="414">
        <f t="shared" si="18"/>
        <v>1399.9999999999879</v>
      </c>
      <c r="BD12" s="414">
        <f>BC12/'Master P&amp;L'!$AD$7*10000</f>
        <v>5.8426716120752531E-3</v>
      </c>
    </row>
    <row r="13" spans="1:56">
      <c r="A13" s="335"/>
      <c r="B13" s="73" t="s">
        <v>2058</v>
      </c>
      <c r="C13" s="73" t="str" cm="1">
        <f t="array" ref="C13">_xll.BDP($B13&amp;" Equity","opt_put_call")</f>
        <v>Put</v>
      </c>
      <c r="D13" s="73" t="str" cm="1">
        <f t="array" ref="D13">_xll.BDP(B13&amp;" Equity","OPT_UNDL_TICKER")</f>
        <v>MRVL US</v>
      </c>
      <c r="E13" s="73" t="str" cm="1">
        <f t="array" ref="E13">_xll.BDP($B13&amp;" Equity","mifid_Maturity_date")</f>
        <v>20/03/2026</v>
      </c>
      <c r="F13" s="73" cm="1">
        <f t="array" ref="F13">_xll.BDP($B13&amp;" Equity","opt_days_expire")</f>
        <v>46</v>
      </c>
      <c r="G13" s="73" t="str" cm="1">
        <f t="array" ref="G13">_xll.BDP(B13&amp;" Equity","QUOTED_CURRENCY_REALTIME")</f>
        <v>USD</v>
      </c>
      <c r="H13" s="42">
        <v>150</v>
      </c>
      <c r="I13" s="409">
        <v>6.13</v>
      </c>
      <c r="J13" s="14">
        <f>VLOOKUP(B13,Precificação!$B:$O,14,FALSE)</f>
        <v>7.375</v>
      </c>
      <c r="K13" s="14">
        <f t="shared" si="19"/>
        <v>7.375</v>
      </c>
      <c r="L13" s="74" cm="1">
        <f t="array" ref="L13">_xll.BDP($B13&amp;" Equity","mid")</f>
        <v>7.5</v>
      </c>
      <c r="M13" s="75">
        <f t="shared" si="1"/>
        <v>9.5347063310450036E-2</v>
      </c>
      <c r="N13" s="352"/>
      <c r="O13" s="75">
        <f t="shared" si="2"/>
        <v>1.6949152542372836E-2</v>
      </c>
      <c r="P13" s="74" cm="1">
        <f t="array" ref="P13">_xll.BDP($B13&amp;" Equity","bid")</f>
        <v>7.35</v>
      </c>
      <c r="Q13" s="74" cm="1">
        <f t="array" ref="Q13">_xll.BDP($B13&amp;" Equity","ask")</f>
        <v>7.65</v>
      </c>
      <c r="R13" s="76">
        <f t="shared" si="3"/>
        <v>4.081632653061229E-2</v>
      </c>
      <c r="S13" s="36" cm="1">
        <f t="array" ref="S13">_xll.BDP(G13&amp;" Curncy","PX_LAST")</f>
        <v>1</v>
      </c>
      <c r="T13" s="42" cm="1">
        <f t="array" ref="T13">_xll.BDP(B13&amp;" Equity","OPT_MULTIPLIER")</f>
        <v>100</v>
      </c>
      <c r="U13" s="42">
        <f t="shared" si="4"/>
        <v>112500</v>
      </c>
      <c r="V13" s="113">
        <f>U13/'Master P&amp;L'!$AD$7*10000</f>
        <v>0.46950039739890836</v>
      </c>
      <c r="W13" s="113">
        <f>(Y13*H13*T13/S13)/'Master P&amp;L'!$AD$7*10000</f>
        <v>0.38561632639696991</v>
      </c>
      <c r="X13" s="118">
        <f t="shared" si="5"/>
        <v>1.3400000000000034</v>
      </c>
      <c r="Y13" s="272">
        <f t="shared" si="6"/>
        <v>6.1599999999999966</v>
      </c>
      <c r="Z13" s="77">
        <f>_xll.BDP(D13&amp;" Equity","LAST_PRICE")</f>
        <v>78.66</v>
      </c>
      <c r="AA13" s="77" cm="1">
        <f t="array" ref="AA13">_xll.BDP(B13&amp;" Equity","OPT_STRIKE_PX")</f>
        <v>80</v>
      </c>
      <c r="AB13" s="76">
        <f t="shared" si="7"/>
        <v>1.7035341978133722E-2</v>
      </c>
      <c r="AC13" s="323" cm="1">
        <f t="array" ref="AC13">_xll.BDP($D13&amp;" Equity","volatility_10d")</f>
        <v>39.168890195964956</v>
      </c>
      <c r="AD13" s="77" cm="1">
        <f t="array" ref="AD13">_xll.BDP(B13&amp;" Equity","ivol_mid")</f>
        <v>60.446210000000001</v>
      </c>
      <c r="AE13" s="77">
        <f t="shared" si="8"/>
        <v>1.543219879286418</v>
      </c>
      <c r="AF13" s="78" cm="1">
        <f t="array" ref="AF13">_xll.BDP(B13&amp;" Equity","DELTA_MID_RT")</f>
        <v>-0.48029163479804993</v>
      </c>
      <c r="AG13" s="75">
        <f>AL13/'Master P&amp;L'!$AE$7</f>
        <v>-2.3650137253922252E-4</v>
      </c>
      <c r="AH13" s="75">
        <f>AM13/'Master P&amp;L'!$AE$7</f>
        <v>-4.9241201679197505E-4</v>
      </c>
      <c r="AI13" s="427">
        <f>AO13/'Master P&amp;L'!$AD$7*10000</f>
        <v>-4.5684633478822855E-3</v>
      </c>
      <c r="AJ13" s="350">
        <f t="shared" si="9"/>
        <v>3.7946491290234009E-2</v>
      </c>
      <c r="AK13" s="78">
        <f>AP13/'Master P&amp;L'!$AD$7*10000</f>
        <v>7.8250066233151398E-3</v>
      </c>
      <c r="AL13" s="42">
        <f t="shared" si="10"/>
        <v>-566696.09989821911</v>
      </c>
      <c r="AM13" s="42">
        <f t="shared" si="11"/>
        <v>-1179900</v>
      </c>
      <c r="AN13" s="78" cm="1">
        <f t="array" ref="AN13">_xll.BDP($B13&amp;" Equity","theta_mid_rt")</f>
        <v>-7.2978585958480835E-2</v>
      </c>
      <c r="AO13" s="42">
        <f t="shared" si="12"/>
        <v>-1094.6787893772125</v>
      </c>
      <c r="AP13" s="42">
        <f t="shared" si="13"/>
        <v>1875</v>
      </c>
      <c r="AQ13" s="74" t="str" cm="1">
        <f t="array" ref="AQ13">_xll.BDP($D13&amp;" Equity","EXPECTED_REPORT_DT")</f>
        <v>05/03/2026</v>
      </c>
      <c r="AR13" s="235" cm="1">
        <f t="array" ref="AR13">_xll.BDP($B13&amp;" Equity","GAMMA_LAST")</f>
        <v>1.8383E-2</v>
      </c>
      <c r="AS13" s="73">
        <f t="shared" si="14"/>
        <v>17061.433997220003</v>
      </c>
      <c r="AT13" s="73">
        <f t="shared" si="15"/>
        <v>85307.169986099994</v>
      </c>
      <c r="AU13" s="73" t="s">
        <v>151</v>
      </c>
      <c r="AV13" s="322" cm="1">
        <f t="array" ref="AV13">_xll.BDP($D13&amp;" Equity","EST_PE_NXT_YR")*(AA13/Z13)</f>
        <v>22.344130253169151</v>
      </c>
      <c r="AW13" s="73"/>
      <c r="AX13" s="42"/>
      <c r="AY13" s="322">
        <v>7.5</v>
      </c>
      <c r="AZ13" s="354"/>
      <c r="BA13" s="42">
        <f t="shared" si="16"/>
        <v>7.5</v>
      </c>
      <c r="BB13" s="346">
        <f t="shared" si="17"/>
        <v>7.375</v>
      </c>
      <c r="BC13" s="346">
        <f t="shared" si="18"/>
        <v>-1875</v>
      </c>
      <c r="BD13" s="346">
        <f>BC13/'Master P&amp;L'!$AD$7*10000</f>
        <v>-7.8250066233151398E-3</v>
      </c>
    </row>
    <row r="14" spans="1:56" s="59" customFormat="1">
      <c r="A14" s="356"/>
      <c r="B14" t="s">
        <v>2271</v>
      </c>
      <c r="C14" t="str" cm="1">
        <f t="array" ref="C14">_xll.BDP($B14&amp;" Equity","opt_put_call")</f>
        <v>Put</v>
      </c>
      <c r="D14" t="str" cm="1">
        <f t="array" ref="D14">_xll.BDP(B14&amp;" Equity","OPT_UNDL_TICKER")</f>
        <v>MRVL US</v>
      </c>
      <c r="E14" t="str" cm="1">
        <f t="array" ref="E14">_xll.BDP($B14&amp;" Equity","mifid_Maturity_date")</f>
        <v>20/03/2026</v>
      </c>
      <c r="F14" cm="1">
        <f t="array" ref="F14">_xll.BDP($B14&amp;" Equity","opt_days_expire")</f>
        <v>46</v>
      </c>
      <c r="G14" t="str" cm="1">
        <f t="array" ref="G14">_xll.BDP(B14&amp;" Equity","QUOTED_CURRENCY_REALTIME")</f>
        <v>USD</v>
      </c>
      <c r="H14" s="15">
        <v>-150</v>
      </c>
      <c r="I14" s="410">
        <v>2.52</v>
      </c>
      <c r="J14" s="14">
        <f>VLOOKUP(B14,Precificação!$B:$O,14,FALSE)</f>
        <v>3.04</v>
      </c>
      <c r="K14" s="14">
        <f t="shared" si="19"/>
        <v>3.04</v>
      </c>
      <c r="L14" s="74" cm="1">
        <f t="array" ref="L14">_xll.BDP($B14&amp;" Equity","mid")</f>
        <v>3.06</v>
      </c>
      <c r="M14" s="19">
        <f t="shared" si="1"/>
        <v>3.8901601830663615E-2</v>
      </c>
      <c r="N14" s="350"/>
      <c r="O14" s="19">
        <f t="shared" si="2"/>
        <v>6.5789473684210176E-3</v>
      </c>
      <c r="P14" s="36" cm="1">
        <f t="array" ref="P14">_xll.BDP($B14&amp;" Equity","bid")</f>
        <v>2.97</v>
      </c>
      <c r="Q14" s="36" cm="1">
        <f t="array" ref="Q14">_xll.BDP($B14&amp;" Equity","ask")</f>
        <v>3.15</v>
      </c>
      <c r="R14" s="40">
        <f t="shared" si="3"/>
        <v>6.0606060606060552E-2</v>
      </c>
      <c r="S14" s="36" cm="1">
        <f t="array" ref="S14">_xll.BDP(G14&amp;" Curncy","PX_LAST")</f>
        <v>1</v>
      </c>
      <c r="T14" s="15" cm="1">
        <f t="array" ref="T14">_xll.BDP(B14&amp;" Equity","OPT_MULTIPLIER")</f>
        <v>100</v>
      </c>
      <c r="U14" s="15">
        <f t="shared" si="4"/>
        <v>-45900</v>
      </c>
      <c r="V14" s="124">
        <f>U14/'Master P&amp;L'!$AD$7*10000</f>
        <v>-0.19155616213875459</v>
      </c>
      <c r="W14" s="124">
        <f>(Y14*H14*T14/S14)/'Master P&amp;L'!$AD$7*10000</f>
        <v>-0.19155616213875459</v>
      </c>
      <c r="X14" s="413">
        <f t="shared" si="5"/>
        <v>0</v>
      </c>
      <c r="Y14" s="273">
        <f t="shared" si="6"/>
        <v>3.06</v>
      </c>
      <c r="Z14" s="37">
        <f>_xll.BDP(D14&amp;" Equity","LAST_PRICE")</f>
        <v>78.66</v>
      </c>
      <c r="AA14" s="37" cm="1">
        <f t="array" ref="AA14">_xll.BDP(B14&amp;" Equity","OPT_STRIKE_PX")</f>
        <v>70</v>
      </c>
      <c r="AB14" s="40">
        <f t="shared" si="7"/>
        <v>-0.11009407576913299</v>
      </c>
      <c r="AC14" s="324" cm="1">
        <f t="array" ref="AC14">_xll.BDP($D14&amp;" Equity","volatility_10d")</f>
        <v>39.168890195964956</v>
      </c>
      <c r="AD14" s="37" cm="1">
        <f t="array" ref="AD14">_xll.BDP(B14&amp;" Equity","ivol_mid")</f>
        <v>61.751139999999999</v>
      </c>
      <c r="AE14" s="37">
        <f t="shared" si="8"/>
        <v>1.576535349637284</v>
      </c>
      <c r="AF14" s="38" cm="1">
        <f t="array" ref="AF14">_xll.BDP(B14&amp;" Equity","DELTA_MID_RT")</f>
        <v>-0.256632000207901</v>
      </c>
      <c r="AG14" s="19">
        <f>AL14/'Master P&amp;L'!$AE$7</f>
        <v>1.2636868079573109E-4</v>
      </c>
      <c r="AH14" s="19">
        <f>AM14/'Master P&amp;L'!$AE$7</f>
        <v>4.9241201679197505E-4</v>
      </c>
      <c r="AI14" s="426">
        <f>AO14/'Master P&amp;L'!$AD$7*10000</f>
        <v>3.6972482057580475E-3</v>
      </c>
      <c r="AJ14" s="350">
        <f t="shared" si="9"/>
        <v>-3.0710019136449052E-2</v>
      </c>
      <c r="AK14" s="38">
        <f>AP14/'Master P&amp;L'!$AD$7*10000</f>
        <v>-1.2520010597304235E-3</v>
      </c>
      <c r="AL14" s="15">
        <f t="shared" si="10"/>
        <v>302800.09704530233</v>
      </c>
      <c r="AM14" s="15">
        <f t="shared" si="11"/>
        <v>1179900</v>
      </c>
      <c r="AN14" s="38" cm="1">
        <f t="array" ref="AN14">_xll.BDP($B14&amp;" Equity","theta_mid_rt")</f>
        <v>-5.9061422944068909E-2</v>
      </c>
      <c r="AO14" s="15">
        <f t="shared" si="12"/>
        <v>885.92134416103363</v>
      </c>
      <c r="AP14" s="15">
        <f t="shared" si="13"/>
        <v>-300.00000000000028</v>
      </c>
      <c r="AQ14" s="36" t="str" cm="1">
        <f t="array" ref="AQ14">_xll.BDP($D14&amp;" Equity","EXPECTED_REPORT_DT")</f>
        <v>05/03/2026</v>
      </c>
      <c r="AR14" s="66" cm="1">
        <f t="array" ref="AR14">_xll.BDP($B14&amp;" Equity","GAMMA_LAST")</f>
        <v>1.4504E-2</v>
      </c>
      <c r="AS14">
        <f t="shared" si="14"/>
        <v>-13461.297867359999</v>
      </c>
      <c r="AT14">
        <f t="shared" si="15"/>
        <v>-67306.48933679999</v>
      </c>
      <c r="AU14" t="s">
        <v>151</v>
      </c>
      <c r="AV14" s="277" cm="1">
        <f t="array" ref="AV14">_xll.BDP($D14&amp;" Equity","EST_PE_NXT_YR")*(AA14/Z14)</f>
        <v>19.551113971523009</v>
      </c>
      <c r="AW14"/>
      <c r="AX14" s="15"/>
      <c r="AY14" s="277">
        <v>3.06</v>
      </c>
      <c r="AZ14" s="355"/>
      <c r="BA14" s="15">
        <f t="shared" si="16"/>
        <v>3.06</v>
      </c>
      <c r="BB14" s="414">
        <f t="shared" si="17"/>
        <v>3.04</v>
      </c>
      <c r="BC14" s="414">
        <f t="shared" si="18"/>
        <v>300.00000000000028</v>
      </c>
      <c r="BD14" s="414">
        <f>BC14/'Master P&amp;L'!$AD$7*10000</f>
        <v>1.2520010597304235E-3</v>
      </c>
    </row>
    <row r="15" spans="1:56">
      <c r="A15" s="335"/>
      <c r="B15" s="73" t="s">
        <v>2457</v>
      </c>
      <c r="C15" s="73" t="str" cm="1">
        <f t="array" ref="C15">_xll.BDP($B15&amp;" Equity","opt_put_call")</f>
        <v>Call</v>
      </c>
      <c r="D15" s="73" t="str" cm="1">
        <f t="array" ref="D15">_xll.BDP(B15&amp;" Equity","OPT_UNDL_TICKER")</f>
        <v>AAPL US</v>
      </c>
      <c r="E15" s="73" t="str" cm="1">
        <f t="array" ref="E15">_xll.BDP($B15&amp;" Equity","mifid_Maturity_date")</f>
        <v>17/04/2026</v>
      </c>
      <c r="F15" s="73" cm="1">
        <f t="array" ref="F15">_xll.BDP($B15&amp;" Equity","opt_days_expire")</f>
        <v>74</v>
      </c>
      <c r="G15" s="73" t="str" cm="1">
        <f t="array" ref="G15">_xll.BDP(B15&amp;" Equity","QUOTED_CURRENCY_REALTIME")</f>
        <v>USD</v>
      </c>
      <c r="H15" s="42">
        <v>350</v>
      </c>
      <c r="I15" s="409">
        <v>9.99</v>
      </c>
      <c r="J15" s="14">
        <f>VLOOKUP(B15,Precificação!$B:$O,14,FALSE)</f>
        <v>12.175000000000001</v>
      </c>
      <c r="K15" s="14">
        <f t="shared" si="19"/>
        <v>12.175000000000001</v>
      </c>
      <c r="L15" s="74" cm="1">
        <f t="array" ref="L15">_xll.BDP($B15&amp;" Equity","mid")</f>
        <v>18.02</v>
      </c>
      <c r="M15" s="75">
        <f t="shared" ref="M15:M16" si="67">L15/Z15</f>
        <v>6.6738268953001736E-2</v>
      </c>
      <c r="N15" s="352"/>
      <c r="O15" s="75">
        <f t="shared" ref="O15:O16" si="68">L15/K15-1</f>
        <v>0.48008213552361378</v>
      </c>
      <c r="P15" s="74" cm="1">
        <f t="array" ref="P15">_xll.BDP($B15&amp;" Equity","bid")</f>
        <v>17.45</v>
      </c>
      <c r="Q15" s="74" cm="1">
        <f t="array" ref="Q15">_xll.BDP($B15&amp;" Equity","ask")</f>
        <v>18.600000000000001</v>
      </c>
      <c r="R15" s="76">
        <f t="shared" ref="R15:R16" si="69">(Q15/P15-1)</f>
        <v>6.5902578796561695E-2</v>
      </c>
      <c r="S15" s="36" cm="1">
        <f t="array" ref="S15">_xll.BDP(G15&amp;" Curncy","PX_LAST")</f>
        <v>1</v>
      </c>
      <c r="T15" s="42" cm="1">
        <f t="array" ref="T15">_xll.BDP(B15&amp;" Equity","OPT_MULTIPLIER")</f>
        <v>100</v>
      </c>
      <c r="U15" s="42">
        <f t="shared" ref="U15:U16" si="70">(L15/S15)*H15*T15</f>
        <v>630700</v>
      </c>
      <c r="V15" s="113">
        <f>U15/'Master P&amp;L'!$AD$7*10000</f>
        <v>2.6321235612399247</v>
      </c>
      <c r="W15" s="113">
        <f>(Y15*H15*T15/S15)/'Master P&amp;L'!$AD$7*10000</f>
        <v>1.1699949903180809</v>
      </c>
      <c r="X15" s="118">
        <f t="shared" ref="X15:X16" si="71">IF(C15="Put",IF(Z15&lt;AA15,AA15-Z15,0),IF(Z15&gt;AA15,Z15-AA15,0))</f>
        <v>10.009999999999991</v>
      </c>
      <c r="Y15" s="272">
        <f t="shared" ref="Y15:Y16" si="72">L15-X15</f>
        <v>8.0100000000000087</v>
      </c>
      <c r="Z15" s="77">
        <f>_xll.BDP(D15&amp;" Equity","LAST_PRICE")</f>
        <v>270.01</v>
      </c>
      <c r="AA15" s="77" cm="1">
        <f t="array" ref="AA15">_xll.BDP(B15&amp;" Equity","OPT_STRIKE_PX")</f>
        <v>260</v>
      </c>
      <c r="AB15" s="76">
        <f t="shared" ref="AB15:AB16" si="73">AA15/Z15-1</f>
        <v>-3.7072701011073628E-2</v>
      </c>
      <c r="AC15" s="323" cm="1">
        <f t="array" ref="AC15">_xll.BDP($D15&amp;" Equity","volatility_10d")</f>
        <v>18.499917339111576</v>
      </c>
      <c r="AD15" s="77" cm="1">
        <f t="array" ref="AD15">_xll.BDP(B15&amp;" Equity","ivol_mid")</f>
        <v>23.95552</v>
      </c>
      <c r="AE15" s="77">
        <f t="shared" ref="AE15:AE16" si="74">AD15/AC15</f>
        <v>1.2948987587828011</v>
      </c>
      <c r="AF15" s="78" cm="1">
        <f t="array" ref="AF15">_xll.BDP(B15&amp;" Equity","DELTA_MID_RT")</f>
        <v>0.68115639686584473</v>
      </c>
      <c r="AG15" s="75">
        <f>AL15/'Master P&amp;L'!$AE$7</f>
        <v>2.686446366090894E-3</v>
      </c>
      <c r="AH15" s="75">
        <f>AM15/'Master P&amp;L'!$AE$7</f>
        <v>3.9439494049411323E-3</v>
      </c>
      <c r="AI15" s="427">
        <f>AO15/'Master P&amp;L'!$AD$7*10000</f>
        <v>-9.8220761759457847E-3</v>
      </c>
      <c r="AJ15" s="350">
        <f t="shared" ref="AJ15:AJ16" si="75">(252*AI15)/$AI$1</f>
        <v>8.1583959349332033E-2</v>
      </c>
      <c r="AK15" s="78">
        <f>AP15/'Master P&amp;L'!$AD$7*10000</f>
        <v>0.85376038931450371</v>
      </c>
      <c r="AL15" s="42">
        <f t="shared" ref="AL15:AL16" si="76">Z15*AF15*H15*T15/S15</f>
        <v>6437166.3551211357</v>
      </c>
      <c r="AM15" s="42">
        <f t="shared" ref="AM15:AM16" si="77">IF(C15="Put",-Z15*H15*T15/S15,Z15*H15*T15/S15)</f>
        <v>9450350</v>
      </c>
      <c r="AN15" s="78" cm="1">
        <f t="array" ref="AN15">_xll.BDP($B15&amp;" Equity","theta_mid_rt")</f>
        <v>-6.7243732511997223E-2</v>
      </c>
      <c r="AO15" s="42">
        <f t="shared" ref="AO15:AO16" si="78">AN15*H15*T15/S15</f>
        <v>-2353.5306379199028</v>
      </c>
      <c r="AP15" s="42">
        <f t="shared" ref="AP15:AP16" si="79">(L15-K15)*T15/S15*H15</f>
        <v>204574.99999999997</v>
      </c>
      <c r="AQ15" s="74" t="str" cm="1">
        <f t="array" ref="AQ15">_xll.BDP($D15&amp;" Equity","EXPECTED_REPORT_DT")</f>
        <v>01/05/2026</v>
      </c>
      <c r="AR15" s="235" cm="1">
        <f t="array" ref="AR15">_xll.BDP($B15&amp;" Equity","GAMMA_LAST")</f>
        <v>3.4785999999999997E-2</v>
      </c>
      <c r="AS15" s="73">
        <f t="shared" si="14"/>
        <v>887630.53675750992</v>
      </c>
      <c r="AT15" s="73">
        <f t="shared" si="15"/>
        <v>4438152.6837875498</v>
      </c>
      <c r="AU15" s="73" t="s">
        <v>151</v>
      </c>
      <c r="AV15" s="322" cm="1">
        <f t="array" ref="AV15">_xll.BDP($D15&amp;" Equity","EST_PE_NXT_YR")*(AA15/Z15)</f>
        <v>27.498433182389697</v>
      </c>
      <c r="AW15" s="73"/>
      <c r="AX15" s="42"/>
      <c r="AY15" s="322">
        <v>18.02</v>
      </c>
      <c r="AZ15" s="354"/>
      <c r="BA15" s="42">
        <f t="shared" ref="BA15:BA16" si="80">+AY15</f>
        <v>18.02</v>
      </c>
      <c r="BB15" s="346">
        <f t="shared" ref="BB15:BB16" si="81">+J15</f>
        <v>12.175000000000001</v>
      </c>
      <c r="BC15" s="346">
        <f t="shared" ref="BC15:BC16" si="82">(BB15-BA15)*H15*100</f>
        <v>-204574.99999999994</v>
      </c>
      <c r="BD15" s="346">
        <f>BC15/'Master P&amp;L'!$AD$7*10000</f>
        <v>-0.85376038931450349</v>
      </c>
    </row>
    <row r="16" spans="1:56" s="59" customFormat="1">
      <c r="A16" s="356"/>
      <c r="B16" t="s">
        <v>2458</v>
      </c>
      <c r="C16" t="str" cm="1">
        <f t="array" ref="C16">_xll.BDP($B16&amp;" Equity","opt_put_call")</f>
        <v>Call</v>
      </c>
      <c r="D16" t="str" cm="1">
        <f t="array" ref="D16">_xll.BDP(B16&amp;" Equity","OPT_UNDL_TICKER")</f>
        <v>AAPL US</v>
      </c>
      <c r="E16" t="str" cm="1">
        <f t="array" ref="E16">_xll.BDP($B16&amp;" Equity","mifid_Maturity_date")</f>
        <v>17/04/2026</v>
      </c>
      <c r="F16" cm="1">
        <f t="array" ref="F16">_xll.BDP($B16&amp;" Equity","opt_days_expire")</f>
        <v>74</v>
      </c>
      <c r="G16" t="str" cm="1">
        <f t="array" ref="G16">_xll.BDP(B16&amp;" Equity","QUOTED_CURRENCY_REALTIME")</f>
        <v>USD</v>
      </c>
      <c r="H16" s="15">
        <v>-350</v>
      </c>
      <c r="I16" s="410">
        <v>3.3</v>
      </c>
      <c r="J16" s="14">
        <f>VLOOKUP(B16,Precificação!$B:$O,14,FALSE)</f>
        <v>4.3250000000000002</v>
      </c>
      <c r="K16" s="14">
        <f t="shared" si="19"/>
        <v>4.3250000000000002</v>
      </c>
      <c r="L16" s="74" cm="1">
        <f t="array" ref="L16">_xll.BDP($B16&amp;" Equity","mid")</f>
        <v>7.28</v>
      </c>
      <c r="M16" s="19">
        <f t="shared" si="67"/>
        <v>2.6961964371689941E-2</v>
      </c>
      <c r="N16" s="350"/>
      <c r="O16" s="19">
        <f t="shared" si="68"/>
        <v>0.68323699421965323</v>
      </c>
      <c r="P16" s="36" cm="1">
        <f t="array" ref="P16">_xll.BDP($B16&amp;" Equity","bid")</f>
        <v>6.8</v>
      </c>
      <c r="Q16" s="36" cm="1">
        <f t="array" ref="Q16">_xll.BDP($B16&amp;" Equity","ask")</f>
        <v>7.75</v>
      </c>
      <c r="R16" s="40">
        <f t="shared" si="69"/>
        <v>0.13970588235294112</v>
      </c>
      <c r="S16" s="36" cm="1">
        <f t="array" ref="S16">_xll.BDP(G16&amp;" Curncy","PX_LAST")</f>
        <v>1</v>
      </c>
      <c r="T16" s="15" cm="1">
        <f t="array" ref="T16">_xll.BDP(B16&amp;" Equity","OPT_MULTIPLIER")</f>
        <v>100</v>
      </c>
      <c r="U16" s="15">
        <f t="shared" si="70"/>
        <v>-254800</v>
      </c>
      <c r="V16" s="124">
        <f>U16/'Master P&amp;L'!$AD$7*10000</f>
        <v>-1.0633662333977054</v>
      </c>
      <c r="W16" s="124">
        <f>(Y16*H16*T16/S16)/'Master P&amp;L'!$AD$7*10000</f>
        <v>-1.0633662333977054</v>
      </c>
      <c r="X16" s="413">
        <f t="shared" si="71"/>
        <v>0</v>
      </c>
      <c r="Y16" s="273">
        <f t="shared" si="72"/>
        <v>7.28</v>
      </c>
      <c r="Z16" s="37">
        <f>_xll.BDP(D16&amp;" Equity","LAST_PRICE")</f>
        <v>270.01</v>
      </c>
      <c r="AA16" s="37" cm="1">
        <f t="array" ref="AA16">_xll.BDP(B16&amp;" Equity","OPT_STRIKE_PX")</f>
        <v>280</v>
      </c>
      <c r="AB16" s="40">
        <f t="shared" si="73"/>
        <v>3.6998629680382145E-2</v>
      </c>
      <c r="AC16" s="324" cm="1">
        <f t="array" ref="AC16">_xll.BDP($D16&amp;" Equity","volatility_10d")</f>
        <v>18.499917339111576</v>
      </c>
      <c r="AD16" s="37" cm="1">
        <f t="array" ref="AD16">_xll.BDP(B16&amp;" Equity","ivol_mid")</f>
        <v>21.894880000000001</v>
      </c>
      <c r="AE16" s="37">
        <f t="shared" si="74"/>
        <v>1.1835123151448341</v>
      </c>
      <c r="AF16" s="38" cm="1">
        <f t="array" ref="AF16">_xll.BDP(B16&amp;" Equity","DELTA_MID_RT")</f>
        <v>0.40193140506744385</v>
      </c>
      <c r="AG16" s="19">
        <f>AL16/'Master P&amp;L'!$AE$7</f>
        <v>-1.5851971258428984E-3</v>
      </c>
      <c r="AH16" s="19">
        <f>AM16/'Master P&amp;L'!$AE$7</f>
        <v>-3.9439494049411323E-3</v>
      </c>
      <c r="AI16" s="426">
        <f>AO16/'Master P&amp;L'!$AD$7*10000</f>
        <v>1.0061944498336384E-2</v>
      </c>
      <c r="AJ16" s="350">
        <f t="shared" si="75"/>
        <v>-8.3576349462435875E-2</v>
      </c>
      <c r="AK16" s="38">
        <f>AP16/'Master P&amp;L'!$AD$7*10000</f>
        <v>-0.43162736534206309</v>
      </c>
      <c r="AL16" s="15">
        <f t="shared" si="76"/>
        <v>-3798392.453879118</v>
      </c>
      <c r="AM16" s="15">
        <f t="shared" si="77"/>
        <v>-9450350</v>
      </c>
      <c r="AN16" s="38" cm="1">
        <f t="array" ref="AN16">_xll.BDP($B16&amp;" Equity","theta_mid_rt")</f>
        <v>-6.8885914981365204E-2</v>
      </c>
      <c r="AO16" s="15">
        <f t="shared" si="78"/>
        <v>2411.0070243477821</v>
      </c>
      <c r="AP16" s="15">
        <f t="shared" si="79"/>
        <v>-103425</v>
      </c>
      <c r="AQ16" s="36" t="str" cm="1">
        <f t="array" ref="AQ16">_xll.BDP($D16&amp;" Equity","EXPECTED_REPORT_DT")</f>
        <v>01/05/2026</v>
      </c>
      <c r="AR16" s="66" cm="1">
        <f t="array" ref="AR16">_xll.BDP($B16&amp;" Equity","GAMMA_LAST")</f>
        <v>3.6684000000000001E-2</v>
      </c>
      <c r="AS16">
        <f t="shared" si="14"/>
        <v>-936061.59404394007</v>
      </c>
      <c r="AT16">
        <f t="shared" si="15"/>
        <v>-4680307.9702197006</v>
      </c>
      <c r="AU16" t="s">
        <v>151</v>
      </c>
      <c r="AV16" s="277" cm="1">
        <f t="array" ref="AV16">_xll.BDP($D16&amp;" Equity","EST_PE_NXT_YR")*(AA16/Z16)</f>
        <v>29.613697273342748</v>
      </c>
      <c r="AW16"/>
      <c r="AX16" s="15"/>
      <c r="AY16" s="277">
        <v>7.28</v>
      </c>
      <c r="AZ16" s="355"/>
      <c r="BA16" s="15">
        <f t="shared" si="80"/>
        <v>7.28</v>
      </c>
      <c r="BB16" s="414">
        <f t="shared" si="81"/>
        <v>4.3250000000000002</v>
      </c>
      <c r="BC16" s="414">
        <f t="shared" si="82"/>
        <v>103425</v>
      </c>
      <c r="BD16" s="414">
        <f>BC16/'Master P&amp;L'!$AD$7*10000</f>
        <v>0.43162736534206309</v>
      </c>
    </row>
    <row r="17" spans="1:56" s="59" customFormat="1">
      <c r="A17" s="522"/>
      <c r="B17" s="59" t="s">
        <v>2490</v>
      </c>
      <c r="C17" s="59" t="str" cm="1">
        <f t="array" ref="C17">_xll.BDP($B17&amp;" Equity","opt_put_call")</f>
        <v>Put</v>
      </c>
      <c r="D17" s="59" t="str" cm="1">
        <f t="array" ref="D17">_xll.BDP(B17&amp;" Equity","OPT_UNDL_TICKER")</f>
        <v>QQQ US</v>
      </c>
      <c r="E17" s="59" t="str" cm="1">
        <f t="array" ref="E17">_xll.BDP($B17&amp;" Equity","mifid_Maturity_date")</f>
        <v>06/02/2026</v>
      </c>
      <c r="F17" s="59" cm="1">
        <f t="array" ref="F17">_xll.BDP($B17&amp;" Equity","opt_days_expire")</f>
        <v>4</v>
      </c>
      <c r="G17" s="59" t="str" cm="1">
        <f t="array" ref="G17">_xll.BDP(B17&amp;" Equity","QUOTED_CURRENCY_REALTIME")</f>
        <v>USD</v>
      </c>
      <c r="H17" s="404">
        <v>230</v>
      </c>
      <c r="I17" s="411">
        <v>2.77</v>
      </c>
      <c r="J17" s="411"/>
      <c r="K17" s="411">
        <v>2.77</v>
      </c>
      <c r="L17" s="14" cm="1">
        <f t="array" ref="L17">_xll.BDP($B17&amp;" Equity","mid")</f>
        <v>2.76</v>
      </c>
      <c r="M17" s="128">
        <f t="shared" ref="M17:M18" si="83">L17/Z17</f>
        <v>4.4079598811767335E-3</v>
      </c>
      <c r="N17" s="424"/>
      <c r="O17" s="128">
        <f t="shared" ref="O17:O18" si="84">L17/K17-1</f>
        <v>-3.6101083032491488E-3</v>
      </c>
      <c r="P17" s="14" cm="1">
        <f t="array" ref="P17">_xll.BDP($B17&amp;" Equity","bid")</f>
        <v>2.74</v>
      </c>
      <c r="Q17" s="14" cm="1">
        <f t="array" ref="Q17">_xll.BDP($B17&amp;" Equity","ask")</f>
        <v>2.78</v>
      </c>
      <c r="R17" s="423">
        <f t="shared" ref="R17:R18" si="85">(Q17/P17-1)</f>
        <v>1.4598540145985162E-2</v>
      </c>
      <c r="S17" s="14" cm="1">
        <f t="array" ref="S17">_xll.BDP(G17&amp;" Curncy","PX_LAST")</f>
        <v>1</v>
      </c>
      <c r="T17" s="404" cm="1">
        <f t="array" ref="T17">_xll.BDP(B17&amp;" Equity","OPT_MULTIPLIER")</f>
        <v>100</v>
      </c>
      <c r="U17" s="404">
        <f t="shared" ref="U17:U18" si="86">(L17/S17)*H17*T17</f>
        <v>63479.999999999993</v>
      </c>
      <c r="V17" s="523">
        <f>U17/'Master P&amp;L'!$AD$7*10000</f>
        <v>0.26492342423895732</v>
      </c>
      <c r="W17" s="523">
        <f>(Y17*H17*T17/S17)/'Master P&amp;L'!$AD$7*10000</f>
        <v>0.26492342423895732</v>
      </c>
      <c r="X17" s="524">
        <f t="shared" ref="X17:X18" si="87">IF(C17="Put",IF(Z17&lt;AA17,AA17-Z17,0),IF(Z17&gt;AA17,Z17-AA17,0))</f>
        <v>0</v>
      </c>
      <c r="Y17" s="525">
        <f t="shared" ref="Y17:Y18" si="88">L17-X17</f>
        <v>2.76</v>
      </c>
      <c r="Z17" s="526">
        <f>_xll.BDP(D17&amp;" Equity","LAST_PRICE")</f>
        <v>626.14</v>
      </c>
      <c r="AA17" s="526" cm="1">
        <f t="array" ref="AA17">_xll.BDP(B17&amp;" Equity","OPT_STRIKE_PX")</f>
        <v>620</v>
      </c>
      <c r="AB17" s="423">
        <f t="shared" ref="AB17:AB18" si="89">AA17/Z17-1</f>
        <v>-9.8061136487047618E-3</v>
      </c>
      <c r="AC17" s="425" cm="1">
        <f t="array" ref="AC17">_xll.BDP($D17&amp;" Equity","volatility_10d")</f>
        <v>12.688613026617023</v>
      </c>
      <c r="AD17" s="526" cm="1">
        <f t="array" ref="AD17">_xll.BDP(B17&amp;" Equity","ivol_mid")</f>
        <v>17.423490000000001</v>
      </c>
      <c r="AE17" s="526">
        <f t="shared" ref="AE17:AE18" si="90">AD17/AC17</f>
        <v>1.3731595378825552</v>
      </c>
      <c r="AF17" s="527" cm="1">
        <f t="array" ref="AF17">_xll.BDP(B17&amp;" Equity","DELTA_MID_RT")</f>
        <v>-0.31330886483192444</v>
      </c>
      <c r="AG17" s="128">
        <f>AL17/'Master P&amp;L'!$AE$7</f>
        <v>-1.8830220681032132E-3</v>
      </c>
      <c r="AH17" s="128">
        <f>AM17/'Master P&amp;L'!$AE$7</f>
        <v>-6.0101142338036505E-3</v>
      </c>
      <c r="AI17" s="528">
        <f>AO17/'Master P&amp;L'!$AD$7*10000</f>
        <v>-4.1079470636748001E-2</v>
      </c>
      <c r="AJ17" s="424">
        <f t="shared" ref="AJ17:AJ18" si="91">(252*AI17)/$AI$1</f>
        <v>0.34121358890782716</v>
      </c>
      <c r="AK17" s="527">
        <f>AP17/'Master P&amp;L'!$AD$7*10000</f>
        <v>-9.598674791266794E-4</v>
      </c>
      <c r="AL17" s="404">
        <f t="shared" ref="AL17:AL18" si="92">Z17*AF17*H17*T17/S17</f>
        <v>-4512029.8903948069</v>
      </c>
      <c r="AM17" s="404">
        <f t="shared" ref="AM17:AM18" si="93">IF(C17="Put",-Z17*H17*T17/S17,Z17*H17*T17/S17)</f>
        <v>-14401219.999999998</v>
      </c>
      <c r="AN17" s="527" cm="1">
        <f t="array" ref="AN17">_xll.BDP($B17&amp;" Equity","theta_mid_rt")</f>
        <v>-0.42797023057937622</v>
      </c>
      <c r="AO17" s="404">
        <f t="shared" ref="AO17:AO18" si="94">AN17*H17*T17/S17</f>
        <v>-9843.3153033256531</v>
      </c>
      <c r="AP17" s="404">
        <f t="shared" ref="AP17:AP18" si="95">(L17-K17)*T17/S17*H17</f>
        <v>-230.00000000000531</v>
      </c>
      <c r="AQ17" s="14" t="str" cm="1">
        <f t="array" ref="AQ17">_xll.BDP($D17&amp;" Equity","EXPECTED_REPORT_DT")</f>
        <v>#N/A N/A</v>
      </c>
      <c r="AR17" s="114" cm="1">
        <f t="array" ref="AR17">_xll.BDP($B17&amp;" Equity","GAMMA_LAST")</f>
        <v>0.15704899999999999</v>
      </c>
      <c r="AS17" s="59">
        <f t="shared" si="14"/>
        <v>14161390.846702492</v>
      </c>
      <c r="AT17" s="59">
        <f t="shared" si="15"/>
        <v>70806954.233512461</v>
      </c>
      <c r="AU17" s="59" t="s">
        <v>151</v>
      </c>
      <c r="AV17" s="337" t="e" cm="1">
        <f t="array" ref="AV17">_xll.BDP($D17&amp;" Equity","EST_PE_NXT_YR")*(AA17/Z17)</f>
        <v>#VALUE!</v>
      </c>
      <c r="AX17" s="404"/>
      <c r="AY17" s="337">
        <v>2.74</v>
      </c>
      <c r="AZ17" s="529"/>
      <c r="BA17" s="404">
        <f t="shared" ref="BA17:BA18" si="96">+AY17</f>
        <v>2.74</v>
      </c>
      <c r="BB17" s="530">
        <f t="shared" ref="BB17:BB18" si="97">+J17</f>
        <v>0</v>
      </c>
      <c r="BC17" s="530">
        <f t="shared" ref="BC17:BC18" si="98">(BB17-BA17)*H17*100</f>
        <v>-63020.000000000007</v>
      </c>
      <c r="BD17" s="530">
        <f>BC17/'Master P&amp;L'!$AD$7*10000</f>
        <v>-0.26300368928070406</v>
      </c>
    </row>
    <row r="18" spans="1:56" s="59" customFormat="1">
      <c r="A18" s="522"/>
      <c r="B18" s="59" t="s">
        <v>2491</v>
      </c>
      <c r="C18" s="59" t="str" cm="1">
        <f t="array" ref="C18">_xll.BDP($B18&amp;" Equity","opt_put_call")</f>
        <v>Put</v>
      </c>
      <c r="D18" s="59" t="str" cm="1">
        <f t="array" ref="D18">_xll.BDP(B18&amp;" Equity","OPT_UNDL_TICKER")</f>
        <v>QQQ US</v>
      </c>
      <c r="E18" s="59" t="str" cm="1">
        <f t="array" ref="E18">_xll.BDP($B18&amp;" Equity","mifid_Maturity_date")</f>
        <v>06/02/2026</v>
      </c>
      <c r="F18" s="59" cm="1">
        <f t="array" ref="F18">_xll.BDP($B18&amp;" Equity","opt_days_expire")</f>
        <v>4</v>
      </c>
      <c r="G18" s="59" t="str" cm="1">
        <f t="array" ref="G18">_xll.BDP(B18&amp;" Equity","QUOTED_CURRENCY_REALTIME")</f>
        <v>USD</v>
      </c>
      <c r="H18" s="404">
        <v>-230</v>
      </c>
      <c r="I18" s="411">
        <v>1.79</v>
      </c>
      <c r="J18" s="411"/>
      <c r="K18" s="411">
        <v>1.79</v>
      </c>
      <c r="L18" s="14" cm="1">
        <f t="array" ref="L18">_xll.BDP($B18&amp;" Equity","mid")</f>
        <v>1.78</v>
      </c>
      <c r="M18" s="128">
        <f t="shared" si="83"/>
        <v>2.8428147059762995E-3</v>
      </c>
      <c r="N18" s="424"/>
      <c r="O18" s="128">
        <f t="shared" si="84"/>
        <v>-5.5865921787709993E-3</v>
      </c>
      <c r="P18" s="14" cm="1">
        <f t="array" ref="P18">_xll.BDP($B18&amp;" Equity","bid")</f>
        <v>1.76</v>
      </c>
      <c r="Q18" s="14" cm="1">
        <f t="array" ref="Q18">_xll.BDP($B18&amp;" Equity","ask")</f>
        <v>1.8</v>
      </c>
      <c r="R18" s="423">
        <f t="shared" si="85"/>
        <v>2.2727272727272707E-2</v>
      </c>
      <c r="S18" s="14" cm="1">
        <f t="array" ref="S18">_xll.BDP(G18&amp;" Curncy","PX_LAST")</f>
        <v>1</v>
      </c>
      <c r="T18" s="404" cm="1">
        <f t="array" ref="T18">_xll.BDP(B18&amp;" Equity","OPT_MULTIPLIER")</f>
        <v>100</v>
      </c>
      <c r="U18" s="404">
        <f t="shared" si="86"/>
        <v>-40940</v>
      </c>
      <c r="V18" s="523">
        <f>U18/'Master P&amp;L'!$AD$7*10000</f>
        <v>-0.17085641128454498</v>
      </c>
      <c r="W18" s="523">
        <f>(Y18*H18*T18/S18)/'Master P&amp;L'!$AD$7*10000</f>
        <v>-0.17085641128454498</v>
      </c>
      <c r="X18" s="524">
        <f t="shared" si="87"/>
        <v>0</v>
      </c>
      <c r="Y18" s="525">
        <f t="shared" si="88"/>
        <v>1.78</v>
      </c>
      <c r="Z18" s="526">
        <f>_xll.BDP(D18&amp;" Equity","LAST_PRICE")</f>
        <v>626.14</v>
      </c>
      <c r="AA18" s="526" cm="1">
        <f t="array" ref="AA18">_xll.BDP(B18&amp;" Equity","OPT_STRIKE_PX")</f>
        <v>615</v>
      </c>
      <c r="AB18" s="423">
        <f t="shared" si="89"/>
        <v>-1.7791548216053887E-2</v>
      </c>
      <c r="AC18" s="425" cm="1">
        <f t="array" ref="AC18">_xll.BDP($D18&amp;" Equity","volatility_10d")</f>
        <v>12.688613026617023</v>
      </c>
      <c r="AD18" s="526" cm="1">
        <f t="array" ref="AD18">_xll.BDP(B18&amp;" Equity","ivol_mid")</f>
        <v>18.775459999999999</v>
      </c>
      <c r="AE18" s="526">
        <f t="shared" si="90"/>
        <v>1.4797094024866657</v>
      </c>
      <c r="AF18" s="527" cm="1">
        <f t="array" ref="AF18">_xll.BDP(B18&amp;" Equity","DELTA_MID_RT")</f>
        <v>-0.21224728226661682</v>
      </c>
      <c r="AG18" s="128">
        <f>AL18/'Master P&amp;L'!$AE$7</f>
        <v>1.275630412236735E-3</v>
      </c>
      <c r="AH18" s="128">
        <f>AM18/'Master P&amp;L'!$AE$7</f>
        <v>6.0101142338036505E-3</v>
      </c>
      <c r="AI18" s="528">
        <f>AO18/'Master P&amp;L'!$AD$7*10000</f>
        <v>3.5653194002388013E-2</v>
      </c>
      <c r="AJ18" s="424">
        <f t="shared" si="91"/>
        <v>-0.2961419437255165</v>
      </c>
      <c r="AK18" s="527">
        <f>AP18/'Master P&amp;L'!$AD$7*10000</f>
        <v>9.5986747912665794E-4</v>
      </c>
      <c r="AL18" s="404">
        <f t="shared" si="92"/>
        <v>3056619.8063236475</v>
      </c>
      <c r="AM18" s="404">
        <f t="shared" si="93"/>
        <v>14401219.999999998</v>
      </c>
      <c r="AN18" s="527" cm="1">
        <f t="array" ref="AN18">_xll.BDP($B18&amp;" Equity","theta_mid_rt")</f>
        <v>-0.37143871188163757</v>
      </c>
      <c r="AO18" s="404">
        <f t="shared" si="94"/>
        <v>8543.0903732776642</v>
      </c>
      <c r="AP18" s="404">
        <f t="shared" si="95"/>
        <v>230.0000000000002</v>
      </c>
      <c r="AQ18" s="14" t="str" cm="1">
        <f t="array" ref="AQ18">_xll.BDP($D18&amp;" Equity","EXPECTED_REPORT_DT")</f>
        <v>#N/A N/A</v>
      </c>
      <c r="AR18" s="114" cm="1">
        <f t="array" ref="AR18">_xll.BDP($B18&amp;" Equity","GAMMA_LAST")</f>
        <v>0.119752</v>
      </c>
      <c r="AS18" s="59">
        <f t="shared" si="14"/>
        <v>-10798253.262830816</v>
      </c>
      <c r="AT18" s="59">
        <f t="shared" si="15"/>
        <v>-53991266.314154081</v>
      </c>
      <c r="AU18" s="59" t="s">
        <v>151</v>
      </c>
      <c r="AV18" s="337" t="e" cm="1">
        <f t="array" ref="AV18">_xll.BDP($D18&amp;" Equity","EST_PE_NXT_YR")*(AA18/Z18)</f>
        <v>#VALUE!</v>
      </c>
      <c r="AX18" s="404"/>
      <c r="AY18" s="337">
        <v>1.77</v>
      </c>
      <c r="AZ18" s="529"/>
      <c r="BA18" s="404">
        <f t="shared" si="96"/>
        <v>1.77</v>
      </c>
      <c r="BB18" s="530">
        <f t="shared" si="97"/>
        <v>0</v>
      </c>
      <c r="BC18" s="530">
        <f t="shared" si="98"/>
        <v>40710</v>
      </c>
      <c r="BD18" s="530">
        <f>BC18/'Master P&amp;L'!$AD$7*10000</f>
        <v>0.16989654380541833</v>
      </c>
    </row>
    <row r="19" spans="1:56">
      <c r="A19" s="335"/>
      <c r="B19" s="73" t="s">
        <v>2326</v>
      </c>
      <c r="C19" s="73" t="str" cm="1">
        <f t="array" ref="C19">_xll.BDP($B19&amp;" Equity","opt_put_call")</f>
        <v>Call</v>
      </c>
      <c r="D19" s="73" t="str" cm="1">
        <f t="array" ref="D19">_xll.BDP(B19&amp;" Equity","OPT_UNDL_TICKER")</f>
        <v>INTC US</v>
      </c>
      <c r="E19" s="73" t="str" cm="1">
        <f t="array" ref="E19">_xll.BDP($B19&amp;" Equity","mifid_Maturity_date")</f>
        <v>17/07/2026</v>
      </c>
      <c r="F19" s="73" cm="1">
        <f t="array" ref="F19">_xll.BDP($B19&amp;" Equity","opt_days_expire")</f>
        <v>165</v>
      </c>
      <c r="G19" s="73" t="str" cm="1">
        <f t="array" ref="G19">_xll.BDP(B19&amp;" Equity","QUOTED_CURRENCY_REALTIME")</f>
        <v>USD</v>
      </c>
      <c r="H19" s="42">
        <v>-150</v>
      </c>
      <c r="I19" s="409">
        <v>3.7</v>
      </c>
      <c r="J19" s="14">
        <f>VLOOKUP(B19,Precificação!$B:$O,14,FALSE)</f>
        <v>3.7</v>
      </c>
      <c r="K19" s="14">
        <f t="shared" si="19"/>
        <v>3.7</v>
      </c>
      <c r="L19" s="74" cm="1">
        <f t="array" ref="L19">_xll.BDP($B19&amp;" Equity","mid")</f>
        <v>4.72</v>
      </c>
      <c r="M19" s="75">
        <f t="shared" ref="M19:M22" si="99">L19/Z19</f>
        <v>9.6701495595164916E-2</v>
      </c>
      <c r="N19" s="352"/>
      <c r="O19" s="75">
        <f t="shared" ref="O19:O22" si="100">L19/K19-1</f>
        <v>0.27567567567567552</v>
      </c>
      <c r="P19" s="74" cm="1">
        <f t="array" ref="P19">_xll.BDP($B19&amp;" Equity","bid")</f>
        <v>4.5999999999999996</v>
      </c>
      <c r="Q19" s="74" cm="1">
        <f t="array" ref="Q19">_xll.BDP($B19&amp;" Equity","ask")</f>
        <v>4.8499999999999996</v>
      </c>
      <c r="R19" s="76">
        <f t="shared" ref="R19:R22" si="101">(Q19/P19-1)</f>
        <v>5.4347826086956541E-2</v>
      </c>
      <c r="S19" s="36" cm="1">
        <f t="array" ref="S19">_xll.BDP(G19&amp;" Curncy","PX_LAST")</f>
        <v>1</v>
      </c>
      <c r="T19" s="42" cm="1">
        <f t="array" ref="T19">_xll.BDP(B19&amp;" Equity","OPT_MULTIPLIER")</f>
        <v>100</v>
      </c>
      <c r="U19" s="42">
        <f t="shared" ref="U19:U22" si="102">(L19/S19)*H19*T19</f>
        <v>-70800</v>
      </c>
      <c r="V19" s="113">
        <f>U19/'Master P&amp;L'!$AD$7*10000</f>
        <v>-0.29547225009637967</v>
      </c>
      <c r="W19" s="113">
        <f>(Y19*H19*T19/S19)/'Master P&amp;L'!$AD$7*10000</f>
        <v>-0.29547225009637967</v>
      </c>
      <c r="X19" s="118">
        <f t="shared" ref="X19:X22" si="103">IF(C19="Put",IF(Z19&lt;AA19,AA19-Z19,0),IF(Z19&gt;AA19,Z19-AA19,0))</f>
        <v>0</v>
      </c>
      <c r="Y19" s="272">
        <f t="shared" ref="Y19:Y22" si="104">L19-X19</f>
        <v>4.72</v>
      </c>
      <c r="Z19" s="77">
        <f>_xll.BDP(D19&amp;" Equity","LAST_PRICE")</f>
        <v>48.81</v>
      </c>
      <c r="AA19" s="77" cm="1">
        <f t="array" ref="AA19">_xll.BDP(B19&amp;" Equity","OPT_STRIKE_PX")</f>
        <v>60</v>
      </c>
      <c r="AB19" s="76">
        <f t="shared" ref="AB19:AB22" si="105">AA19/Z19-1</f>
        <v>0.22925629993853702</v>
      </c>
      <c r="AC19" s="323" cm="1">
        <f t="array" ref="AC19">_xll.BDP($D19&amp;" Equity","volatility_10d")</f>
        <v>149.53752988427937</v>
      </c>
      <c r="AD19" s="77" cm="1">
        <f t="array" ref="AD19">_xll.BDP(B19&amp;" Equity","ivol_mid")</f>
        <v>62.225290000000001</v>
      </c>
      <c r="AE19" s="77">
        <f t="shared" ref="AE19:AE22" si="106">AD19/AC19</f>
        <v>0.41611821492673756</v>
      </c>
      <c r="AF19" s="78" cm="1">
        <f t="array" ref="AF19">_xll.BDP(B19&amp;" Equity","DELTA_MID_RT")</f>
        <v>0.40375694632530212</v>
      </c>
      <c r="AG19" s="75">
        <f>AL19/'Master P&amp;L'!$AE$7</f>
        <v>-1.2336828162639622E-4</v>
      </c>
      <c r="AH19" s="75">
        <f>AM19/'Master P&amp;L'!$AE$7</f>
        <v>-3.0555085862720956E-4</v>
      </c>
      <c r="AI19" s="427">
        <f>AO19/'Master P&amp;L'!$AD$7*10000</f>
        <v>1.4857376213255806E-3</v>
      </c>
      <c r="AJ19" s="350">
        <f t="shared" ref="AJ19:AJ21" si="107">(252*AI19)/$AI$1</f>
        <v>-1.2340808147960399E-2</v>
      </c>
      <c r="AK19" s="78">
        <f>AP19/'Master P&amp;L'!$AD$7*10000</f>
        <v>-6.3852054046251508E-2</v>
      </c>
      <c r="AL19" s="42">
        <f t="shared" ref="AL19:AL22" si="108">Z19*AF19*H19*T19/S19</f>
        <v>-295610.64825206995</v>
      </c>
      <c r="AM19" s="42">
        <f t="shared" ref="AM19:AM22" si="109">IF(C19="Put",-Z19*H19*T19/S19,Z19*H19*T19/S19)</f>
        <v>-732150</v>
      </c>
      <c r="AN19" s="78" cm="1">
        <f t="array" ref="AN19">_xll.BDP($B19&amp;" Equity","theta_mid_rt")</f>
        <v>-2.3733807727694511E-2</v>
      </c>
      <c r="AO19" s="42">
        <f t="shared" ref="AO19:AO22" si="110">AN19*H19*T19/S19</f>
        <v>356.00711591541767</v>
      </c>
      <c r="AP19" s="42">
        <f t="shared" ref="AP19:AP22" si="111">(L19-K19)*T19/S19*H19</f>
        <v>-15299.999999999993</v>
      </c>
      <c r="AQ19" s="74" t="str" cm="1">
        <f t="array" ref="AQ19">_xll.BDP($D19&amp;" Equity","EXPECTED_REPORT_DT")</f>
        <v>24/04/2026</v>
      </c>
      <c r="AR19" s="235" cm="1">
        <f t="array" ref="AR19">_xll.BDP($B19&amp;" Equity","GAMMA_LAST")</f>
        <v>9.2639999999999997E-3</v>
      </c>
      <c r="AS19" s="73">
        <f t="shared" si="14"/>
        <v>-3310.6054125600003</v>
      </c>
      <c r="AT19" s="73">
        <f t="shared" si="15"/>
        <v>-16553.027062800003</v>
      </c>
      <c r="AU19" s="73" t="s">
        <v>151</v>
      </c>
      <c r="AV19" s="322" cm="1">
        <f t="array" ref="AV19">_xll.BDP($D19&amp;" Equity","EST_PE_NXT_YR")*(AA19/Z19)</f>
        <v>60.122142040320576</v>
      </c>
      <c r="AW19" s="73"/>
      <c r="AX19" s="42"/>
      <c r="AY19" s="322">
        <v>4.72</v>
      </c>
      <c r="AZ19" s="354"/>
      <c r="BA19" s="42">
        <f t="shared" ref="BA19:BA22" si="112">+AY19</f>
        <v>4.72</v>
      </c>
      <c r="BB19" s="346">
        <f t="shared" ref="BB19:BB22" si="113">+J19</f>
        <v>3.7</v>
      </c>
      <c r="BC19" s="346">
        <f t="shared" ref="BC19:BC22" si="114">(BB19-BA19)*H19*100</f>
        <v>15299.999999999995</v>
      </c>
      <c r="BD19" s="346">
        <f>BC19/'Master P&amp;L'!$AD$7*10000</f>
        <v>6.3852054046251522E-2</v>
      </c>
    </row>
    <row r="20" spans="1:56" s="59" customFormat="1">
      <c r="A20" s="356"/>
      <c r="B20" t="s">
        <v>2325</v>
      </c>
      <c r="C20" t="str" cm="1">
        <f t="array" ref="C20">_xll.BDP($B20&amp;" Equity","opt_put_call")</f>
        <v>Call</v>
      </c>
      <c r="D20" t="str" cm="1">
        <f t="array" ref="D20">_xll.BDP(B20&amp;" Equity","OPT_UNDL_TICKER")</f>
        <v>INTC US</v>
      </c>
      <c r="E20" t="str" cm="1">
        <f t="array" ref="E20">_xll.BDP($B20&amp;" Equity","mifid_Maturity_date")</f>
        <v>17/07/2026</v>
      </c>
      <c r="F20" cm="1">
        <f t="array" ref="F20">_xll.BDP($B20&amp;" Equity","opt_days_expire")</f>
        <v>165</v>
      </c>
      <c r="G20" t="str" cm="1">
        <f t="array" ref="G20">_xll.BDP(B20&amp;" Equity","QUOTED_CURRENCY_REALTIME")</f>
        <v>USD</v>
      </c>
      <c r="H20" s="15">
        <v>275</v>
      </c>
      <c r="I20" s="410">
        <v>6.6</v>
      </c>
      <c r="J20" s="14">
        <f>VLOOKUP(B20,Precificação!$B:$O,14,FALSE)</f>
        <v>6.3000000000000007</v>
      </c>
      <c r="K20" s="14">
        <f t="shared" si="19"/>
        <v>6.3000000000000007</v>
      </c>
      <c r="L20" s="74" cm="1">
        <f t="array" ref="L20">_xll.BDP($B20&amp;" Equity","mid")</f>
        <v>7.78</v>
      </c>
      <c r="M20" s="19">
        <f t="shared" si="99"/>
        <v>0.15939356689203033</v>
      </c>
      <c r="N20" s="350"/>
      <c r="O20" s="19">
        <f t="shared" si="100"/>
        <v>0.23492063492063475</v>
      </c>
      <c r="P20" s="36" cm="1">
        <f t="array" ref="P20">_xll.BDP($B20&amp;" Equity","bid")</f>
        <v>7.5</v>
      </c>
      <c r="Q20" s="36" cm="1">
        <f t="array" ref="Q20">_xll.BDP($B20&amp;" Equity","ask")</f>
        <v>8.0500000000000007</v>
      </c>
      <c r="R20" s="40">
        <f t="shared" si="101"/>
        <v>7.3333333333333472E-2</v>
      </c>
      <c r="S20" s="36" cm="1">
        <f t="array" ref="S20">_xll.BDP(G20&amp;" Curncy","PX_LAST")</f>
        <v>1</v>
      </c>
      <c r="T20" s="15" cm="1">
        <f t="array" ref="T20">_xll.BDP(B20&amp;" Equity","OPT_MULTIPLIER")</f>
        <v>100</v>
      </c>
      <c r="U20" s="15">
        <f t="shared" si="102"/>
        <v>213950</v>
      </c>
      <c r="V20" s="124">
        <f>U20/'Master P&amp;L'!$AD$7*10000</f>
        <v>0.89288542243107949</v>
      </c>
      <c r="W20" s="124">
        <f>(Y20*H20*T20/S20)/'Master P&amp;L'!$AD$7*10000</f>
        <v>0.89288542243107949</v>
      </c>
      <c r="X20" s="413">
        <f t="shared" si="103"/>
        <v>0</v>
      </c>
      <c r="Y20" s="273">
        <f t="shared" si="104"/>
        <v>7.78</v>
      </c>
      <c r="Z20" s="37">
        <f>_xll.BDP(D20&amp;" Equity","LAST_PRICE")</f>
        <v>48.81</v>
      </c>
      <c r="AA20" s="37" cm="1">
        <f t="array" ref="AA20">_xll.BDP(B20&amp;" Equity","OPT_STRIKE_PX")</f>
        <v>50</v>
      </c>
      <c r="AB20" s="40">
        <f t="shared" si="105"/>
        <v>2.4380249948780852E-2</v>
      </c>
      <c r="AC20" s="324" cm="1">
        <f t="array" ref="AC20">_xll.BDP($D20&amp;" Equity","volatility_10d")</f>
        <v>149.53752988427937</v>
      </c>
      <c r="AD20" s="37" cm="1">
        <f t="array" ref="AD20">_xll.BDP(B20&amp;" Equity","ivol_mid")</f>
        <v>60.518740000000001</v>
      </c>
      <c r="AE20" s="37">
        <f t="shared" si="106"/>
        <v>0.40470602962903585</v>
      </c>
      <c r="AF20" s="38" cm="1">
        <f t="array" ref="AF20">_xll.BDP(B20&amp;" Equity","DELTA_MID_RT")</f>
        <v>0.57376039028167725</v>
      </c>
      <c r="AG20" s="19">
        <f>AL20/'Master P&amp;L'!$AE$7</f>
        <v>3.2140712981089045E-4</v>
      </c>
      <c r="AH20" s="19">
        <f>AM20/'Master P&amp;L'!$AE$7</f>
        <v>5.6017657414988422E-4</v>
      </c>
      <c r="AI20" s="426">
        <f>AO20/'Master P&amp;L'!$AD$7*10000</f>
        <v>-2.6758086219735803E-3</v>
      </c>
      <c r="AJ20" s="350">
        <f t="shared" si="107"/>
        <v>2.2225755322108767E-2</v>
      </c>
      <c r="AK20" s="38">
        <f>AP20/'Master P&amp;L'!$AD$7*10000</f>
        <v>0.16985481043676057</v>
      </c>
      <c r="AL20" s="15">
        <f t="shared" si="108"/>
        <v>770144.22786533833</v>
      </c>
      <c r="AM20" s="15">
        <f t="shared" si="109"/>
        <v>1342275</v>
      </c>
      <c r="AN20" s="38" cm="1">
        <f t="array" ref="AN20">_xll.BDP($B20&amp;" Equity","theta_mid_rt")</f>
        <v>-2.33151875436306E-2</v>
      </c>
      <c r="AO20" s="15">
        <f t="shared" si="110"/>
        <v>-641.1676574498415</v>
      </c>
      <c r="AP20" s="15">
        <f t="shared" si="111"/>
        <v>40699.999999999985</v>
      </c>
      <c r="AQ20" s="36" t="str" cm="1">
        <f t="array" ref="AQ20">_xll.BDP($D20&amp;" Equity","EXPECTED_REPORT_DT")</f>
        <v>24/04/2026</v>
      </c>
      <c r="AR20" s="66" cm="1">
        <f t="array" ref="AR20">_xll.BDP($B20&amp;" Equity","GAMMA_LAST")</f>
        <v>9.5329999999999998E-3</v>
      </c>
      <c r="AS20">
        <f t="shared" si="14"/>
        <v>6245.6824873575006</v>
      </c>
      <c r="AT20">
        <f t="shared" si="15"/>
        <v>31228.412436787505</v>
      </c>
      <c r="AU20" t="s">
        <v>151</v>
      </c>
      <c r="AV20" s="277" cm="1">
        <f t="array" ref="AV20">_xll.BDP($D20&amp;" Equity","EST_PE_NXT_YR")*(AA20/Z20)</f>
        <v>50.101785033600478</v>
      </c>
      <c r="AW20"/>
      <c r="AX20" s="15"/>
      <c r="AY20" s="277">
        <v>7.78</v>
      </c>
      <c r="AZ20" s="355"/>
      <c r="BA20" s="15">
        <f t="shared" si="112"/>
        <v>7.78</v>
      </c>
      <c r="BB20" s="414">
        <f t="shared" si="113"/>
        <v>6.3000000000000007</v>
      </c>
      <c r="BC20" s="414">
        <f t="shared" si="114"/>
        <v>-40699.999999999985</v>
      </c>
      <c r="BD20" s="414">
        <f>BC20/'Master P&amp;L'!$AD$7*10000</f>
        <v>-0.16985481043676057</v>
      </c>
    </row>
    <row r="21" spans="1:56">
      <c r="A21" s="335"/>
      <c r="B21" s="73" t="s">
        <v>2324</v>
      </c>
      <c r="C21" s="73" t="str" cm="1">
        <f t="array" ref="C21">_xll.BDP($B21&amp;" Equity","opt_put_call")</f>
        <v>Put</v>
      </c>
      <c r="D21" s="73" t="str" cm="1">
        <f t="array" ref="D21">_xll.BDP(B21&amp;" Equity","OPT_UNDL_TICKER")</f>
        <v>INTC US</v>
      </c>
      <c r="E21" s="73" t="str" cm="1">
        <f t="array" ref="E21">_xll.BDP($B21&amp;" Equity","mifid_Maturity_date")</f>
        <v>17/07/2026</v>
      </c>
      <c r="F21" s="73" cm="1">
        <f t="array" ref="F21">_xll.BDP($B21&amp;" Equity","opt_days_expire")</f>
        <v>165</v>
      </c>
      <c r="G21" s="73" t="str" cm="1">
        <f t="array" ref="G21">_xll.BDP(B21&amp;" Equity","QUOTED_CURRENCY_REALTIME")</f>
        <v>USD</v>
      </c>
      <c r="H21" s="42">
        <v>-150</v>
      </c>
      <c r="I21" s="409">
        <v>3.8</v>
      </c>
      <c r="J21" s="14">
        <f>VLOOKUP(B21,Precificação!$B:$O,14,FALSE)</f>
        <v>3.6749999999999998</v>
      </c>
      <c r="K21" s="14">
        <f t="shared" si="19"/>
        <v>3.6749999999999998</v>
      </c>
      <c r="L21" s="74" cm="1">
        <f t="array" ref="L21">_xll.BDP($B21&amp;" Equity","mid")</f>
        <v>3.27</v>
      </c>
      <c r="M21" s="75">
        <f t="shared" si="99"/>
        <v>6.6994468346650279E-2</v>
      </c>
      <c r="N21" s="352"/>
      <c r="O21" s="75">
        <f t="shared" si="100"/>
        <v>-0.11020408163265305</v>
      </c>
      <c r="P21" s="74" cm="1">
        <f t="array" ref="P21">_xll.BDP($B21&amp;" Equity","bid")</f>
        <v>3.05</v>
      </c>
      <c r="Q21" s="74" cm="1">
        <f t="array" ref="Q21">_xll.BDP($B21&amp;" Equity","ask")</f>
        <v>3.5</v>
      </c>
      <c r="R21" s="76">
        <f t="shared" si="101"/>
        <v>0.14754098360655754</v>
      </c>
      <c r="S21" s="36" cm="1">
        <f t="array" ref="S21">_xll.BDP(G21&amp;" Curncy","PX_LAST")</f>
        <v>1</v>
      </c>
      <c r="T21" s="42" cm="1">
        <f t="array" ref="T21">_xll.BDP(B21&amp;" Equity","OPT_MULTIPLIER")</f>
        <v>100</v>
      </c>
      <c r="U21" s="42">
        <f t="shared" si="102"/>
        <v>-49050</v>
      </c>
      <c r="V21" s="113">
        <f>U21/'Master P&amp;L'!$AD$7*10000</f>
        <v>-0.20470217326592405</v>
      </c>
      <c r="W21" s="113">
        <f>(Y21*H21*T21/S21)/'Master P&amp;L'!$AD$7*10000</f>
        <v>-0.20470217326592405</v>
      </c>
      <c r="X21" s="118">
        <f t="shared" si="103"/>
        <v>0</v>
      </c>
      <c r="Y21" s="272">
        <f t="shared" si="104"/>
        <v>3.27</v>
      </c>
      <c r="Z21" s="77">
        <f>_xll.BDP(D21&amp;" Equity","LAST_PRICE")</f>
        <v>48.81</v>
      </c>
      <c r="AA21" s="77" cm="1">
        <f t="array" ref="AA21">_xll.BDP(B21&amp;" Equity","OPT_STRIKE_PX")</f>
        <v>40</v>
      </c>
      <c r="AB21" s="76">
        <f t="shared" si="105"/>
        <v>-0.18049580004097521</v>
      </c>
      <c r="AC21" s="323" cm="1">
        <f t="array" ref="AC21">_xll.BDP($D21&amp;" Equity","volatility_10d")</f>
        <v>149.53752988427937</v>
      </c>
      <c r="AD21" s="77" cm="1">
        <f t="array" ref="AD21">_xll.BDP(B21&amp;" Equity","ivol_mid")</f>
        <v>59.673569999999998</v>
      </c>
      <c r="AE21" s="77">
        <f t="shared" si="106"/>
        <v>0.39905413742074514</v>
      </c>
      <c r="AF21" s="78" cm="1">
        <f t="array" ref="AF21">_xll.BDP(B21&amp;" Equity","DELTA_MID_RT")</f>
        <v>-0.23269110918045044</v>
      </c>
      <c r="AG21" s="75">
        <f>AL21/'Master P&amp;L'!$AE$7</f>
        <v>7.1098968205004413E-5</v>
      </c>
      <c r="AH21" s="75">
        <f>AM21/'Master P&amp;L'!$AE$7</f>
        <v>3.0555085862720956E-4</v>
      </c>
      <c r="AI21" s="427">
        <f>AO21/'Master P&amp;L'!$AD$7*10000</f>
        <v>1.1280239403254316E-3</v>
      </c>
      <c r="AJ21" s="350">
        <f t="shared" si="107"/>
        <v>-9.3695729542355895E-3</v>
      </c>
      <c r="AK21" s="78">
        <f>AP21/'Master P&amp;L'!$AD$7*10000</f>
        <v>2.5353021459541037E-2</v>
      </c>
      <c r="AL21" s="42">
        <f t="shared" si="108"/>
        <v>170364.79558646682</v>
      </c>
      <c r="AM21" s="42">
        <f t="shared" si="109"/>
        <v>732150</v>
      </c>
      <c r="AN21" s="78" cm="1">
        <f t="array" ref="AN21">_xll.BDP($B21&amp;" Equity","theta_mid_rt")</f>
        <v>-1.8019536510109901E-2</v>
      </c>
      <c r="AO21" s="42">
        <f t="shared" si="110"/>
        <v>270.29304765164852</v>
      </c>
      <c r="AP21" s="42">
        <f t="shared" si="111"/>
        <v>6074.9999999999964</v>
      </c>
      <c r="AQ21" s="74" t="str" cm="1">
        <f t="array" ref="AQ21">_xll.BDP($D21&amp;" Equity","EXPECTED_REPORT_DT")</f>
        <v>24/04/2026</v>
      </c>
      <c r="AR21" s="235" cm="1">
        <f t="array" ref="AR21">_xll.BDP($B21&amp;" Equity","GAMMA_LAST")</f>
        <v>7.6309999999999998E-3</v>
      </c>
      <c r="AS21" s="73">
        <f t="shared" si="14"/>
        <v>-2727.0325888650004</v>
      </c>
      <c r="AT21" s="73">
        <f t="shared" si="15"/>
        <v>-13635.162944325</v>
      </c>
      <c r="AU21" s="73" t="s">
        <v>151</v>
      </c>
      <c r="AV21" s="322" cm="1">
        <f t="array" ref="AV21">_xll.BDP($D21&amp;" Equity","EST_PE_NXT_YR")*(AA21/Z21)</f>
        <v>40.081428026880388</v>
      </c>
      <c r="AW21" s="73"/>
      <c r="AX21" s="42"/>
      <c r="AY21" s="322">
        <v>3.27</v>
      </c>
      <c r="AZ21" s="354"/>
      <c r="BA21" s="42">
        <f t="shared" si="112"/>
        <v>3.27</v>
      </c>
      <c r="BB21" s="346">
        <f t="shared" si="113"/>
        <v>3.6749999999999998</v>
      </c>
      <c r="BC21" s="346">
        <f t="shared" si="114"/>
        <v>-6074.9999999999973</v>
      </c>
      <c r="BD21" s="346">
        <f>BC21/'Master P&amp;L'!$AD$7*10000</f>
        <v>-2.5353021459541041E-2</v>
      </c>
    </row>
    <row r="22" spans="1:56" s="59" customFormat="1">
      <c r="A22" s="522"/>
      <c r="B22" s="59" t="s">
        <v>2486</v>
      </c>
      <c r="C22" s="59" t="s">
        <v>2464</v>
      </c>
      <c r="D22" s="59" t="str" cm="1">
        <f t="array" ref="D22">_xll.BDP(B22&amp;" INDEX","OPT_UNDL_TICKER")</f>
        <v>1OH6</v>
      </c>
      <c r="E22" s="59" t="str" cm="1">
        <f t="array" ref="E22">_xll.BDP($B22&amp;" INDEX","mifid_Maturity_date")</f>
        <v>06/02/2026</v>
      </c>
      <c r="F22" s="59" cm="1">
        <f t="array" ref="F22">_xll.BDP($B22&amp;" INDEX","opt_days_expire")</f>
        <v>4</v>
      </c>
      <c r="G22" s="59" t="str" cm="1">
        <f t="array" ref="G22">_xll.BDP(B22&amp;" INDEX","QUOTED_CURRENCY_REALTIME")</f>
        <v>USD</v>
      </c>
      <c r="H22" s="404">
        <v>20</v>
      </c>
      <c r="I22" s="411"/>
      <c r="J22" s="14"/>
      <c r="K22" s="14">
        <v>144.25</v>
      </c>
      <c r="L22" s="74" cm="1">
        <f t="array" ref="L22">_xll.BDP($B22&amp;" INDEX","mid")</f>
        <v>160</v>
      </c>
      <c r="M22" s="128">
        <f t="shared" si="99"/>
        <v>6.1837541184768642E-3</v>
      </c>
      <c r="N22" s="424"/>
      <c r="O22" s="128">
        <f t="shared" si="100"/>
        <v>0.10918544194107449</v>
      </c>
      <c r="P22" s="14" cm="1">
        <f t="array" ref="P22">_xll.BDP($B22&amp;" INDEX","bid")</f>
        <v>158</v>
      </c>
      <c r="Q22" s="14" cm="1">
        <f t="array" ref="Q22">_xll.BDP($B22&amp;" INDEX","ask")</f>
        <v>162</v>
      </c>
      <c r="R22" s="423">
        <f t="shared" si="101"/>
        <v>2.5316455696202445E-2</v>
      </c>
      <c r="S22" s="14" cm="1">
        <f t="array" ref="S22">_xll.BDP(G22&amp;" Curncy","PX_LAST")</f>
        <v>1</v>
      </c>
      <c r="T22" s="404">
        <v>20</v>
      </c>
      <c r="U22" s="404">
        <f t="shared" si="102"/>
        <v>64000</v>
      </c>
      <c r="V22" s="523">
        <f>U22/'Master P&amp;L'!$AD$7*10000</f>
        <v>0.26709355940915674</v>
      </c>
      <c r="W22" s="523">
        <f>(Y22*H22*T22/S22)/'Master P&amp;L'!$AD$7*10000</f>
        <v>0.26709355940915674</v>
      </c>
      <c r="X22" s="524">
        <f t="shared" si="103"/>
        <v>0</v>
      </c>
      <c r="Y22" s="525">
        <f t="shared" si="104"/>
        <v>160</v>
      </c>
      <c r="Z22" s="526">
        <f>_xll.BDP(D22&amp;" INDEX","LAST_PRICE")</f>
        <v>25874.25</v>
      </c>
      <c r="AA22" s="526" cm="1">
        <f t="array" ref="AA22">_xll.BDP(B22&amp;" INDEX","OPT_STRIKE_PX")</f>
        <v>25750</v>
      </c>
      <c r="AB22" s="423">
        <f t="shared" si="105"/>
        <v>-4.8020715576296835E-3</v>
      </c>
      <c r="AC22" s="425" cm="1">
        <f t="array" ref="AC22">_xll.BDP($D22&amp;" INDEX","volatility_10d")</f>
        <v>13.2735595703125</v>
      </c>
      <c r="AD22" s="526" cm="1">
        <f t="array" ref="AD22">_xll.BDP(B22&amp;" INDEX","ivol_mid")</f>
        <v>21.374735000000001</v>
      </c>
      <c r="AE22" s="526">
        <f t="shared" si="106"/>
        <v>1.6103242605552848</v>
      </c>
      <c r="AF22" s="527" cm="1">
        <f t="array" ref="AF22">_xll.BDP(B22&amp;" INDEX","DELTA_MID_RT")</f>
        <v>-0.40436765551567078</v>
      </c>
      <c r="AG22" s="128">
        <f>AL22/'Master P&amp;L'!$AE$7</f>
        <v>-1.7465765027575026E-3</v>
      </c>
      <c r="AH22" s="128">
        <f>AM22/'Master P&amp;L'!$AE$7</f>
        <v>-4.3192784559639838E-3</v>
      </c>
      <c r="AI22" s="427">
        <f>AO22/'Master P&amp;L'!$AD$7*10000</f>
        <v>-5.7642483360601265E-2</v>
      </c>
      <c r="AJ22" s="350">
        <f t="shared" ref="AJ22" si="115">(252*AI22)/$AI$1</f>
        <v>0.478788998888314</v>
      </c>
      <c r="AK22" s="527">
        <f>AP22/'Master P&amp;L'!$AD$7*10000</f>
        <v>2.6292022254338868E-2</v>
      </c>
      <c r="AL22" s="404">
        <f t="shared" si="108"/>
        <v>-4185083.9242905378</v>
      </c>
      <c r="AM22" s="404">
        <f t="shared" si="109"/>
        <v>-10349700</v>
      </c>
      <c r="AN22" s="527" cm="1">
        <f t="array" ref="AN22">_xll.BDP($B22&amp;" INDEX","theta_mid_rt")</f>
        <v>-34.53021240234375</v>
      </c>
      <c r="AO22" s="404">
        <f t="shared" si="110"/>
        <v>-13812.0849609375</v>
      </c>
      <c r="AP22" s="404">
        <f t="shared" si="111"/>
        <v>6300</v>
      </c>
      <c r="AQ22" s="14" t="str" cm="1">
        <f t="array" ref="AQ22">_xll.BDP($D22&amp;" INDEX","EXPECTED_REPORT_DT")</f>
        <v>#N/A Field Not Applicable</v>
      </c>
      <c r="AR22" s="114" cm="1">
        <f t="array" ref="AR22">_xll.BDP($B22&amp;" INDEX","GAMMA_LAST")</f>
        <v>0.17950099999999999</v>
      </c>
      <c r="AS22" s="59">
        <f t="shared" si="14"/>
        <v>480687029.68612725</v>
      </c>
      <c r="AT22" s="59">
        <f t="shared" si="15"/>
        <v>2403435148.4306364</v>
      </c>
      <c r="AU22" s="59" t="s">
        <v>151</v>
      </c>
      <c r="AV22" s="337" t="e" cm="1">
        <f t="array" ref="AV22">_xll.BDP($D22&amp;" INDEX","EST_PE_NXT_YR")*(AA22/Z22)</f>
        <v>#VALUE!</v>
      </c>
      <c r="AX22" s="404"/>
      <c r="AY22" s="337">
        <v>158.25</v>
      </c>
      <c r="AZ22" s="529"/>
      <c r="BA22" s="404">
        <f t="shared" si="112"/>
        <v>158.25</v>
      </c>
      <c r="BB22" s="530">
        <f t="shared" si="113"/>
        <v>0</v>
      </c>
      <c r="BC22" s="530">
        <f t="shared" si="114"/>
        <v>-316500</v>
      </c>
      <c r="BD22" s="530">
        <f>BC22/'Master P&amp;L'!$AD$7*10000</f>
        <v>-1.3208611180155956</v>
      </c>
    </row>
    <row r="23" spans="1:56">
      <c r="A23" s="335"/>
      <c r="B23" s="321" t="s">
        <v>2462</v>
      </c>
      <c r="C23" s="73" t="s">
        <v>2464</v>
      </c>
      <c r="D23" s="73" t="str" cm="1">
        <f t="array" ref="D23">_xll.BDP(B23&amp;" INDEX","OPT_UNDL_TICKER")</f>
        <v>1OH6</v>
      </c>
      <c r="E23" s="73" t="str" cm="1">
        <f t="array" ref="E23">_xll.BDP($B23&amp;" INDEX","mifid_Maturity_date")</f>
        <v>06/02/2026</v>
      </c>
      <c r="F23" s="73" cm="1">
        <f t="array" ref="F23">_xll.BDP($B23&amp;" INDEX","opt_days_expire")</f>
        <v>4</v>
      </c>
      <c r="G23" s="73" t="str" cm="1">
        <f t="array" ref="G23">_xll.BDP(B23&amp;" INDEX","QUOTED_CURRENCY_REALTIME")</f>
        <v>USD</v>
      </c>
      <c r="H23" s="42">
        <v>20</v>
      </c>
      <c r="I23" s="409">
        <v>237.5</v>
      </c>
      <c r="J23" s="14" t="e">
        <f>VLOOKUP(B23,Precificação!$B:$O,14,FALSE)</f>
        <v>#N/A</v>
      </c>
      <c r="K23" s="14">
        <v>237.5</v>
      </c>
      <c r="L23" s="74">
        <v>155</v>
      </c>
      <c r="M23" s="75">
        <f t="shared" ref="M23" si="116">L23/Z23</f>
        <v>5.9905118022744617E-3</v>
      </c>
      <c r="N23" s="352"/>
      <c r="O23" s="75">
        <f t="shared" ref="O23" si="117">L23/K23-1</f>
        <v>-0.34736842105263155</v>
      </c>
      <c r="P23" s="74" cm="1">
        <f t="array" ref="P23">_xll.BDP($B23&amp;" INDEX","bid")</f>
        <v>30.75</v>
      </c>
      <c r="Q23" s="74" cm="1">
        <f t="array" ref="Q23">_xll.BDP($B23&amp;" INDEX","ask")</f>
        <v>33</v>
      </c>
      <c r="R23" s="76">
        <f t="shared" ref="R23" si="118">(Q23/P23-1)</f>
        <v>7.3170731707317138E-2</v>
      </c>
      <c r="S23" s="36" cm="1">
        <f t="array" ref="S23">_xll.BDP(G23&amp;" Curncy","PX_LAST")</f>
        <v>1</v>
      </c>
      <c r="T23" s="42">
        <v>20</v>
      </c>
      <c r="U23" s="42">
        <f t="shared" ref="U23" si="119">(L23/S23)*H23*T23</f>
        <v>62000</v>
      </c>
      <c r="V23" s="113">
        <f>U23/'Master P&amp;L'!$AD$7*10000</f>
        <v>0.25874688567762061</v>
      </c>
      <c r="W23" s="113">
        <f>(Y23*H23*T23/S23)/'Master P&amp;L'!$AD$7*10000</f>
        <v>0.25874688567762061</v>
      </c>
      <c r="X23" s="118">
        <f t="shared" ref="X23" si="120">IF(C23="Put",IF(Z23&lt;AA23,AA23-Z23,0),IF(Z23&gt;AA23,Z23-AA23,0))</f>
        <v>0</v>
      </c>
      <c r="Y23" s="272">
        <f t="shared" ref="Y23" si="121">L23-X23</f>
        <v>155</v>
      </c>
      <c r="Z23" s="77">
        <f>_xll.BDP(D23&amp;" INDEX","LAST_PRICE")</f>
        <v>25874.25</v>
      </c>
      <c r="AA23" s="77" cm="1">
        <f t="array" ref="AA23">_xll.BDP(B23&amp;" INDEX","OPT_STRIKE_PX")</f>
        <v>25000</v>
      </c>
      <c r="AB23" s="76">
        <f t="shared" ref="AB23" si="122">AA23/Z23-1</f>
        <v>-3.378841898799001E-2</v>
      </c>
      <c r="AC23" s="323" cm="1">
        <f t="array" ref="AC23">_xll.BDP($D23&amp;" INDEX","volatility_10d")</f>
        <v>13.2735595703125</v>
      </c>
      <c r="AD23" s="77" cm="1">
        <f t="array" ref="AD23">_xll.BDP(B23&amp;" INDEX","ivol_mid")</f>
        <v>27.43817</v>
      </c>
      <c r="AE23" s="77">
        <f t="shared" ref="AE23" si="123">AD23/AC23</f>
        <v>2.0671297593275519</v>
      </c>
      <c r="AF23" s="78" cm="1">
        <f t="array" ref="AF23">_xll.BDP(B23&amp;" INDEX","DELTA_MID_RT")</f>
        <v>-9.6808083355426788E-2</v>
      </c>
      <c r="AG23" s="75">
        <f>AL23/'Master P&amp;L'!$AE$7</f>
        <v>-4.1814106880026049E-4</v>
      </c>
      <c r="AH23" s="75">
        <f>AM23/'Master P&amp;L'!$AE$7</f>
        <v>-4.3192784559639838E-3</v>
      </c>
      <c r="AI23" s="427"/>
      <c r="AJ23" s="350"/>
      <c r="AK23" s="78">
        <f>AP23/'Master P&amp;L'!$AD$7*10000</f>
        <v>-0.13772011657034647</v>
      </c>
      <c r="AL23" s="42">
        <f t="shared" ref="AL23" si="124">Z23*AF23*H23*T23/S23</f>
        <v>-1001934.6203036606</v>
      </c>
      <c r="AM23" s="42">
        <f t="shared" ref="AM23" si="125">IF(C23="Put",-Z23*H23*T23/S23,Z23*H23*T23/S23)</f>
        <v>-10349700</v>
      </c>
      <c r="AN23" s="78" cm="1">
        <f t="array" ref="AN23">_xll.BDP($B23&amp;" INDEX","theta_mid_rt")</f>
        <v>-16.687887191772461</v>
      </c>
      <c r="AO23" s="42">
        <f t="shared" ref="AO23" si="126">AN23*H23*T23/S23</f>
        <v>-6675.1548767089844</v>
      </c>
      <c r="AP23" s="42">
        <f t="shared" ref="AP23" si="127">(L23-K23)*T23/S23*H23</f>
        <v>-33000</v>
      </c>
      <c r="AQ23" s="74" t="str" cm="1">
        <f t="array" ref="AQ23">_xll.BDP($D23&amp;" INDEX","EXPECTED_REPORT_DT")</f>
        <v>#N/A Field Not Applicable</v>
      </c>
      <c r="AR23" s="235" cm="1">
        <f t="array" ref="AR23">_xll.BDP($B23&amp;" INDEX","GAMMA_LAST")</f>
        <v>5.7029000000000003E-2</v>
      </c>
      <c r="AS23" s="73">
        <f t="shared" si="14"/>
        <v>152718372.68856525</v>
      </c>
      <c r="AT23" s="73">
        <f t="shared" si="15"/>
        <v>763591863.44282639</v>
      </c>
      <c r="AU23" s="73" t="s">
        <v>151</v>
      </c>
      <c r="AV23" s="322" t="e" cm="1">
        <f t="array" ref="AV23">_xll.BDP($D23&amp;" INDEX","EST_PE_NXT_YR")*(AA23/Z23)</f>
        <v>#VALUE!</v>
      </c>
      <c r="AW23" s="73"/>
      <c r="AX23" s="42"/>
      <c r="AY23" s="322">
        <v>155</v>
      </c>
      <c r="AZ23" s="354"/>
      <c r="BA23" s="42">
        <f t="shared" ref="BA23" si="128">+AY23</f>
        <v>155</v>
      </c>
      <c r="BB23" s="346" t="e">
        <f t="shared" ref="BB23" si="129">+J23</f>
        <v>#N/A</v>
      </c>
      <c r="BC23" s="346" t="e">
        <f t="shared" ref="BC23" si="130">(BB23-BA23)*H23*100</f>
        <v>#N/A</v>
      </c>
      <c r="BD23" s="346" t="e">
        <f>BC23/'Master P&amp;L'!$AD$7*10000</f>
        <v>#N/A</v>
      </c>
    </row>
    <row r="24" spans="1:56" s="59" customFormat="1">
      <c r="A24" s="356"/>
      <c r="B24" t="s">
        <v>2225</v>
      </c>
      <c r="C24" t="str" cm="1">
        <f t="array" ref="C24">_xll.BDP($B24&amp;" Equity","opt_put_call")</f>
        <v>Call</v>
      </c>
      <c r="D24" t="str" cm="1">
        <f t="array" ref="D24">_xll.BDP(B24&amp;" Equity","OPT_UNDL_TICKER")</f>
        <v>TSM US</v>
      </c>
      <c r="E24" t="str" cm="1">
        <f t="array" ref="E24">_xll.BDP($B24&amp;" Equity","mifid_Maturity_date")</f>
        <v>18/06/2026</v>
      </c>
      <c r="F24" cm="1">
        <f t="array" ref="F24">_xll.BDP($B24&amp;" Equity","opt_days_expire")</f>
        <v>136</v>
      </c>
      <c r="G24" t="str" cm="1">
        <f t="array" ref="G24">_xll.BDP(B24&amp;" Equity","QUOTED_CURRENCY_REALTIME")</f>
        <v>USD</v>
      </c>
      <c r="H24" s="15">
        <v>1550</v>
      </c>
      <c r="I24" s="410">
        <v>34.200000000000003</v>
      </c>
      <c r="J24" s="14">
        <f>VLOOKUP(B24,Precificação!$B:$O,14,FALSE)</f>
        <v>28.825000000000003</v>
      </c>
      <c r="K24" s="14">
        <f t="shared" ref="K24" si="131">+J24</f>
        <v>28.825000000000003</v>
      </c>
      <c r="L24" s="74" cm="1">
        <f t="array" ref="L24">_xll.BDP($B24&amp;" Equity","mid")</f>
        <v>34.83</v>
      </c>
      <c r="M24" s="19">
        <f t="shared" si="1"/>
        <v>0.10203304429341457</v>
      </c>
      <c r="N24" s="350"/>
      <c r="O24" s="19">
        <f t="shared" si="2"/>
        <v>0.20832610581092781</v>
      </c>
      <c r="P24" s="36" cm="1">
        <f t="array" ref="P24">_xll.BDP($B24&amp;" Equity","bid")</f>
        <v>34.35</v>
      </c>
      <c r="Q24" s="36" cm="1">
        <f t="array" ref="Q24">_xll.BDP($B24&amp;" Equity","ask")</f>
        <v>35.299999999999997</v>
      </c>
      <c r="R24" s="40">
        <f t="shared" si="3"/>
        <v>2.7656477438136706E-2</v>
      </c>
      <c r="S24" s="36" cm="1">
        <f t="array" ref="S24">_xll.BDP(G24&amp;" Curncy","PX_LAST")</f>
        <v>1</v>
      </c>
      <c r="T24" s="15" cm="1">
        <f t="array" ref="T24">_xll.BDP(B24&amp;" Equity","OPT_MULTIPLIER")</f>
        <v>100</v>
      </c>
      <c r="U24" s="15">
        <f t="shared" si="4"/>
        <v>5398650</v>
      </c>
      <c r="V24" s="124">
        <f>U24/'Master P&amp;L'!$AD$7*10000</f>
        <v>22.530385070378816</v>
      </c>
      <c r="W24" s="124">
        <f>(Y24*H24*T24/S24)/'Master P&amp;L'!$AD$7*10000</f>
        <v>21.650645659074897</v>
      </c>
      <c r="X24" s="413">
        <f t="shared" si="5"/>
        <v>1.3600000000000136</v>
      </c>
      <c r="Y24" s="273">
        <f t="shared" si="6"/>
        <v>33.469999999999985</v>
      </c>
      <c r="Z24" s="37">
        <f>_xll.BDP(D24&amp;" Equity","LAST_PRICE")</f>
        <v>341.36</v>
      </c>
      <c r="AA24" s="37" cm="1">
        <f t="array" ref="AA24">_xll.BDP(B24&amp;" Equity","OPT_STRIKE_PX")</f>
        <v>340</v>
      </c>
      <c r="AB24" s="40">
        <f t="shared" si="7"/>
        <v>-3.9840637450199168E-3</v>
      </c>
      <c r="AC24" s="324" cm="1">
        <f t="array" ref="AC24">_xll.BDP($D24&amp;" Equity","volatility_10d")</f>
        <v>30.803036639573062</v>
      </c>
      <c r="AD24" s="37" cm="1">
        <f t="array" ref="AD24">_xll.BDP(B24&amp;" Equity","ivol_mid")</f>
        <v>39.04166</v>
      </c>
      <c r="AE24" s="37">
        <f t="shared" si="8"/>
        <v>1.2674614018360344</v>
      </c>
      <c r="AF24" s="38" cm="1">
        <f t="array" ref="AF24">_xll.BDP(B24&amp;" Equity","DELTA_MID_RT")</f>
        <v>0.57575660943984985</v>
      </c>
      <c r="AG24" s="19">
        <f>AL24/'Master P&amp;L'!$AE$7</f>
        <v>1.2713546094138014E-2</v>
      </c>
      <c r="AH24" s="19">
        <f>AM24/'Master P&amp;L'!$AE$7</f>
        <v>2.2081459223728141E-2</v>
      </c>
      <c r="AI24" s="426">
        <f>AO24/'Master P&amp;L'!$AD$7*10000</f>
        <v>-7.2355438440037737E-2</v>
      </c>
      <c r="AJ24" s="350">
        <f t="shared" si="9"/>
        <v>0.60099749204263531</v>
      </c>
      <c r="AK24" s="38">
        <f>AP24/'Master P&amp;L'!$AD$7*10000</f>
        <v>3.8844376212352767</v>
      </c>
      <c r="AL24" s="15">
        <f t="shared" si="10"/>
        <v>30463742.810750008</v>
      </c>
      <c r="AM24" s="15">
        <f t="shared" si="11"/>
        <v>52910800</v>
      </c>
      <c r="AN24" s="38" cm="1">
        <f t="array" ref="AN24">_xll.BDP($B24&amp;" Equity","theta_mid_rt")</f>
        <v>-0.1118551641702652</v>
      </c>
      <c r="AO24" s="15">
        <f t="shared" si="12"/>
        <v>-17337.550446391106</v>
      </c>
      <c r="AP24" s="15">
        <f t="shared" si="13"/>
        <v>930774.9999999993</v>
      </c>
      <c r="AQ24" s="36" t="str" cm="1">
        <f t="array" ref="AQ24">_xll.BDP($D24&amp;" Equity","EXPECTED_REPORT_DT")</f>
        <v>17/04/2026</v>
      </c>
      <c r="AR24" s="66" cm="1">
        <f t="array" ref="AR24">_xll.BDP($B24&amp;" Equity","GAMMA_LAST")</f>
        <v>1.6317999999999999E-2</v>
      </c>
      <c r="AS24">
        <f t="shared" si="14"/>
        <v>2947296.8956678403</v>
      </c>
      <c r="AT24">
        <f t="shared" si="15"/>
        <v>14736484.478339201</v>
      </c>
      <c r="AU24" t="s">
        <v>151</v>
      </c>
      <c r="AV24" s="277" cm="1">
        <f t="array" ref="AV24">_xll.BDP($D24&amp;" Equity","EST_PE_NXT_YR")*(AA24/Z24)</f>
        <v>19.718258658765677</v>
      </c>
      <c r="AW24"/>
      <c r="AX24" s="15"/>
      <c r="AY24" s="277">
        <v>34.83</v>
      </c>
      <c r="AZ24" s="355"/>
      <c r="BA24" s="15">
        <f t="shared" si="16"/>
        <v>34.83</v>
      </c>
      <c r="BB24" s="414">
        <f t="shared" si="17"/>
        <v>28.825000000000003</v>
      </c>
      <c r="BC24" s="414">
        <f t="shared" si="18"/>
        <v>-930774.9999999993</v>
      </c>
      <c r="BD24" s="414">
        <f>BC24/'Master P&amp;L'!$AD$7*10000</f>
        <v>-3.8844376212352767</v>
      </c>
    </row>
    <row r="25" spans="1:56">
      <c r="A25" s="335"/>
      <c r="B25" s="73" t="s">
        <v>2226</v>
      </c>
      <c r="C25" s="73" t="str" cm="1">
        <f t="array" ref="C25">_xll.BDP($B25&amp;" Equity","opt_put_call")</f>
        <v>Call</v>
      </c>
      <c r="D25" s="73" t="str" cm="1">
        <f t="array" ref="D25">_xll.BDP(B25&amp;" Equity","OPT_UNDL_TICKER")</f>
        <v>TSM US</v>
      </c>
      <c r="E25" s="73" t="str" cm="1">
        <f t="array" ref="E25">_xll.BDP($B25&amp;" Equity","mifid_Maturity_date")</f>
        <v>18/06/2026</v>
      </c>
      <c r="F25" s="73" cm="1">
        <f t="array" ref="F25">_xll.BDP($B25&amp;" Equity","opt_days_expire")</f>
        <v>136</v>
      </c>
      <c r="G25" s="73" t="str" cm="1">
        <f t="array" ref="G25">_xll.BDP(B25&amp;" Equity","QUOTED_CURRENCY_REALTIME")</f>
        <v>USD</v>
      </c>
      <c r="H25" s="42">
        <v>-1275</v>
      </c>
      <c r="I25" s="409">
        <v>19.54</v>
      </c>
      <c r="J25" s="14">
        <f>VLOOKUP(B25,Precificação!$B:$O,14,FALSE)</f>
        <v>15.574999999999999</v>
      </c>
      <c r="K25" s="14">
        <f t="shared" ref="K25" si="132">+J25</f>
        <v>15.574999999999999</v>
      </c>
      <c r="L25" s="74" cm="1">
        <f t="array" ref="L25">_xll.BDP($B25&amp;" Equity","mid")</f>
        <v>19.63</v>
      </c>
      <c r="M25" s="75">
        <f t="shared" si="1"/>
        <v>5.7505273025544874E-2</v>
      </c>
      <c r="N25" s="352"/>
      <c r="O25" s="75">
        <f t="shared" si="2"/>
        <v>0.26035313001605132</v>
      </c>
      <c r="P25" s="74" cm="1">
        <f t="array" ref="P25">_xll.BDP($B25&amp;" Equity","bid")</f>
        <v>19.350000000000001</v>
      </c>
      <c r="Q25" s="74" cm="1">
        <f t="array" ref="Q25">_xll.BDP($B25&amp;" Equity","ask")</f>
        <v>19.899999999999999</v>
      </c>
      <c r="R25" s="76">
        <f t="shared" si="3"/>
        <v>2.8423772609818876E-2</v>
      </c>
      <c r="S25" s="36" cm="1">
        <f t="array" ref="S25">_xll.BDP(G25&amp;" Curncy","PX_LAST")</f>
        <v>1</v>
      </c>
      <c r="T25" s="42" cm="1">
        <f t="array" ref="T25">_xll.BDP(B25&amp;" Equity","OPT_MULTIPLIER")</f>
        <v>100</v>
      </c>
      <c r="U25" s="42">
        <f t="shared" si="4"/>
        <v>-2502825</v>
      </c>
      <c r="V25" s="113">
        <f>U25/'Master P&amp;L'!$AD$7*10000</f>
        <v>-10.445131841065979</v>
      </c>
      <c r="W25" s="113">
        <f>(Y25*H25*T25/S25)/'Master P&amp;L'!$AD$7*10000</f>
        <v>-10.445131841065979</v>
      </c>
      <c r="X25" s="118">
        <f t="shared" si="5"/>
        <v>0</v>
      </c>
      <c r="Y25" s="272">
        <f t="shared" si="6"/>
        <v>19.63</v>
      </c>
      <c r="Z25" s="77">
        <f>_xll.BDP(D25&amp;" Equity","LAST_PRICE")</f>
        <v>341.36</v>
      </c>
      <c r="AA25" s="77" cm="1">
        <f t="array" ref="AA25">_xll.BDP(B25&amp;" Equity","OPT_STRIKE_PX")</f>
        <v>380</v>
      </c>
      <c r="AB25" s="76">
        <f t="shared" si="7"/>
        <v>0.11319428169674239</v>
      </c>
      <c r="AC25" s="323" cm="1">
        <f t="array" ref="AC25">_xll.BDP($D25&amp;" Equity","volatility_10d")</f>
        <v>30.803036639573062</v>
      </c>
      <c r="AD25" s="77" cm="1">
        <f t="array" ref="AD25">_xll.BDP(B25&amp;" Equity","ivol_mid")</f>
        <v>38.572369999999999</v>
      </c>
      <c r="AE25" s="77">
        <f t="shared" si="8"/>
        <v>1.2522262155947825</v>
      </c>
      <c r="AF25" s="78" cm="1">
        <f t="array" ref="AF25">_xll.BDP(B25&amp;" Equity","DELTA_MID_RT")</f>
        <v>0.39134109020233154</v>
      </c>
      <c r="AG25" s="75">
        <f>AL25/'Master P&amp;L'!$AE$7</f>
        <v>-7.1082338487012441E-3</v>
      </c>
      <c r="AH25" s="75">
        <f>AM25/'Master P&amp;L'!$AE$7</f>
        <v>-1.816378097435702E-2</v>
      </c>
      <c r="AI25" s="427">
        <f>AO25/'Master P&amp;L'!$AD$7*10000</f>
        <v>5.9346478623192672E-2</v>
      </c>
      <c r="AJ25" s="350">
        <f t="shared" si="9"/>
        <v>-0.4929426948833795</v>
      </c>
      <c r="AK25" s="78">
        <f>AP25/'Master P&amp;L'!$AD$7*10000</f>
        <v>-2.1576673263129162</v>
      </c>
      <c r="AL25" s="42">
        <f t="shared" si="10"/>
        <v>-17032494.805312157</v>
      </c>
      <c r="AM25" s="42">
        <f t="shared" si="11"/>
        <v>-43523400</v>
      </c>
      <c r="AN25" s="78" cm="1">
        <f t="array" ref="AN25">_xll.BDP($B25&amp;" Equity","theta_mid_rt")</f>
        <v>-0.11153247207403183</v>
      </c>
      <c r="AO25" s="42">
        <f t="shared" si="12"/>
        <v>14220.390189439058</v>
      </c>
      <c r="AP25" s="42">
        <f t="shared" si="13"/>
        <v>-517012.5</v>
      </c>
      <c r="AQ25" s="74" t="str" cm="1">
        <f t="array" ref="AQ25">_xll.BDP($D25&amp;" Equity","EXPECTED_REPORT_DT")</f>
        <v>17/04/2026</v>
      </c>
      <c r="AR25" s="235" cm="1">
        <f t="array" ref="AR25">_xll.BDP($B25&amp;" Equity","GAMMA_LAST")</f>
        <v>1.6261999999999999E-2</v>
      </c>
      <c r="AS25" s="73">
        <f t="shared" si="14"/>
        <v>-2416069.3791388799</v>
      </c>
      <c r="AT25" s="73">
        <f t="shared" si="15"/>
        <v>-12080346.895694401</v>
      </c>
      <c r="AU25" s="73" t="s">
        <v>151</v>
      </c>
      <c r="AV25" s="322" cm="1">
        <f t="array" ref="AV25">_xll.BDP($D25&amp;" Equity","EST_PE_NXT_YR")*(AA25/Z25)</f>
        <v>22.038053795091049</v>
      </c>
      <c r="AW25" s="73"/>
      <c r="AX25" s="42"/>
      <c r="AY25" s="322">
        <v>19.63</v>
      </c>
      <c r="AZ25" s="354"/>
      <c r="BA25" s="42">
        <f t="shared" si="16"/>
        <v>19.63</v>
      </c>
      <c r="BB25" s="346">
        <f t="shared" si="17"/>
        <v>15.574999999999999</v>
      </c>
      <c r="BC25" s="346">
        <f t="shared" si="18"/>
        <v>517012.5</v>
      </c>
      <c r="BD25" s="346">
        <f>BC25/'Master P&amp;L'!$AD$7*10000</f>
        <v>2.1576673263129162</v>
      </c>
    </row>
    <row r="26" spans="1:56">
      <c r="H26" s="336"/>
      <c r="I26" s="218"/>
      <c r="J26" s="218"/>
      <c r="K26" s="218"/>
      <c r="L26" s="218"/>
    </row>
    <row r="27" spans="1:56">
      <c r="H27" s="336"/>
      <c r="I27" s="218"/>
      <c r="J27" s="218"/>
      <c r="K27" s="218"/>
      <c r="L27" s="218"/>
    </row>
    <row r="28" spans="1:56">
      <c r="I28" s="64" t="e">
        <f>#REF!-#REF!</f>
        <v>#REF!</v>
      </c>
      <c r="J28" s="64" t="e">
        <f>#REF!-#REF!</f>
        <v>#REF!</v>
      </c>
      <c r="K28" s="64" t="e">
        <f>#REF!-#REF!</f>
        <v>#REF!</v>
      </c>
      <c r="L28" s="64" t="e">
        <f>#REF!-#REF!</f>
        <v>#REF!</v>
      </c>
      <c r="M28" s="64"/>
      <c r="N28" s="64"/>
      <c r="O28" s="64"/>
      <c r="P28" s="64" t="e">
        <f>#REF!-#REF!</f>
        <v>#REF!</v>
      </c>
      <c r="Q28" s="64" t="e">
        <f>#REF!-#REF!</f>
        <v>#REF!</v>
      </c>
      <c r="AY28" t="e">
        <v>#REF!</v>
      </c>
    </row>
    <row r="29" spans="1:56">
      <c r="I29" s="64" t="e">
        <f>#REF!-#REF!</f>
        <v>#REF!</v>
      </c>
      <c r="J29" s="64" t="e">
        <f>#REF!-#REF!</f>
        <v>#REF!</v>
      </c>
      <c r="K29" s="64" t="e">
        <f>#REF!-#REF!</f>
        <v>#REF!</v>
      </c>
      <c r="L29" s="64" t="e">
        <f>#REF!-#REF!</f>
        <v>#REF!</v>
      </c>
      <c r="AY29" t="e">
        <v>#REF!</v>
      </c>
    </row>
    <row r="30" spans="1:56">
      <c r="I30" s="64" t="e">
        <f>(L29-I28)/I28</f>
        <v>#REF!</v>
      </c>
      <c r="J30" s="218"/>
      <c r="K30" s="218"/>
      <c r="L30" s="64" t="e">
        <f>(L29-L28)/L28</f>
        <v>#REF!</v>
      </c>
      <c r="AY30" t="e">
        <v>#REF!</v>
      </c>
    </row>
    <row r="31" spans="1:56">
      <c r="I31" s="218" t="e">
        <f>#REF!-#REF!</f>
        <v>#REF!</v>
      </c>
      <c r="J31" s="218"/>
      <c r="K31" s="218"/>
      <c r="L31" s="218" t="e">
        <f>#REF!-#REF!</f>
        <v>#REF!</v>
      </c>
      <c r="AY31" t="e">
        <v>#REF!</v>
      </c>
    </row>
    <row r="32" spans="1:56">
      <c r="I32" s="64">
        <f>I20-I19</f>
        <v>2.8999999999999995</v>
      </c>
      <c r="K32" s="64">
        <f>K20-K19</f>
        <v>2.6000000000000005</v>
      </c>
      <c r="L32" s="64">
        <f>L20-L19</f>
        <v>3.0600000000000005</v>
      </c>
      <c r="AY32">
        <v>3.0600000000000005</v>
      </c>
    </row>
    <row r="33" spans="8:12">
      <c r="I33" s="64"/>
      <c r="K33" s="64"/>
      <c r="L33" s="64"/>
    </row>
    <row r="34" spans="8:12">
      <c r="H34" s="404">
        <v>100</v>
      </c>
      <c r="I34" s="411">
        <v>30.89</v>
      </c>
      <c r="J34" s="407">
        <f>H34*I34</f>
        <v>3089</v>
      </c>
    </row>
    <row r="35" spans="8:12">
      <c r="H35" s="404"/>
      <c r="I35" s="411"/>
      <c r="J35" s="407">
        <f t="shared" ref="J35:J41" si="133">H35*I35</f>
        <v>0</v>
      </c>
    </row>
    <row r="36" spans="8:12">
      <c r="H36" s="42"/>
      <c r="I36" s="409"/>
      <c r="J36" s="407">
        <f t="shared" si="133"/>
        <v>0</v>
      </c>
    </row>
    <row r="37" spans="8:12">
      <c r="H37" s="404"/>
      <c r="I37" s="405"/>
      <c r="J37" s="407">
        <f t="shared" si="133"/>
        <v>0</v>
      </c>
    </row>
    <row r="38" spans="8:12">
      <c r="H38" s="404">
        <v>25</v>
      </c>
      <c r="I38" s="411">
        <v>35.75</v>
      </c>
      <c r="J38" s="407">
        <f t="shared" si="133"/>
        <v>893.75</v>
      </c>
    </row>
    <row r="39" spans="8:12">
      <c r="H39" s="15"/>
      <c r="I39" s="410"/>
      <c r="J39" s="407">
        <f t="shared" si="133"/>
        <v>0</v>
      </c>
    </row>
    <row r="40" spans="8:12">
      <c r="H40" s="404"/>
      <c r="I40" s="411"/>
      <c r="J40" s="407">
        <f t="shared" si="133"/>
        <v>0</v>
      </c>
    </row>
    <row r="41" spans="8:12">
      <c r="H41" s="348"/>
      <c r="I41" s="406"/>
      <c r="J41" s="407">
        <f t="shared" si="133"/>
        <v>0</v>
      </c>
    </row>
    <row r="43" spans="8:12">
      <c r="H43" s="348">
        <f>H34+H38</f>
        <v>125</v>
      </c>
      <c r="I43" s="406">
        <f>J43/H43</f>
        <v>31.861999999999998</v>
      </c>
      <c r="J43" s="408">
        <f>J34+J38</f>
        <v>3982.75</v>
      </c>
    </row>
    <row r="44" spans="8:12">
      <c r="H44" s="348">
        <f>H35+H39</f>
        <v>0</v>
      </c>
      <c r="I44" s="406" t="e">
        <f>J44/H44</f>
        <v>#DIV/0!</v>
      </c>
      <c r="J44" s="408">
        <f>J35+J39</f>
        <v>0</v>
      </c>
    </row>
    <row r="45" spans="8:12">
      <c r="H45" s="348">
        <f>H36+H40</f>
        <v>0</v>
      </c>
      <c r="I45" s="406" t="e">
        <f>J45/H45</f>
        <v>#DIV/0!</v>
      </c>
      <c r="J45" s="408">
        <f>J36+J40</f>
        <v>0</v>
      </c>
    </row>
    <row r="46" spans="8:12">
      <c r="H46" s="348">
        <f>H37+H41</f>
        <v>0</v>
      </c>
      <c r="I46" s="406" t="e">
        <f>J46/H46</f>
        <v>#DIV/0!</v>
      </c>
      <c r="J46" s="408">
        <f>J37+J41</f>
        <v>0</v>
      </c>
    </row>
  </sheetData>
  <autoFilter ref="A3:BD29" xr:uid="{0428720F-9028-4D6D-9843-ED7DFFC9E1CA}">
    <sortState xmlns:xlrd2="http://schemas.microsoft.com/office/spreadsheetml/2017/richdata2" ref="A4:BD29">
      <sortCondition ref="D3:D29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48"/>
  <sheetViews>
    <sheetView zoomScale="80" zoomScaleNormal="80" workbookViewId="0">
      <pane xSplit="2" ySplit="3" topLeftCell="C55" activePane="bottomRight" state="frozen"/>
      <selection pane="topRight" activeCell="C1" sqref="C1"/>
      <selection pane="bottomLeft" activeCell="A4" sqref="A4"/>
      <selection pane="bottomRight" activeCell="U76" sqref="U76"/>
    </sheetView>
  </sheetViews>
  <sheetFormatPr defaultRowHeight="15" outlineLevelCol="1"/>
  <cols>
    <col min="1" max="1" width="7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>
        <f>K10-K16</f>
        <v>33.974999999999994</v>
      </c>
      <c r="P5" s="267"/>
      <c r="Q5">
        <f>Q9/Q15-1</f>
        <v>-3.404657933042214</v>
      </c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t="s">
        <v>2457</v>
      </c>
      <c r="C7" s="59" t="str" cm="1">
        <f t="array" ref="C7">_xll.BDP(B7&amp;" Equity","OPT_UNDL_TICKER")</f>
        <v>AAPL US</v>
      </c>
      <c r="D7" s="59" t="str">
        <f>_xll.BDP($B7&amp;" Index","mifid_Maturity_date")</f>
        <v>17/04/2026</v>
      </c>
      <c r="E7" s="59">
        <f>_xll.BDP($B7&amp;" Index","opt_days_expire")</f>
        <v>74</v>
      </c>
      <c r="F7" s="59" t="str" cm="1">
        <f t="array" ref="F7">_xll.BDP(B7&amp;" Equity","QUOTED_CURRENCY_REALTIME")</f>
        <v>USD</v>
      </c>
      <c r="G7" s="105" t="s">
        <v>247</v>
      </c>
      <c r="H7" s="96">
        <v>350</v>
      </c>
      <c r="I7" s="97">
        <f>IF(G7="Buy",L7,K7)</f>
        <v>18.600000000000001</v>
      </c>
      <c r="J7" s="19">
        <f>I7/S7</f>
        <v>6.8886337543053969E-2</v>
      </c>
      <c r="K7" s="36" cm="1">
        <f t="array" ref="K7">_xll.BDP($B7&amp;" Equity","bid")</f>
        <v>17.45</v>
      </c>
      <c r="L7" s="36" cm="1">
        <f t="array" ref="L7">_xll.BDP($B7&amp;" Equity","ask")</f>
        <v>18.600000000000001</v>
      </c>
      <c r="M7" s="40">
        <f>(L7/K7-1)</f>
        <v>6.5902578796561695E-2</v>
      </c>
      <c r="N7" s="36" cm="1">
        <f t="array" ref="N7">_xll.BDP(F7&amp;" Curncy","PX_LAST")</f>
        <v>1</v>
      </c>
      <c r="O7" s="162" cm="1">
        <f t="array" ref="O7">_xll.BDP(B7&amp;" Equity","OPT_MULTIPLIER")</f>
        <v>100</v>
      </c>
      <c r="P7" s="15">
        <f>IF(G7="Buy",((I7/N7)*H7*O7),((I7/N7)*-H7*O7))</f>
        <v>651000.00000000012</v>
      </c>
      <c r="Q7" s="58">
        <f>P7/'Master P&amp;L'!$AD$5*10000</f>
        <v>2.898440942775165</v>
      </c>
      <c r="R7" s="37" cm="1">
        <f t="array" ref="R7">_xll.BDP($C7&amp;" Equity","EST_PE_NXT_YR")*(T7/S7)</f>
        <v>27.498433182389697</v>
      </c>
      <c r="S7" s="36" cm="1">
        <f t="array" ref="S7">_xll.BDP(C7&amp;" Equity","LAST_PRICE")</f>
        <v>270.01</v>
      </c>
      <c r="T7" s="53" cm="1">
        <f t="array" ref="T7">_xll.BDP(B7&amp;" Equity","OPT_STRIKE_PX")</f>
        <v>260</v>
      </c>
      <c r="U7" s="40">
        <f>T7/S7-1</f>
        <v>-3.7072701011073628E-2</v>
      </c>
      <c r="V7" s="37" cm="1">
        <f t="array" ref="V7">_xll.BDP($B7&amp;" Equity","ivol_mid")</f>
        <v>23.95552</v>
      </c>
      <c r="W7" s="38" cm="1">
        <f t="array" ref="W7">_xll.BDP(B7&amp;" Equity","DELTA_MID_RT")</f>
        <v>0.68115639686584473</v>
      </c>
      <c r="X7" s="48">
        <f>Y7/'Master P&amp;L'!$AE$5</f>
        <v>2.8660132901901494E-3</v>
      </c>
      <c r="Y7" s="15">
        <f>IF(G7="Sell", S7*W7*-H7*O7/N7, S7*W7*H7*O7/N7)</f>
        <v>6437166.3551211357</v>
      </c>
      <c r="Z7" s="15">
        <f>_xll.BDP($B7&amp;" Equity","opt_theta")*H7*O7/N7</f>
        <v>-2535.2599999999998</v>
      </c>
      <c r="AA7" s="19">
        <f>_xll.BDP($B7&amp;" Equity","opt_theta")/I7</f>
        <v>-3.8944086021505371E-3</v>
      </c>
      <c r="AB7" s="36" t="str" cm="1">
        <f t="array" ref="AB7">_xll.BDP($C7&amp;" Equity","EXPECTED_REPORT_DT")</f>
        <v>01/05/2026</v>
      </c>
      <c r="AC7" s="15">
        <f>S7*H7*O7/N7</f>
        <v>9450350</v>
      </c>
      <c r="AD7" s="19">
        <f>AC7/'Master P&amp;L'!$AE$5</f>
        <v>4.207570101928613E-3</v>
      </c>
      <c r="AE7" t="str">
        <f>B7  &amp; " - Buy to open " &amp;  "-" &amp; H7 &amp;"x"</f>
        <v>AAPL US 04/17/26 C260 - Buy to open -350x</v>
      </c>
      <c r="AF7">
        <f>H7*$AF$3</f>
        <v>87.5</v>
      </c>
      <c r="AK7" t="s">
        <v>1839</v>
      </c>
      <c r="AO7" t="s">
        <v>151</v>
      </c>
    </row>
    <row r="8" spans="1:41">
      <c r="A8" s="98" t="s">
        <v>246</v>
      </c>
      <c r="B8" t="s">
        <v>2458</v>
      </c>
      <c r="C8" s="59" t="str" cm="1">
        <f t="array" ref="C8">_xll.BDP(B8&amp;" Equity","OPT_UNDL_TICKER")</f>
        <v>AAPL US</v>
      </c>
      <c r="D8" s="59" t="str" cm="1">
        <f t="array" ref="D8">_xll.BDP($B8&amp;" Index","mifid_Maturity_date")</f>
        <v>17/04/2026</v>
      </c>
      <c r="E8" s="59" cm="1">
        <f t="array" ref="E8">_xll.BDP($B8&amp;" Index","opt_days_expire")</f>
        <v>74</v>
      </c>
      <c r="F8" s="59" t="str" cm="1">
        <f t="array" ref="F8">_xll.BDP(B8&amp;" Equity","QUOTED_CURRENCY_REALTIME")</f>
        <v>USD</v>
      </c>
      <c r="G8" s="105" t="s">
        <v>248</v>
      </c>
      <c r="H8" s="96">
        <f>H7</f>
        <v>350</v>
      </c>
      <c r="I8" s="97">
        <f>IF(G8="Buy",L8,K8)</f>
        <v>6.8</v>
      </c>
      <c r="J8" s="19">
        <f>I8/S8</f>
        <v>2.5184252435094995E-2</v>
      </c>
      <c r="K8" s="36" cm="1">
        <f t="array" ref="K8">_xll.BDP($B8&amp;" Equity","bid")</f>
        <v>6.8</v>
      </c>
      <c r="L8" s="36" cm="1">
        <f t="array" ref="L8">_xll.BDP($B8&amp;" Equity","ask")</f>
        <v>7.75</v>
      </c>
      <c r="M8" s="40">
        <f>(L8/K8-1)</f>
        <v>0.13970588235294112</v>
      </c>
      <c r="N8" s="36" cm="1">
        <f t="array" ref="N8">_xll.BDP(F8&amp;" Curncy","PX_LAST")</f>
        <v>1</v>
      </c>
      <c r="O8" s="162" cm="1">
        <f t="array" ref="O8">_xll.BDP(B8&amp;" Equity","OPT_MULTIPLIER")</f>
        <v>100</v>
      </c>
      <c r="P8" s="15">
        <f>IF(G8="Buy",((I8/N8)*H8*O8),((I8/N8)*-H8*O8))</f>
        <v>-238000</v>
      </c>
      <c r="Q8" s="58">
        <f>P8/'Master P&amp;L'!$AD$5*10000</f>
        <v>-1.0596450758532858</v>
      </c>
      <c r="R8" s="37" cm="1">
        <f t="array" ref="R8">_xll.BDP($C8&amp;" Equity","EST_PE_NXT_YR")*(T8/S8)</f>
        <v>29.613697273342748</v>
      </c>
      <c r="S8" s="36" cm="1">
        <f t="array" ref="S8">_xll.BDP(C8&amp;" Equity","LAST_PRICE")</f>
        <v>270.01</v>
      </c>
      <c r="T8" s="53" cm="1">
        <f t="array" ref="T8">_xll.BDP(B8&amp;" Equity","OPT_STRIKE_PX")</f>
        <v>280</v>
      </c>
      <c r="U8" s="40">
        <f>T8/S8-1</f>
        <v>3.6998629680382145E-2</v>
      </c>
      <c r="V8" s="37" cm="1">
        <f t="array" ref="V8">_xll.BDP($B8&amp;" Equity","ivol_mid")</f>
        <v>21.894880000000001</v>
      </c>
      <c r="W8" s="38" cm="1">
        <f t="array" ref="W8">_xll.BDP(B8&amp;" Equity","DELTA_MID_RT")</f>
        <v>0.40193140506744385</v>
      </c>
      <c r="X8" s="48">
        <f>Y8/'Master P&amp;L'!$AE$5</f>
        <v>-1.6911545629879354E-3</v>
      </c>
      <c r="Y8" s="15">
        <f>IF(G8="Sell", S8*W8*-H8*O8/N8, S8*W8*H8*O8/N8)</f>
        <v>-3798392.453879118</v>
      </c>
      <c r="Z8" s="15" cm="1">
        <f t="array" ref="Z8">_xll.BDP($B8&amp;" Equity","opt_theta")*H8*O8/N8</f>
        <v>-2234.8200000000002</v>
      </c>
      <c r="AA8" s="19" cm="1">
        <f t="array" ref="AA8">_xll.BDP($B8&amp;" Equity","opt_theta")/I8</f>
        <v>-9.3900000000000008E-3</v>
      </c>
      <c r="AB8" s="36" t="str" cm="1">
        <f t="array" ref="AB8">_xll.BDP($C8&amp;" Equity","EXPECTED_REPORT_DT")</f>
        <v>01/05/2026</v>
      </c>
      <c r="AC8" s="15">
        <f>S8*H8*O8/N8</f>
        <v>9450350</v>
      </c>
      <c r="AD8" s="19">
        <f>AC8/'Master P&amp;L'!$AE$5</f>
        <v>4.207570101928613E-3</v>
      </c>
      <c r="AE8" t="str">
        <f>B8  &amp; " - Buy to open " &amp;  "-" &amp; H8 &amp;"x"</f>
        <v>AAPL US 04/17/26 C280 - Buy to open -350x</v>
      </c>
      <c r="AF8">
        <f>H8*$AF$3</f>
        <v>87.5</v>
      </c>
      <c r="AK8" t="s">
        <v>1842</v>
      </c>
      <c r="AO8" t="s">
        <v>151</v>
      </c>
    </row>
    <row r="9" spans="1:41">
      <c r="H9" s="100" t="s">
        <v>116</v>
      </c>
      <c r="I9" s="102">
        <f>I7-I8</f>
        <v>11.8</v>
      </c>
      <c r="J9" s="100" t="s">
        <v>249</v>
      </c>
      <c r="K9" s="101">
        <f>K8/L7</f>
        <v>0.36559139784946232</v>
      </c>
      <c r="P9" s="100" t="s">
        <v>250</v>
      </c>
      <c r="Q9" s="108">
        <f>Q7+Q8</f>
        <v>1.8387958669218791</v>
      </c>
      <c r="S9" s="100" t="s">
        <v>251</v>
      </c>
      <c r="T9" s="102">
        <f>T8-T7</f>
        <v>20</v>
      </c>
      <c r="W9" s="100" t="s">
        <v>252</v>
      </c>
      <c r="X9" s="122">
        <f>X7+X8</f>
        <v>1.174858727202214E-3</v>
      </c>
      <c r="Y9" s="13">
        <f>Y7+Y8</f>
        <v>2638773.9012420177</v>
      </c>
      <c r="AC9" s="100" t="s">
        <v>229</v>
      </c>
      <c r="AD9" s="122">
        <f>AD7</f>
        <v>4.207570101928613E-3</v>
      </c>
      <c r="AO9" t="s">
        <v>151</v>
      </c>
    </row>
    <row r="10" spans="1:41">
      <c r="H10" s="100" t="s">
        <v>253</v>
      </c>
      <c r="I10" s="102">
        <f>(T9-I9)/I9</f>
        <v>0.69491525423728806</v>
      </c>
      <c r="J10" s="100" t="s">
        <v>145</v>
      </c>
      <c r="K10" s="223">
        <f>AVERAGE(K7:L7)-AVERAGE(K8:L8)</f>
        <v>10.749999999999998</v>
      </c>
      <c r="L10" s="18"/>
      <c r="P10" s="130">
        <f>P7+P8</f>
        <v>413000.00000000012</v>
      </c>
      <c r="Q10" s="108"/>
      <c r="S10" s="100"/>
      <c r="T10" s="102"/>
      <c r="W10" s="100"/>
      <c r="X10" s="122"/>
      <c r="Y10" s="13">
        <f>Y9/S7</f>
        <v>9772.8747129440308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>
        <f>J7-J8</f>
        <v>4.3702085107958977E-2</v>
      </c>
      <c r="K11" s="167">
        <f>K7-K8</f>
        <v>10.649999999999999</v>
      </c>
      <c r="L11" s="167">
        <f>L7-L8</f>
        <v>10.850000000000001</v>
      </c>
      <c r="P11" s="40">
        <f>P10/Y9</f>
        <v>0.15651208305706274</v>
      </c>
      <c r="Q11" s="64">
        <f>Q9*I10</f>
        <v>1.2778072973524921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>
        <f>X172</f>
        <v>9.9461952678985975E-4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s="73" t="s">
        <v>2456</v>
      </c>
      <c r="C13" s="59" t="str" cm="1">
        <f t="array" ref="C13">_xll.BDP(B13&amp;" Equity","OPT_UNDL_TICKER")</f>
        <v>META US</v>
      </c>
      <c r="D13" s="59" t="str" cm="1">
        <f t="array" ref="D13">_xll.BDP($B13&amp;" Index","mifid_Maturity_date")</f>
        <v>17/07/2026</v>
      </c>
      <c r="E13" s="59" cm="1">
        <f t="array" ref="E13">_xll.BDP($B13&amp;" Index","opt_days_expire")</f>
        <v>165</v>
      </c>
      <c r="F13" s="59" t="str" cm="1">
        <f t="array" ref="F13">_xll.BDP(B13&amp;" Equity","QUOTED_CURRENCY_REALTIME")</f>
        <v>USD</v>
      </c>
      <c r="G13" s="105" t="s">
        <v>247</v>
      </c>
      <c r="H13" s="96">
        <v>75</v>
      </c>
      <c r="I13" s="97">
        <f>IF(G13="Buy",L13,K13)</f>
        <v>48.2</v>
      </c>
      <c r="J13" s="19">
        <f>I13/S13</f>
        <v>6.8232329666907329E-2</v>
      </c>
      <c r="K13" s="36" cm="1">
        <f t="array" ref="K13">_xll.BDP($B13&amp;" Equity","bid")</f>
        <v>47.95</v>
      </c>
      <c r="L13" s="36" cm="1">
        <f t="array" ref="L13">_xll.BDP($B13&amp;" Equity","ask")</f>
        <v>48.2</v>
      </c>
      <c r="M13" s="40">
        <f>(L13/K13-1)</f>
        <v>5.2137643378520337E-3</v>
      </c>
      <c r="N13" s="36" cm="1">
        <f t="array" ref="N13">_xll.BDP(F13&amp;" Curncy","PX_LAST")</f>
        <v>1</v>
      </c>
      <c r="O13" s="162" cm="1">
        <f t="array" ref="O13">_xll.BDP(B13&amp;" Equity","OPT_MULTIPLIER")</f>
        <v>100</v>
      </c>
      <c r="P13" s="15">
        <f>IF(G13="Buy",((I13/N13)*H13*O13),((I13/N13)*-H13*O13))</f>
        <v>361500</v>
      </c>
      <c r="Q13" s="58">
        <f>P13/'Master P&amp;L'!$AD$5*10000</f>
        <v>1.6095029198359783</v>
      </c>
      <c r="R13" s="37" cm="1">
        <f t="array" ref="R13">_xll.BDP($C13&amp;" Equity","EST_PE_NXT_YR")*(T13/S13)</f>
        <v>20.132887240208941</v>
      </c>
      <c r="S13" s="36" cm="1">
        <f t="array" ref="S13">_xll.BDP(C13&amp;" Equity","LAST_PRICE")</f>
        <v>706.41</v>
      </c>
      <c r="T13" s="53" cm="1">
        <f t="array" ref="T13">_xll.BDP(B13&amp;" Equity","OPT_STRIKE_PX")</f>
        <v>750</v>
      </c>
      <c r="U13" s="40">
        <f>T13/S13-1</f>
        <v>6.1706374485072546E-2</v>
      </c>
      <c r="V13" s="37" cm="1">
        <f t="array" ref="V13">_xll.BDP($B13&amp;" Equity","ivol_mid")</f>
        <v>32.499070000000003</v>
      </c>
      <c r="W13" s="38" cm="1">
        <f t="array" ref="W13">_xll.BDP(B13&amp;" Equity","DELTA_MID_RT")</f>
        <v>0.4634585976600647</v>
      </c>
      <c r="X13" s="48">
        <f>Y13/'Master P&amp;L'!$AE$5</f>
        <v>1.0932324453795427E-3</v>
      </c>
      <c r="Y13" s="15">
        <f>IF(G13="Sell", S13*W13*-H13*O13/N13, S13*W13*H13*O13/N13)</f>
        <v>2455438.4097978473</v>
      </c>
      <c r="Z13" s="15" cm="1">
        <f t="array" ref="Z13">_xll.BDP($B13&amp;" Equity","opt_theta")*H13*O13/N13</f>
        <v>-1416.93</v>
      </c>
      <c r="AA13" s="19" cm="1">
        <f t="array" ref="AA13">_xll.BDP($B13&amp;" Equity","opt_theta")/I13</f>
        <v>-3.9195850622406637E-3</v>
      </c>
      <c r="AB13" s="36" t="str" cm="1">
        <f t="array" ref="AB13">_xll.BDP($C13&amp;" Equity","EXPECTED_REPORT_DT")</f>
        <v>30/04/2026</v>
      </c>
      <c r="AC13" s="15">
        <f>S13*H13*O13/N13</f>
        <v>5298075</v>
      </c>
      <c r="AD13" s="19">
        <f>AC13/'Master P&amp;L'!$AE$5</f>
        <v>2.3588567585089903E-3</v>
      </c>
      <c r="AE13" t="str">
        <f>B13  &amp; " - Buy to open " &amp;  "-" &amp; H13 &amp;"x"</f>
        <v>META US 07/17/26 C750 - Buy to open -75x</v>
      </c>
      <c r="AF13">
        <f>H13*$AF$3</f>
        <v>18.75</v>
      </c>
      <c r="AH13">
        <v>20.9</v>
      </c>
      <c r="AI13">
        <v>20.2</v>
      </c>
      <c r="AJ13" s="64"/>
      <c r="AK13" t="s">
        <v>1840</v>
      </c>
    </row>
    <row r="14" spans="1:41">
      <c r="A14" s="98" t="s">
        <v>246</v>
      </c>
      <c r="B14" t="s">
        <v>2402</v>
      </c>
      <c r="C14" s="59" t="str" cm="1">
        <f t="array" ref="C14">_xll.BDP(B14&amp;" Equity","OPT_UNDL_TICKER")</f>
        <v>META US</v>
      </c>
      <c r="D14" s="59" t="str" cm="1">
        <f t="array" ref="D14">_xll.BDP($B14&amp;" Index","mifid_Maturity_date")</f>
        <v>17/07/2026</v>
      </c>
      <c r="E14" s="59" cm="1">
        <f t="array" ref="E14">_xll.BDP($B14&amp;" Index","opt_days_expire")</f>
        <v>165</v>
      </c>
      <c r="F14" s="59" t="str" cm="1">
        <f t="array" ref="F14">_xll.BDP(B14&amp;" Equity","QUOTED_CURRENCY_REALTIME")</f>
        <v>USD</v>
      </c>
      <c r="G14" s="105" t="s">
        <v>248</v>
      </c>
      <c r="H14" s="96">
        <f>H13</f>
        <v>75</v>
      </c>
      <c r="I14" s="97">
        <f>IF(G14="Buy",L14,K14)</f>
        <v>71.099999999999994</v>
      </c>
      <c r="J14" s="19">
        <f>I14/S14</f>
        <v>0.10064976430118486</v>
      </c>
      <c r="K14" s="36" cm="1">
        <f t="array" ref="K14">_xll.BDP($B14&amp;" Equity","bid")</f>
        <v>71.099999999999994</v>
      </c>
      <c r="L14" s="36" cm="1">
        <f t="array" ref="L14">_xll.BDP($B14&amp;" Equity","ask")</f>
        <v>71.5</v>
      </c>
      <c r="M14" s="40">
        <f>(L14/K14-1)</f>
        <v>5.6258790436005679E-3</v>
      </c>
      <c r="N14" s="36" cm="1">
        <f t="array" ref="N14">_xll.BDP(F14&amp;" Curncy","PX_LAST")</f>
        <v>1</v>
      </c>
      <c r="O14" s="162" cm="1">
        <f t="array" ref="O14">_xll.BDP(B14&amp;" Equity","OPT_MULTIPLIER")</f>
        <v>100</v>
      </c>
      <c r="P14" s="15">
        <f>IF(G14="Buy",((I14/N14)*H14*O14),((I14/N14)*-H14*O14))</f>
        <v>-533250</v>
      </c>
      <c r="Q14" s="58">
        <f>P14/'Master P&amp;L'!$AD$5*10000</f>
        <v>-2.3741837676418682</v>
      </c>
      <c r="R14" s="37" cm="1">
        <f t="array" ref="R14">_xll.BDP($C14&amp;" Equity","EST_PE_NXT_YR")*(T14/S14)</f>
        <v>18.790694757528343</v>
      </c>
      <c r="S14" s="36" cm="1">
        <f t="array" ref="S14">_xll.BDP(C14&amp;" Equity","LAST_PRICE")</f>
        <v>706.41</v>
      </c>
      <c r="T14" s="53" cm="1">
        <f t="array" ref="T14">_xll.BDP(B14&amp;" Equity","OPT_STRIKE_PX")</f>
        <v>700</v>
      </c>
      <c r="U14" s="40">
        <f>T14/S14-1</f>
        <v>-9.0740504805990607E-3</v>
      </c>
      <c r="V14" s="37" cm="1">
        <f t="array" ref="V14">_xll.BDP($B14&amp;" Equity","ivol_mid")</f>
        <v>33.276629999999997</v>
      </c>
      <c r="W14" s="38" cm="1">
        <f t="array" ref="W14">_xll.BDP(B14&amp;" Equity","DELTA_MID_RT")</f>
        <v>0.58953726291656494</v>
      </c>
      <c r="X14" s="48">
        <f>Y14/'Master P&amp;L'!$AE$5</f>
        <v>-1.3906339570236308E-3</v>
      </c>
      <c r="Y14" s="15">
        <f>IF(G14="Sell", S14*W14*-H14*O14/N14, S14*W14*H14*O14/N14)</f>
        <v>-3123412.6342266798</v>
      </c>
      <c r="Z14" s="15" cm="1">
        <f t="array" ref="Z14">_xll.BDP($B14&amp;" Equity","opt_theta")*H14*O14/N14</f>
        <v>-1340.5425</v>
      </c>
      <c r="AA14" s="19" cm="1">
        <f t="array" ref="AA14">_xll.BDP($B14&amp;" Equity","opt_theta")/I14</f>
        <v>-2.5139099859353025E-3</v>
      </c>
      <c r="AB14" s="36" t="str" cm="1">
        <f t="array" ref="AB14">_xll.BDP($C14&amp;" Equity","EXPECTED_REPORT_DT")</f>
        <v>30/04/2026</v>
      </c>
      <c r="AC14" s="15">
        <f>S14*H14*O14/N14</f>
        <v>5298075</v>
      </c>
      <c r="AD14" s="19">
        <f>AC14/'Master P&amp;L'!$AE$5</f>
        <v>2.3588567585089903E-3</v>
      </c>
      <c r="AE14" t="str">
        <f>B14  &amp; " - Buy to open " &amp;  "-" &amp; H14 &amp;"x"</f>
        <v>META US 07/17/26 C700 - Buy to open -75x</v>
      </c>
      <c r="AF14">
        <f>H14*$AF$3</f>
        <v>18.75</v>
      </c>
      <c r="AH14">
        <v>13.2</v>
      </c>
      <c r="AI14">
        <v>12.86</v>
      </c>
      <c r="AJ14" s="64"/>
      <c r="AK14" t="s">
        <v>1841</v>
      </c>
    </row>
    <row r="15" spans="1:41">
      <c r="H15" s="100" t="s">
        <v>116</v>
      </c>
      <c r="I15" s="102">
        <f>I13-I14</f>
        <v>-22.899999999999991</v>
      </c>
      <c r="J15" s="100" t="s">
        <v>249</v>
      </c>
      <c r="K15" s="101">
        <f>K14/L13</f>
        <v>1.4751037344398339</v>
      </c>
      <c r="P15" s="100" t="s">
        <v>250</v>
      </c>
      <c r="Q15" s="108">
        <f>Q13+Q14</f>
        <v>-0.76468084780588996</v>
      </c>
      <c r="S15" s="100" t="s">
        <v>251</v>
      </c>
      <c r="T15" s="102">
        <f>T14-T13</f>
        <v>-50</v>
      </c>
      <c r="W15" s="100" t="s">
        <v>252</v>
      </c>
      <c r="X15" s="122">
        <f>X13+X14</f>
        <v>-2.9740151164408808E-4</v>
      </c>
      <c r="Y15" s="13">
        <f>Y13+Y14</f>
        <v>-667974.22442883253</v>
      </c>
      <c r="AC15" s="100" t="s">
        <v>229</v>
      </c>
      <c r="AD15" s="104">
        <f>AD13</f>
        <v>2.3588567585089903E-3</v>
      </c>
    </row>
    <row r="16" spans="1:41">
      <c r="H16" s="100" t="s">
        <v>253</v>
      </c>
      <c r="I16" s="102">
        <f>(T15-I15)/I15</f>
        <v>1.1834061135371188</v>
      </c>
      <c r="J16" s="100" t="s">
        <v>145</v>
      </c>
      <c r="K16" s="223">
        <f>AVERAGE(K13:L13)-AVERAGE(K14:L14)</f>
        <v>-23.224999999999994</v>
      </c>
      <c r="P16" s="130">
        <f>P13+P14</f>
        <v>-171750</v>
      </c>
      <c r="Q16" s="108"/>
      <c r="S16" s="100"/>
      <c r="T16" s="102"/>
      <c r="W16" s="108">
        <f>1/(W13-W14)</f>
        <v>-7.9315560484841265</v>
      </c>
      <c r="X16" s="122"/>
      <c r="Y16" s="13">
        <f>Y15/S13</f>
        <v>-945.58998942375183</v>
      </c>
      <c r="AC16" s="100"/>
      <c r="AD16" s="104"/>
    </row>
    <row r="17" spans="1:38">
      <c r="I17" s="21"/>
      <c r="J17" s="43">
        <f>J13-J14</f>
        <v>-3.2417434634277528E-2</v>
      </c>
      <c r="K17" s="167">
        <f>K13-K14</f>
        <v>-23.149999999999991</v>
      </c>
      <c r="L17" s="167">
        <f>L13-L14</f>
        <v>-23.299999999999997</v>
      </c>
      <c r="P17" s="40">
        <f>P16/Y15</f>
        <v>0.25712069974984286</v>
      </c>
      <c r="Q17" s="64">
        <f>Q15*I16</f>
        <v>-0.90492799019823722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49">
        <f>K10-K16</f>
        <v>33.974999999999994</v>
      </c>
      <c r="AK18">
        <v>13</v>
      </c>
      <c r="AL18" s="1">
        <v>16</v>
      </c>
    </row>
    <row r="19" spans="1:38">
      <c r="A19" s="98" t="s">
        <v>246</v>
      </c>
      <c r="B19" s="73" t="s">
        <v>2227</v>
      </c>
      <c r="C19" s="59" t="str">
        <f>_xll.BDP(B19&amp;" Equity","OPT_UNDL_TICKER")</f>
        <v>TSM US</v>
      </c>
      <c r="D19" s="59" t="str">
        <f>_xll.BDP($B19&amp;" Index","mifid_Maturity_date")</f>
        <v>17/07/2026</v>
      </c>
      <c r="E19" s="59">
        <f>_xll.BDP($B19&amp;" Index","opt_days_expire")</f>
        <v>165</v>
      </c>
      <c r="F19" s="59" t="str">
        <f>_xll.BDP(B19&amp;" Equity","QUOTED_CURRENCY_REALTIME")</f>
        <v>USD</v>
      </c>
      <c r="G19" s="105" t="s">
        <v>247</v>
      </c>
      <c r="H19" s="96">
        <v>500</v>
      </c>
      <c r="I19" s="97">
        <f>IF(G19="Buy",L19,K19)</f>
        <v>39.5</v>
      </c>
      <c r="J19" s="19">
        <f>I19/S19</f>
        <v>0.11571361612374033</v>
      </c>
      <c r="K19" s="36">
        <f>_xll.BDP($B19&amp;" Equity","bid")</f>
        <v>38.450000000000003</v>
      </c>
      <c r="L19" s="36">
        <f>_xll.BDP($B19&amp;" Equity","ask")</f>
        <v>39.5</v>
      </c>
      <c r="M19" s="40">
        <f>(L19/K19-1)</f>
        <v>2.730819245773719E-2</v>
      </c>
      <c r="N19" s="36" cm="1">
        <f t="array" ref="N19">_xll.BDP(F19&amp;" Curncy","PX_LAST")</f>
        <v>1</v>
      </c>
      <c r="O19" s="162">
        <f>_xll.BDP(B19&amp;" Equity","OPT_MULTIPLIER")</f>
        <v>100</v>
      </c>
      <c r="P19" s="15">
        <f>IF(G19="Buy",((I19/N19)*H19*O19),((I19/N19)*-H19*O19))</f>
        <v>1975000</v>
      </c>
      <c r="Q19" s="58">
        <f>P19/'Master P&amp;L'!$AD$5*10000</f>
        <v>8.7932732134884013</v>
      </c>
      <c r="R19" s="37" cm="1">
        <f t="array" ref="R19">_xll.BDP($C19&amp;" Equity","EST_PE_NXT_YR")*(T19/S19)</f>
        <v>19.718258658765677</v>
      </c>
      <c r="S19" s="36" cm="1">
        <f t="array" ref="S19">_xll.BDP(C19&amp;" Equity","LAST_PRICE")</f>
        <v>341.36</v>
      </c>
      <c r="T19" s="53">
        <f>_xll.BDP(B19&amp;" Equity","OPT_STRIKE_PX")</f>
        <v>340</v>
      </c>
      <c r="U19" s="40">
        <f>T19/S19-1</f>
        <v>-3.9840637450199168E-3</v>
      </c>
      <c r="V19" s="37">
        <f>_xll.BDP($B19&amp;" Equity","ivol_mid")</f>
        <v>39.455840000000002</v>
      </c>
      <c r="W19" s="38">
        <f>_xll.BDP(B19&amp;" Equity","DELTA_MID_RT")</f>
        <v>0.58148401975631714</v>
      </c>
      <c r="X19" s="48">
        <f>Y19/'Master P&amp;L'!$AE$5</f>
        <v>4.4187953209646061E-3</v>
      </c>
      <c r="Y19" s="15">
        <f>IF(G19="Sell", S19*W19*-H19*O19/N19, S19*W19*H19*O19/N19)</f>
        <v>9924769.2492008209</v>
      </c>
      <c r="Z19" s="15" cm="1">
        <f t="array" ref="Z19">_xll.BDP($B19&amp;" Equity","opt_theta")*H19*O19/N19</f>
        <v>-5162.1000000000004</v>
      </c>
      <c r="AA19" s="19" cm="1">
        <f t="array" ref="AA19">_xll.BDP($B19&amp;" Equity","opt_theta")/I19</f>
        <v>-2.6137215189873417E-3</v>
      </c>
      <c r="AB19" s="36" t="str" cm="1">
        <f t="array" ref="AB19">_xll.BDP($C19&amp;" Equity","EXPECTED_REPORT_DT")</f>
        <v>17/04/2026</v>
      </c>
      <c r="AC19" s="15">
        <f>S19*H19*O19/N19</f>
        <v>17068000</v>
      </c>
      <c r="AD19" s="19">
        <f>AC19/'Master P&amp;L'!$AE$5</f>
        <v>7.5991689725478494E-3</v>
      </c>
      <c r="AE19" t="str">
        <f>B19  &amp; " - Buy to open " &amp;  "-" &amp; H19 &amp;"x"</f>
        <v>TSM US 07/17/26 C340 -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s="73" t="s">
        <v>2228</v>
      </c>
      <c r="C20" s="59" t="str" cm="1">
        <f t="array" ref="C20">_xll.BDP(B20&amp;" Equity","OPT_UNDL_TICKER")</f>
        <v>TSM US</v>
      </c>
      <c r="D20" s="59" t="str" cm="1">
        <f t="array" ref="D20">_xll.BDP($B20&amp;" Index","mifid_Maturity_date")</f>
        <v>17/07/2026</v>
      </c>
      <c r="E20" s="59" cm="1">
        <f t="array" ref="E20">_xll.BDP($B20&amp;" Index","opt_days_expire")</f>
        <v>165</v>
      </c>
      <c r="F20" s="59" t="str" cm="1">
        <f t="array" ref="F20">_xll.BDP(B20&amp;" Equity","QUOTED_CURRENCY_REALTIME")</f>
        <v>USD</v>
      </c>
      <c r="G20" s="105" t="s">
        <v>248</v>
      </c>
      <c r="H20" s="96">
        <f>H19</f>
        <v>500</v>
      </c>
      <c r="I20" s="97">
        <f>IF(G20="Buy",L20,K20)</f>
        <v>22.95</v>
      </c>
      <c r="J20" s="19">
        <f>I20/S20</f>
        <v>6.7231075697211151E-2</v>
      </c>
      <c r="K20" s="36" cm="1">
        <f t="array" ref="K20">_xll.BDP($B20&amp;" Equity","bid")</f>
        <v>22.95</v>
      </c>
      <c r="L20" s="36" cm="1">
        <f t="array" ref="L20">_xll.BDP($B20&amp;" Equity","ask")</f>
        <v>24.15</v>
      </c>
      <c r="M20" s="40">
        <f>(L20/K20-1)</f>
        <v>5.2287581699346442E-2</v>
      </c>
      <c r="N20" s="36" cm="1">
        <f t="array" ref="N20">_xll.BDP(F20&amp;" Curncy","PX_LAST")</f>
        <v>1</v>
      </c>
      <c r="O20" s="162" cm="1">
        <f t="array" ref="O20">_xll.BDP(B20&amp;" Equity","OPT_MULTIPLIER")</f>
        <v>100</v>
      </c>
      <c r="P20" s="15">
        <f>IF(G20="Buy",((I20/N20)*H20*O20),((I20/N20)*-H20*O20))</f>
        <v>-1147500</v>
      </c>
      <c r="Q20" s="58">
        <f>P20/'Master P&amp;L'!$AD$5*10000</f>
        <v>-5.1090030442926286</v>
      </c>
      <c r="R20" s="37" cm="1">
        <f t="array" ref="R20">_xll.BDP($C20&amp;" Equity","EST_PE_NXT_YR")*(T20/S20)</f>
        <v>22.038053795091049</v>
      </c>
      <c r="S20" s="36" cm="1">
        <f t="array" ref="S20">_xll.BDP(C20&amp;" Equity","LAST_PRICE")</f>
        <v>341.36</v>
      </c>
      <c r="T20" s="53" cm="1">
        <f t="array" ref="T20">_xll.BDP(B20&amp;" Equity","OPT_STRIKE_PX")</f>
        <v>380</v>
      </c>
      <c r="U20" s="40">
        <f>T20/S20-1</f>
        <v>0.11319428169674239</v>
      </c>
      <c r="V20" s="37" cm="1">
        <f t="array" ref="V20">_xll.BDP($B20&amp;" Equity","ivol_mid")</f>
        <v>39.440800000000003</v>
      </c>
      <c r="W20" s="38" cm="1">
        <f t="array" ref="W20">_xll.BDP(B20&amp;" Equity","DELTA_MID_RT")</f>
        <v>0.41585177183151245</v>
      </c>
      <c r="X20" s="48">
        <f>Y20/'Master P&amp;L'!$AE$5</f>
        <v>-3.1601278816810775E-3</v>
      </c>
      <c r="Y20" s="15">
        <f>IF(G20="Sell", S20*W20*-H20*O20/N20, S20*W20*H20*O20/N20)</f>
        <v>-7097758.0416202545</v>
      </c>
      <c r="Z20" s="15" cm="1">
        <f t="array" ref="Z20">_xll.BDP($B20&amp;" Equity","opt_theta")*H20*O20/N20</f>
        <v>-5324.5</v>
      </c>
      <c r="AA20" s="19" cm="1">
        <f t="array" ref="AA20">_xll.BDP($B20&amp;" Equity","opt_theta")/I20</f>
        <v>-4.6400871459694988E-3</v>
      </c>
      <c r="AB20" s="36" t="str" cm="1">
        <f t="array" ref="AB20">_xll.BDP($C20&amp;" Equity","EXPECTED_REPORT_DT")</f>
        <v>17/04/2026</v>
      </c>
      <c r="AC20" s="15">
        <f>S20*H20*O20/N20</f>
        <v>17068000</v>
      </c>
      <c r="AD20" s="19">
        <f>AC20/'Master P&amp;L'!$AE$5</f>
        <v>7.5991689725478494E-3</v>
      </c>
      <c r="AE20" t="str">
        <f>B20  &amp; " - Buy to open " &amp;  "-" &amp; H20 &amp;"x"</f>
        <v>TSM US 07/17/26 C380 -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>
        <f>I19-I20</f>
        <v>16.55</v>
      </c>
      <c r="J21" s="100" t="s">
        <v>249</v>
      </c>
      <c r="K21" s="101">
        <f>K20/L19</f>
        <v>0.58101265822784809</v>
      </c>
      <c r="P21" s="100" t="s">
        <v>250</v>
      </c>
      <c r="Q21" s="108">
        <f>Q19+Q20</f>
        <v>3.6842701691957727</v>
      </c>
      <c r="S21" s="100" t="s">
        <v>251</v>
      </c>
      <c r="T21" s="102">
        <f>T20-T19</f>
        <v>40</v>
      </c>
      <c r="W21" s="100" t="s">
        <v>252</v>
      </c>
      <c r="X21" s="122">
        <f>X19+X20</f>
        <v>1.2586674392835286E-3</v>
      </c>
      <c r="Y21" s="13">
        <f>Y19+Y20</f>
        <v>2827011.2075805664</v>
      </c>
      <c r="AC21" s="100" t="s">
        <v>229</v>
      </c>
      <c r="AD21" s="104">
        <f>AD19</f>
        <v>7.5991689725478494E-3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>
        <f>(T21-I21)/I21</f>
        <v>1.416918429003021</v>
      </c>
      <c r="J22" s="100" t="s">
        <v>145</v>
      </c>
      <c r="K22" s="223">
        <f>AVERAGE(K19:L19)-AVERAGE(K20:L20)</f>
        <v>15.425000000000004</v>
      </c>
      <c r="P22" s="130">
        <f>P19+P20</f>
        <v>827500</v>
      </c>
      <c r="Q22" s="108"/>
      <c r="S22" s="100"/>
      <c r="T22" s="102"/>
      <c r="W22" s="100"/>
      <c r="X22" s="122"/>
      <c r="Y22" s="3">
        <f>Y21/S19</f>
        <v>8281.6123962402344</v>
      </c>
      <c r="AC22" s="100"/>
      <c r="AD22" s="104"/>
    </row>
    <row r="23" spans="1:38">
      <c r="I23" s="64">
        <f>I20*2</f>
        <v>45.9</v>
      </c>
      <c r="K23" s="167">
        <f>K19-K20</f>
        <v>15.500000000000004</v>
      </c>
      <c r="L23" s="167">
        <f>L19-L20</f>
        <v>15.350000000000001</v>
      </c>
      <c r="P23" s="40">
        <f>P22/Y21</f>
        <v>0.29271196300215491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 t="e">
        <f>I26/I27</f>
        <v>#VALUE!</v>
      </c>
      <c r="K25" s="238"/>
      <c r="L25" s="238"/>
      <c r="W25" s="50"/>
    </row>
    <row r="26" spans="1:38">
      <c r="A26" s="428">
        <f>A24-H26</f>
        <v>210</v>
      </c>
      <c r="B26" s="73" t="s">
        <v>2483</v>
      </c>
      <c r="C26" t="str" cm="1">
        <f t="array" ref="C26">_xll.BDP(B26&amp;" Equity","OPT_UNDL_TICKER")</f>
        <v>#N/A Invalid Security</v>
      </c>
      <c r="D26" t="str" cm="1">
        <f t="array" ref="D26">_xll.BDP($B26&amp;" Index","mifid_Maturity_date")</f>
        <v>#N/A Invalid Security</v>
      </c>
      <c r="E26" t="str" cm="1">
        <f t="array" ref="E26">_xll.BDP($B26&amp;" Index","opt_days_expire")</f>
        <v>#N/A Invalid Security</v>
      </c>
      <c r="F26" t="str" cm="1">
        <f t="array" ref="F26">_xll.BDP(B26&amp;" Equity","QUOTED_CURRENCY_REALTIME")</f>
        <v>#N/A Invalid Security</v>
      </c>
      <c r="G26" s="105" t="s">
        <v>248</v>
      </c>
      <c r="H26" s="96">
        <v>75</v>
      </c>
      <c r="I26" s="97" t="str">
        <f>IF(G26="Buy",L26,K26)</f>
        <v>#N/A Invalid Security</v>
      </c>
      <c r="J26" s="19" t="e">
        <f>I26/S26</f>
        <v>#VALUE!</v>
      </c>
      <c r="K26" s="36" t="str" cm="1">
        <f t="array" ref="K26">_xll.BDP($B26&amp;" Equity","bid")</f>
        <v>#N/A Invalid Security</v>
      </c>
      <c r="L26" s="36" t="str" cm="1">
        <f t="array" ref="L26">_xll.BDP($B26&amp;" Equity","ask")</f>
        <v>#N/A Invalid Security</v>
      </c>
      <c r="M26" s="40" t="e">
        <f>(L26/K26-1)</f>
        <v>#VALUE!</v>
      </c>
      <c r="N26" s="36" t="str" cm="1">
        <f t="array" ref="N26">_xll.BDP(F26&amp;" Curncy","PX_LAST")</f>
        <v>#N/A Invalid Security Curncy</v>
      </c>
      <c r="O26" s="162" t="str" cm="1">
        <f t="array" ref="O26">_xll.BDP(B26&amp;" Equity","OPT_MULTIPLIER")</f>
        <v>#N/A Invalid Security</v>
      </c>
      <c r="P26" s="15" t="e">
        <f>IF(G26="Buy",((I26/N26)*H26*O26),((I26/N26)*-H26*O26))</f>
        <v>#VALUE!</v>
      </c>
      <c r="Q26" s="58" t="e">
        <f>P26/'Master P&amp;L'!$AD$5*10000</f>
        <v>#VALUE!</v>
      </c>
      <c r="R26" s="37" t="e" cm="1">
        <f t="array" ref="R26">_xll.BDP($C26&amp;" Equity","EST_PE_NXT_YR")*(T26/S26)</f>
        <v>#VALUE!</v>
      </c>
      <c r="S26" s="36" t="str" cm="1">
        <f t="array" ref="S26">_xll.BDP(C26&amp;" Equity","LAST_PRICE")</f>
        <v>#N/A Invalid Security Equity</v>
      </c>
      <c r="T26" s="53" t="str" cm="1">
        <f t="array" ref="T26">_xll.BDP(B26&amp;" Equity","OPT_STRIKE_PX")</f>
        <v>#N/A Invalid Security</v>
      </c>
      <c r="U26" s="40" t="e">
        <f>T26/S26-1</f>
        <v>#VALUE!</v>
      </c>
      <c r="V26" s="37" t="str" cm="1">
        <f t="array" ref="V26">_xll.BDP($B26&amp;" Equity","ivol_mid")</f>
        <v>#N/A Invalid Security</v>
      </c>
      <c r="W26" s="38" t="str" cm="1">
        <f t="array" ref="W26">_xll.BDP(B26&amp;" Equity","DELTA_MID_RT")</f>
        <v>#N/A Invalid Security</v>
      </c>
      <c r="X26" s="48" t="e">
        <f>Y26/'Master P&amp;L'!$AE$5</f>
        <v>#VALUE!</v>
      </c>
      <c r="Y26" s="15" t="e">
        <f>IF(G26="Sell", S26*W26*-H26*O26/N26, S26*W26*H26*O26/N26)</f>
        <v>#VALUE!</v>
      </c>
      <c r="Z26" s="15" t="e" cm="1">
        <f t="array" ref="Z26">_xll.BDP($B26&amp;" Equity","opt_theta")*H26*O26/N26</f>
        <v>#VALUE!</v>
      </c>
      <c r="AA26" s="19" t="e" cm="1">
        <f t="array" ref="AA26">_xll.BDP($B26&amp;" Equity","opt_theta")/I26</f>
        <v>#VALUE!</v>
      </c>
      <c r="AB26" s="36" t="str" cm="1">
        <f t="array" ref="AB26">_xll.BDP($C26&amp;" Equity","EXPECTED_REPORT_DT")</f>
        <v>#N/A Invalid Security Equity</v>
      </c>
      <c r="AC26" s="15" t="e">
        <f>S26*H26*O26/N26</f>
        <v>#VALUE!</v>
      </c>
      <c r="AD26" s="19" t="e">
        <f>AC26/'Master P&amp;L'!$AE$5</f>
        <v>#VALUE!</v>
      </c>
      <c r="AE26" t="str">
        <f>B26  &amp; " - Buy to open " &amp;  "-" &amp; H26 &amp;"x"</f>
        <v>CSCO US 07/17/26 C670 - Buy to open -75x</v>
      </c>
    </row>
    <row r="27" spans="1:38">
      <c r="A27" s="428">
        <f>A25-H27</f>
        <v>210</v>
      </c>
      <c r="B27" s="73" t="s">
        <v>2402</v>
      </c>
      <c r="C27" t="str" cm="1">
        <f t="array" ref="C27">_xll.BDP(B27&amp;" Equity","OPT_UNDL_TICKER")</f>
        <v>META US</v>
      </c>
      <c r="D27" t="str" cm="1">
        <f t="array" ref="D27">_xll.BDP($B27&amp;" Index","mifid_Maturity_date")</f>
        <v>17/07/2026</v>
      </c>
      <c r="E27" cm="1">
        <f t="array" ref="E27">_xll.BDP($B27&amp;" Index","opt_days_expire")</f>
        <v>165</v>
      </c>
      <c r="F27" t="str" cm="1">
        <f t="array" ref="F27">_xll.BDP(B27&amp;" Equity","QUOTED_CURRENCY_REALTIME")</f>
        <v>USD</v>
      </c>
      <c r="G27" s="105" t="s">
        <v>247</v>
      </c>
      <c r="H27" s="96">
        <f>H26</f>
        <v>75</v>
      </c>
      <c r="I27" s="97">
        <f>IF(G27="Buy",L27,K27)</f>
        <v>71.5</v>
      </c>
      <c r="J27" s="19">
        <f>I27/S27</f>
        <v>0.10121600770091024</v>
      </c>
      <c r="K27" s="36" cm="1">
        <f t="array" ref="K27">_xll.BDP($B27&amp;" Equity","bid")</f>
        <v>71.099999999999994</v>
      </c>
      <c r="L27" s="36" cm="1">
        <f t="array" ref="L27">_xll.BDP($B27&amp;" Equity","ask")</f>
        <v>71.5</v>
      </c>
      <c r="M27" s="40">
        <f>(L27/K27-1)</f>
        <v>5.6258790436005679E-3</v>
      </c>
      <c r="N27" s="36" cm="1">
        <f t="array" ref="N27">_xll.BDP(F27&amp;" Curncy","PX_LAST")</f>
        <v>1</v>
      </c>
      <c r="O27" s="162" cm="1">
        <f t="array" ref="O27">_xll.BDP(B27&amp;" Equity","OPT_MULTIPLIER")</f>
        <v>100</v>
      </c>
      <c r="P27" s="15">
        <f>IF(G27="Buy",((I27/N27)*H27*O27),((I27/N27)*-H27*O27))</f>
        <v>536250</v>
      </c>
      <c r="Q27" s="58">
        <f>P27/'Master P&amp;L'!$AD$5*10000</f>
        <v>2.3875406383459015</v>
      </c>
      <c r="R27" s="37" cm="1">
        <f t="array" ref="R27">_xll.BDP($C27&amp;" Equity","EST_PE_NXT_YR")*(T27/S27)</f>
        <v>18.790694757528343</v>
      </c>
      <c r="S27" s="36" cm="1">
        <f t="array" ref="S27">_xll.BDP(C27&amp;" Equity","LAST_PRICE")</f>
        <v>706.41</v>
      </c>
      <c r="T27" s="53" cm="1">
        <f t="array" ref="T27">_xll.BDP(B27&amp;" Equity","OPT_STRIKE_PX")</f>
        <v>700</v>
      </c>
      <c r="U27" s="40">
        <f>T27/S27-1</f>
        <v>-9.0740504805990607E-3</v>
      </c>
      <c r="V27" s="37" cm="1">
        <f t="array" ref="V27">_xll.BDP($B27&amp;" Equity","ivol_mid")</f>
        <v>33.276629999999997</v>
      </c>
      <c r="W27" s="38" cm="1">
        <f t="array" ref="W27">_xll.BDP(B27&amp;" Equity","DELTA_MID_RT")</f>
        <v>0.58953726291656494</v>
      </c>
      <c r="X27" s="48">
        <f>Y27/'Master P&amp;L'!$AE$5</f>
        <v>1.3906339570236308E-3</v>
      </c>
      <c r="Y27" s="15">
        <f>IF(G27="Sell", S27*W27*-H27*O27/N27, S27*W27*H27*O27/N27)</f>
        <v>3123412.6342266798</v>
      </c>
      <c r="Z27" s="15" cm="1">
        <f t="array" ref="Z27">_xll.BDP($B27&amp;" Equity","opt_theta")*H27*O27/N27</f>
        <v>-1340.5425</v>
      </c>
      <c r="AA27" s="19" cm="1">
        <f t="array" ref="AA27">_xll.BDP($B27&amp;" Equity","opt_theta")/I27</f>
        <v>-2.4998461538461541E-3</v>
      </c>
      <c r="AB27" s="36" t="str" cm="1">
        <f t="array" ref="AB27">_xll.BDP($C27&amp;" Equity","EXPECTED_REPORT_DT")</f>
        <v>30/04/2026</v>
      </c>
      <c r="AC27" s="15">
        <f>S27*H27*O27/N27</f>
        <v>5298075</v>
      </c>
      <c r="AD27" s="19">
        <f>AC27/'Master P&amp;L'!$AE$5</f>
        <v>2.3588567585089903E-3</v>
      </c>
      <c r="AE27" t="str">
        <f>B27  &amp; " - Buy to open " &amp;  "-" &amp; H27 &amp;"x"</f>
        <v>META US 07/17/26 C700 - Buy to open -75x</v>
      </c>
    </row>
    <row r="28" spans="1:38">
      <c r="H28" s="100" t="s">
        <v>116</v>
      </c>
      <c r="I28" s="102" t="e">
        <f>I26-I27</f>
        <v>#VALUE!</v>
      </c>
      <c r="J28" s="100" t="s">
        <v>249</v>
      </c>
      <c r="K28" s="101" t="e">
        <f>K27/L26</f>
        <v>#VALUE!</v>
      </c>
      <c r="P28" s="100" t="s">
        <v>250</v>
      </c>
      <c r="Q28" s="103" t="e">
        <f>Q26+Q27</f>
        <v>#VALUE!</v>
      </c>
      <c r="S28" s="100" t="s">
        <v>251</v>
      </c>
      <c r="T28" s="102" t="e">
        <f>T27-T26</f>
        <v>#VALUE!</v>
      </c>
      <c r="W28" s="100" t="s">
        <v>252</v>
      </c>
      <c r="X28" s="122" t="e">
        <f>X26+X27</f>
        <v>#VALUE!</v>
      </c>
      <c r="Y28" s="13" t="e">
        <f>Y26+Y27</f>
        <v>#VALUE!</v>
      </c>
      <c r="AC28" s="100" t="s">
        <v>229</v>
      </c>
      <c r="AD28" s="104" t="e">
        <f>AD26</f>
        <v>#VALUE!</v>
      </c>
    </row>
    <row r="29" spans="1:38">
      <c r="A29" s="13">
        <f>A27-A26</f>
        <v>0</v>
      </c>
      <c r="H29" s="100" t="s">
        <v>253</v>
      </c>
      <c r="I29" s="102" t="e">
        <f>(T28-I28)/I28</f>
        <v>#VALUE!</v>
      </c>
      <c r="J29" s="100" t="s">
        <v>145</v>
      </c>
      <c r="K29" s="109" t="e">
        <f>AVERAGE(K26:L26)-AVERAGE(K27:L27)</f>
        <v>#DIV/0!</v>
      </c>
      <c r="P29" s="130" t="e">
        <f>P26+P27</f>
        <v>#VALUE!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 t="e">
        <f>I28/S26</f>
        <v>#VALUE!</v>
      </c>
      <c r="K30" s="167" t="e">
        <f>K26-K27</f>
        <v>#VALUE!</v>
      </c>
      <c r="L30" s="167" t="e">
        <f>L26-L27</f>
        <v>#VALUE!</v>
      </c>
      <c r="P30" s="40" t="e">
        <f>P29/Y28</f>
        <v>#VALUE!</v>
      </c>
      <c r="X30" s="3" t="e">
        <f>Y30/I28</f>
        <v>#VALUE!</v>
      </c>
      <c r="Y30" s="8" t="e">
        <f>Y28/S26</f>
        <v>#VALUE!</v>
      </c>
      <c r="AG30" s="167"/>
      <c r="AH30" s="167"/>
    </row>
    <row r="31" spans="1:38">
      <c r="K31" s="64" t="e">
        <f>I27*2-I26</f>
        <v>#VALUE!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2390</v>
      </c>
      <c r="C33" t="str" cm="1">
        <f t="array" ref="C33">_xll.BDP(B33&amp;" Equity","OPT_UNDL_TICKER")</f>
        <v>NVDA US</v>
      </c>
      <c r="D33" t="str" cm="1">
        <f t="array" ref="D33">_xll.BDP($B33&amp;" Index","mifid_Maturity_date")</f>
        <v>06/02/2026</v>
      </c>
      <c r="E33" cm="1">
        <f t="array" ref="E33">_xll.BDP($B33&amp;" Index","opt_days_expire")</f>
        <v>4</v>
      </c>
      <c r="F33" t="str" cm="1">
        <f t="array" ref="F33">_xll.BDP(B33&amp;" Equity","QUOTED_CURRENCY_REALTIME")</f>
        <v>USD</v>
      </c>
      <c r="G33" s="105" t="s">
        <v>247</v>
      </c>
      <c r="H33" s="96">
        <v>2000</v>
      </c>
      <c r="I33" s="97">
        <f>IF(G33="Buy",L33,K33)</f>
        <v>0.35</v>
      </c>
      <c r="J33" s="19">
        <f>I33/S33</f>
        <v>1.8856742632401269E-3</v>
      </c>
      <c r="K33" s="36" cm="1">
        <f t="array" ref="K33">_xll.BDP($B33&amp;" Equity","bid")</f>
        <v>0.34</v>
      </c>
      <c r="L33" s="36" cm="1">
        <f t="array" ref="L33">_xll.BDP($B33&amp;" Equity","ask")</f>
        <v>0.35</v>
      </c>
      <c r="M33" s="40">
        <f>(L33/K33-1)</f>
        <v>2.9411764705882248E-2</v>
      </c>
      <c r="N33" s="36" cm="1">
        <f t="array" ref="N33">_xll.BDP(F33&amp;" Curncy","PX_LAST")</f>
        <v>1</v>
      </c>
      <c r="O33" s="162" cm="1">
        <f t="array" ref="O33">_xll.BDP(B33&amp;" Equity","OPT_MULTIPLIER")</f>
        <v>100</v>
      </c>
      <c r="P33" s="15">
        <f>IF(G33="Buy",((I33/N33)*H33*O33),((I33/N33)*-H33*O33))</f>
        <v>70000</v>
      </c>
      <c r="Q33" s="58">
        <f>P33/'Master P&amp;L'!$AD$5*10000</f>
        <v>0.31166031642743702</v>
      </c>
      <c r="R33" s="37" cm="1">
        <f t="array" ref="R33">_xll.BDP($C33&amp;" Equity","EST_PE_NXT_YR")*(T33/S33)</f>
        <v>26.117187637037748</v>
      </c>
      <c r="S33" s="36">
        <f>_xll.BDP(C33&amp;" Equity","LAST_PRICE")</f>
        <v>185.61</v>
      </c>
      <c r="T33" s="53" cm="1">
        <f t="array" ref="T33">_xll.BDP(B33&amp;" Equity","OPT_STRIKE_PX")</f>
        <v>197.5</v>
      </c>
      <c r="U33" s="40">
        <f>T33/S33-1</f>
        <v>6.4059048542643104E-2</v>
      </c>
      <c r="V33" s="37" cm="1">
        <f t="array" ref="V33">_xll.BDP($B33&amp;" Equity","ivol_mid")</f>
        <v>31.691269999999999</v>
      </c>
      <c r="W33" s="38" cm="1">
        <f t="array" ref="W33">_xll.BDP(B33&amp;" Equity","DELTA_MID_RT")</f>
        <v>9.0163692831993103E-2</v>
      </c>
      <c r="X33" s="48">
        <f>Y33/'Master P&amp;L'!$AE$5</f>
        <v>1.4902067438731762E-3</v>
      </c>
      <c r="Y33" s="15">
        <f>IF(G33="Sell", S33*W33*-H33*O33/N33, S33*W33*H33*O33/N33)</f>
        <v>3347056.605309248</v>
      </c>
      <c r="Z33" s="15" cm="1">
        <f t="array" ref="Z33">_xll.BDP($B33&amp;" Equity","opt_theta")*H33*O33/N33</f>
        <v>-32320.400000000001</v>
      </c>
      <c r="AA33" s="19" cm="1">
        <f t="array" ref="AA33">_xll.BDP($B33&amp;" Equity","opt_theta")/I33</f>
        <v>-0.46172000000000002</v>
      </c>
      <c r="AB33" s="36" t="str" cm="1">
        <f t="array" ref="AB33">_xll.BDP($C33&amp;" Equity","EXPECTED_REPORT_DT")</f>
        <v>25/02/2026</v>
      </c>
      <c r="AC33" s="15">
        <f>S33*H33*O33/N33</f>
        <v>37122000</v>
      </c>
      <c r="AD33" s="19">
        <f>AC33/'Master P&amp;L'!$AE$5</f>
        <v>1.6527791809170453E-2</v>
      </c>
      <c r="AE33" t="str">
        <f>B33  &amp; " - Buy to open " &amp;  "-" &amp; H33 &amp;"x"</f>
        <v>NVDA US 02/06/26 C197.5 - Buy to open -2000x</v>
      </c>
    </row>
    <row r="34" spans="1:38">
      <c r="A34" s="98" t="s">
        <v>246</v>
      </c>
      <c r="B34" s="73" t="s">
        <v>2391</v>
      </c>
      <c r="C34" t="str" cm="1">
        <f t="array" ref="C34">_xll.BDP(B34&amp;" Equity","OPT_UNDL_TICKER")</f>
        <v>NVDA US</v>
      </c>
      <c r="D34" t="str" cm="1">
        <f t="array" ref="D34">_xll.BDP($B34&amp;" Index","mifid_Maturity_date")</f>
        <v>13/02/2026</v>
      </c>
      <c r="E34" cm="1">
        <f t="array" ref="E34">_xll.BDP($B34&amp;" Index","opt_days_expire")</f>
        <v>11</v>
      </c>
      <c r="F34" t="str" cm="1">
        <f t="array" ref="F34">_xll.BDP(B34&amp;" Equity","QUOTED_CURRENCY_REALTIME")</f>
        <v>USD</v>
      </c>
      <c r="G34" s="105" t="s">
        <v>248</v>
      </c>
      <c r="H34" s="96">
        <f>H33</f>
        <v>2000</v>
      </c>
      <c r="I34" s="97">
        <f>IF(G34="Buy",L34,K34)</f>
        <v>0.62</v>
      </c>
      <c r="J34" s="19">
        <f>I34/S34</f>
        <v>3.3403372663110822E-3</v>
      </c>
      <c r="K34" s="36" cm="1">
        <f t="array" ref="K34">_xll.BDP($B34&amp;" Equity","bid")</f>
        <v>0.62</v>
      </c>
      <c r="L34" s="36" cm="1">
        <f t="array" ref="L34">_xll.BDP($B34&amp;" Equity","ask")</f>
        <v>0.63</v>
      </c>
      <c r="M34" s="40">
        <f>(L34/K34-1)</f>
        <v>1.6129032258064502E-2</v>
      </c>
      <c r="N34" s="36" cm="1">
        <f t="array" ref="N34">_xll.BDP(F34&amp;" Curncy","PX_LAST")</f>
        <v>1</v>
      </c>
      <c r="O34" s="162" cm="1">
        <f t="array" ref="O34">_xll.BDP(B34&amp;" Equity","OPT_MULTIPLIER")</f>
        <v>100</v>
      </c>
      <c r="P34" s="15">
        <f>IF(G34="Buy",((I34/N34)*H34*O34),((I34/N34)*-H34*O34))</f>
        <v>-124000</v>
      </c>
      <c r="Q34" s="58">
        <f>P34/'Master P&amp;L'!$AD$5*10000</f>
        <v>-0.5520839891000312</v>
      </c>
      <c r="R34" s="37" cm="1">
        <f t="array" ref="R34">_xll.BDP($C34&amp;" Equity","EST_PE_NXT_YR")*(T34/S34)</f>
        <v>26.778382260760225</v>
      </c>
      <c r="S34" s="36">
        <f>_xll.BDP(C34&amp;" Equity","LAST_PRICE")</f>
        <v>185.61</v>
      </c>
      <c r="T34" s="53" cm="1">
        <f t="array" ref="T34">_xll.BDP(B34&amp;" Equity","OPT_STRIKE_PX")</f>
        <v>202.5</v>
      </c>
      <c r="U34" s="40">
        <f>T34/S34-1</f>
        <v>9.0997252303216314E-2</v>
      </c>
      <c r="V34" s="37" cm="1">
        <f t="array" ref="V34">_xll.BDP($B34&amp;" Equity","ivol_mid")</f>
        <v>32.99624</v>
      </c>
      <c r="W34" s="38" cm="1">
        <f t="array" ref="W34">_xll.BDP(B34&amp;" Equity","DELTA_MID_RT")</f>
        <v>0.10704950988292694</v>
      </c>
      <c r="X34" s="48">
        <f>Y34/'Master P&amp;L'!$AE$5</f>
        <v>-1.7692920126187517E-3</v>
      </c>
      <c r="Y34" s="15">
        <f>IF(G34="Sell", S34*W34*-H34*O34/N34, S34*W34*H34*O34/N34)</f>
        <v>-3973891.9058740148</v>
      </c>
      <c r="Z34" s="15" cm="1">
        <f t="array" ref="Z34">_xll.BDP($B34&amp;" Equity","opt_theta")*H34*O34/N34</f>
        <v>-22021.199999999997</v>
      </c>
      <c r="AA34" s="19" cm="1">
        <f t="array" ref="AA34">_xll.BDP($B34&amp;" Equity","opt_theta")/I34</f>
        <v>-0.17759032258064517</v>
      </c>
      <c r="AB34" s="36" t="str" cm="1">
        <f t="array" ref="AB34">_xll.BDP($C34&amp;" Equity","EXPECTED_REPORT_DT")</f>
        <v>25/02/2026</v>
      </c>
      <c r="AC34" s="15">
        <f>S34*H34*O34/N34</f>
        <v>37122000</v>
      </c>
      <c r="AD34" s="19">
        <f>AC34/'Master P&amp;L'!$AE$5</f>
        <v>1.6527791809170453E-2</v>
      </c>
      <c r="AE34" t="str">
        <f>B34  &amp; " - Buy to open " &amp;  "-" &amp; H34 &amp;"x"</f>
        <v>NVDA US 02/13/26 C202.5 - Buy to open -2000x</v>
      </c>
    </row>
    <row r="35" spans="1:38">
      <c r="H35" s="100" t="s">
        <v>116</v>
      </c>
      <c r="I35" s="222">
        <f>I33-I34</f>
        <v>-0.27</v>
      </c>
      <c r="J35" s="100" t="s">
        <v>249</v>
      </c>
      <c r="K35" s="101">
        <f>K34/L33</f>
        <v>1.7714285714285716</v>
      </c>
      <c r="P35" s="100" t="s">
        <v>250</v>
      </c>
      <c r="Q35" s="103">
        <f>Q33+Q34</f>
        <v>-0.24042367267259418</v>
      </c>
      <c r="S35" s="100" t="s">
        <v>251</v>
      </c>
      <c r="T35" s="102">
        <f>T34-T33</f>
        <v>5</v>
      </c>
      <c r="W35" s="100" t="s">
        <v>252</v>
      </c>
      <c r="X35" s="122">
        <f>X33+X34</f>
        <v>-2.7908526874557559E-4</v>
      </c>
      <c r="Y35" s="13">
        <f>Y33+Y34</f>
        <v>-626835.30056476686</v>
      </c>
      <c r="AC35" s="100" t="s">
        <v>229</v>
      </c>
      <c r="AD35" s="104">
        <f>AD33</f>
        <v>1.6527791809170453E-2</v>
      </c>
    </row>
    <row r="36" spans="1:38">
      <c r="H36" s="100" t="s">
        <v>253</v>
      </c>
      <c r="I36" s="102">
        <f>(T35-I35)/I35</f>
        <v>-19.518518518518515</v>
      </c>
      <c r="J36" s="100" t="s">
        <v>145</v>
      </c>
      <c r="K36" s="109">
        <f>AVERAGE(K33:L33)-AVERAGE(K34:L34)</f>
        <v>-0.28000000000000003</v>
      </c>
      <c r="P36" s="130">
        <f>P33+P34</f>
        <v>-54000</v>
      </c>
      <c r="Q36" s="108"/>
      <c r="S36" s="100"/>
      <c r="T36" s="102"/>
      <c r="W36" s="100"/>
      <c r="X36" s="122"/>
      <c r="Y36" s="13">
        <f>Y35/S33</f>
        <v>-3377.1634101867721</v>
      </c>
      <c r="AC36" s="100"/>
      <c r="AD36" s="104"/>
    </row>
    <row r="37" spans="1:38">
      <c r="I37" s="21">
        <f>I35/S33</f>
        <v>-1.4546630030709553E-3</v>
      </c>
      <c r="K37" s="64">
        <f>(2*I33)-(I34*3)</f>
        <v>-1.1599999999999999</v>
      </c>
      <c r="P37" s="267">
        <f>P36/I35/100</f>
        <v>2000</v>
      </c>
      <c r="W37" s="50">
        <f>W33-W34</f>
        <v>-1.6885817050933838E-2</v>
      </c>
    </row>
    <row r="38" spans="1:38">
      <c r="H38">
        <v>1</v>
      </c>
      <c r="J38" s="43">
        <f>J39-J40</f>
        <v>2.4783147459727381E-3</v>
      </c>
      <c r="P38" s="13"/>
    </row>
    <row r="39" spans="1:38">
      <c r="A39" s="281">
        <f>S39-T39</f>
        <v>-9.3899999999999864</v>
      </c>
      <c r="B39" s="73" t="s">
        <v>2444</v>
      </c>
      <c r="C39" t="str" cm="1">
        <f t="array" ref="C39">_xll.BDP(B39&amp;" Equity","OPT_UNDL_TICKER")</f>
        <v>NVDA US</v>
      </c>
      <c r="D39" t="str" cm="1">
        <f t="array" ref="D39">_xll.BDP($B39&amp;" Index","mifid_Maturity_date")</f>
        <v>06/02/2026</v>
      </c>
      <c r="E39" cm="1">
        <f t="array" ref="E39">_xll.BDP($B39&amp;" Index","opt_days_expire")</f>
        <v>4</v>
      </c>
      <c r="F39" t="str" cm="1">
        <f t="array" ref="F39">_xll.BDP(B39&amp;" Equity","QUOTED_CURRENCY_REALTIME")</f>
        <v>USD</v>
      </c>
      <c r="G39" s="105" t="s">
        <v>247</v>
      </c>
      <c r="H39" s="96">
        <v>50</v>
      </c>
      <c r="I39" s="224">
        <f>IF(G39="Buy",L39,K39)</f>
        <v>0.65</v>
      </c>
      <c r="J39" s="19">
        <f>I39/S39</f>
        <v>3.5019664888745216E-3</v>
      </c>
      <c r="K39" s="36" cm="1">
        <f t="array" ref="K39">_xll.BDP($B39&amp;" Equity","bid")</f>
        <v>0.64</v>
      </c>
      <c r="L39" s="36" cm="1">
        <f t="array" ref="L39">_xll.BDP($B39&amp;" Equity","ask")</f>
        <v>0.65</v>
      </c>
      <c r="M39" s="40">
        <f>(L39/K39-1)</f>
        <v>1.5625E-2</v>
      </c>
      <c r="N39" s="36" cm="1">
        <f t="array" ref="N39">_xll.BDP(F39&amp;" Curncy","PX_LAST")</f>
        <v>1</v>
      </c>
      <c r="O39" s="162" cm="1">
        <f t="array" ref="O39">_xll.BDP(B39&amp;" Equity","OPT_MULTIPLIER")</f>
        <v>100</v>
      </c>
      <c r="P39" s="15">
        <f>IF(G39="Buy",((I39/N39)*H39*O39),((I39/N39)*-H39*O39))</f>
        <v>3250</v>
      </c>
      <c r="Q39" s="58">
        <f>P39/'Master P&amp;L'!$AD$5*10000</f>
        <v>1.4469943262702433E-2</v>
      </c>
      <c r="R39" s="37" cm="1">
        <f t="array" ref="R39">_xll.BDP($C39&amp;" Equity","EST_PE_NXT_YR")*(T39/S39)</f>
        <v>25.786590325176512</v>
      </c>
      <c r="S39" s="36" cm="1">
        <f t="array" ref="S39">_xll.BDP(C39&amp;" Equity","LAST_PRICE")</f>
        <v>185.61</v>
      </c>
      <c r="T39" s="53" cm="1">
        <f t="array" ref="T39">_xll.BDP(B39&amp;" Equity","OPT_STRIKE_PX")</f>
        <v>195</v>
      </c>
      <c r="U39" s="40">
        <f>T39/S39-1</f>
        <v>5.05899466623565E-2</v>
      </c>
      <c r="V39" s="37" cm="1">
        <f t="array" ref="V39">_xll.BDP($B39&amp;" Equity","ivol_mid")</f>
        <v>32.945439999999998</v>
      </c>
      <c r="W39" s="38" cm="1">
        <f t="array" ref="W39">_xll.BDP(B39&amp;" Equity","DELTA_MID_RT")</f>
        <v>0.14903002977371216</v>
      </c>
      <c r="X39" s="48">
        <f>Y39/'Master P&amp;L'!$AE$5</f>
        <v>6.1578432635359706E-5</v>
      </c>
      <c r="Y39" s="15">
        <f>IF(G39="Sell", S39*W39*-H39*O39/N39, S39*W39*H39*O39/N39)</f>
        <v>138307.31913149357</v>
      </c>
      <c r="Z39" s="15" cm="1">
        <f t="array" ref="Z39">_xll.BDP($B39&amp;" Equity","opt_theta")*H39*O39/N39</f>
        <v>-1132.845</v>
      </c>
      <c r="AA39" s="19" cm="1">
        <f t="array" ref="AA39">_xll.BDP($B39&amp;" Equity","opt_theta")/I39</f>
        <v>-0.3485676923076923</v>
      </c>
      <c r="AB39" s="36" t="str" cm="1">
        <f t="array" ref="AB39">_xll.BDP($C39&amp;" Equity","EXPECTED_REPORT_DT")</f>
        <v>25/02/2026</v>
      </c>
      <c r="AC39" s="15">
        <f>S39*H39*O39/N39</f>
        <v>928050</v>
      </c>
      <c r="AD39" s="19">
        <f>AC39/'Master P&amp;L'!$AE$5</f>
        <v>4.1319479522926132E-4</v>
      </c>
      <c r="AE39" t="str">
        <f>B39  &amp; " - Buy to open " &amp;  "-" &amp; H39 &amp;"x"</f>
        <v>NVDA US 02/06/26 C195 - Buy to open -50x</v>
      </c>
    </row>
    <row r="40" spans="1:38">
      <c r="A40" s="281">
        <f>S40-T40</f>
        <v>-24.389999999999986</v>
      </c>
      <c r="B40" s="73" t="s">
        <v>2389</v>
      </c>
      <c r="C40" t="str" cm="1">
        <f t="array" ref="C40">_xll.BDP(B40&amp;" Equity","OPT_UNDL_TICKER")</f>
        <v>NVDA US</v>
      </c>
      <c r="D40" t="str" cm="1">
        <f t="array" ref="D40">_xll.BDP($B40&amp;" Index","mifid_Maturity_date")</f>
        <v>13/02/2026</v>
      </c>
      <c r="E40" cm="1">
        <f t="array" ref="E40">_xll.BDP($B40&amp;" Index","opt_days_expire")</f>
        <v>11</v>
      </c>
      <c r="F40" t="str" cm="1">
        <f t="array" ref="F40">_xll.BDP(B40&amp;" Equity","QUOTED_CURRENCY_REALTIME")</f>
        <v>USD</v>
      </c>
      <c r="G40" s="105" t="s">
        <v>248</v>
      </c>
      <c r="H40" s="96">
        <f>H39</f>
        <v>50</v>
      </c>
      <c r="I40" s="224">
        <f>IF(G40="Buy",L40,K40)</f>
        <v>0.19</v>
      </c>
      <c r="J40" s="19">
        <f>I40/S40</f>
        <v>1.0236517429017833E-3</v>
      </c>
      <c r="K40" s="36" cm="1">
        <f t="array" ref="K40">_xll.BDP($B40&amp;" Equity","bid")</f>
        <v>0.19</v>
      </c>
      <c r="L40" s="36" cm="1">
        <f t="array" ref="L40">_xll.BDP($B40&amp;" Equity","ask")</f>
        <v>0.2</v>
      </c>
      <c r="M40" s="40">
        <f>(L40/K40-1)</f>
        <v>5.2631578947368363E-2</v>
      </c>
      <c r="N40" s="36" cm="1">
        <f t="array" ref="N40">_xll.BDP(F40&amp;" Curncy","PX_LAST")</f>
        <v>1</v>
      </c>
      <c r="O40" s="162" cm="1">
        <f t="array" ref="O40">_xll.BDP(B40&amp;" Equity","OPT_MULTIPLIER")</f>
        <v>100</v>
      </c>
      <c r="P40" s="15">
        <f>IF(G40="Buy",((I40/N40)*H40*O40),((I40/N40)*-H40*O40))</f>
        <v>-950</v>
      </c>
      <c r="Q40" s="58">
        <f>P40/'Master P&amp;L'!$AD$5*10000</f>
        <v>-4.2296757229437877E-3</v>
      </c>
      <c r="R40" s="37" cm="1">
        <f t="array" ref="R40">_xll.BDP($C40&amp;" Equity","EST_PE_NXT_YR")*(T40/S40)</f>
        <v>27.770174196343934</v>
      </c>
      <c r="S40" s="36" cm="1">
        <f t="array" ref="S40">_xll.BDP(C40&amp;" Equity","LAST_PRICE")</f>
        <v>185.61</v>
      </c>
      <c r="T40" s="53" cm="1">
        <f t="array" ref="T40">_xll.BDP(B40&amp;" Equity","OPT_STRIKE_PX")</f>
        <v>210</v>
      </c>
      <c r="U40" s="40">
        <f>T40/S40-1</f>
        <v>0.13140455794407613</v>
      </c>
      <c r="V40" s="37" cm="1">
        <f t="array" ref="V40">_xll.BDP($B40&amp;" Equity","ivol_mid")</f>
        <v>32.620089999999998</v>
      </c>
      <c r="W40" s="38" cm="1">
        <f t="array" ref="W40">_xll.BDP(B40&amp;" Equity","DELTA_MID_RT")</f>
        <v>3.9222903549671173E-2</v>
      </c>
      <c r="X40" s="48">
        <f>Y40/'Master P&amp;L'!$AE$5</f>
        <v>-1.6206699600503451E-5</v>
      </c>
      <c r="Y40" s="15">
        <f>IF(G40="Sell", S40*W40*-H40*O40/N40, S40*W40*H40*O40/N40)</f>
        <v>-36400.815639272339</v>
      </c>
      <c r="Z40" s="15" cm="1">
        <f t="array" ref="Z40">_xll.BDP($B40&amp;" Equity","opt_theta")*H40*O40/N40</f>
        <v>-248.53</v>
      </c>
      <c r="AA40" s="19" cm="1">
        <f t="array" ref="AA40">_xll.BDP($B40&amp;" Equity","opt_theta")/I40</f>
        <v>-0.26161052631578946</v>
      </c>
      <c r="AB40" s="36" t="str" cm="1">
        <f t="array" ref="AB40">_xll.BDP($C40&amp;" Equity","EXPECTED_REPORT_DT")</f>
        <v>25/02/2026</v>
      </c>
      <c r="AC40" s="15">
        <f>S40*H40*O40/N40</f>
        <v>928050</v>
      </c>
      <c r="AD40" s="19">
        <f>AC40/'Master P&amp;L'!$AE$5</f>
        <v>4.1319479522926132E-4</v>
      </c>
      <c r="AE40" t="str">
        <f>B40  &amp; " - Buy to open " &amp;  "-" &amp; H40 &amp;"x"</f>
        <v>NVDA US 02/13/26 C210 - Buy to open -50x</v>
      </c>
    </row>
    <row r="41" spans="1:38">
      <c r="H41" s="100" t="s">
        <v>116</v>
      </c>
      <c r="I41" s="222">
        <f>I39-I40</f>
        <v>0.46</v>
      </c>
      <c r="J41" s="100" t="s">
        <v>249</v>
      </c>
      <c r="K41" s="101">
        <f>K40/L39</f>
        <v>0.29230769230769232</v>
      </c>
      <c r="P41" s="100" t="s">
        <v>250</v>
      </c>
      <c r="Q41" s="108">
        <f>Q39+Q40</f>
        <v>1.0240267539758645E-2</v>
      </c>
      <c r="S41" s="100" t="s">
        <v>251</v>
      </c>
      <c r="T41" s="102">
        <f>T40-T39</f>
        <v>15</v>
      </c>
      <c r="W41" s="100" t="s">
        <v>252</v>
      </c>
      <c r="X41" s="122">
        <f>X39+X40</f>
        <v>4.5371733034856254E-5</v>
      </c>
      <c r="Y41" s="13">
        <f>Y39+Y40</f>
        <v>101906.50349222124</v>
      </c>
      <c r="AC41" s="100" t="s">
        <v>229</v>
      </c>
      <c r="AD41" s="122">
        <f>AD39</f>
        <v>4.1319479522926132E-4</v>
      </c>
    </row>
    <row r="42" spans="1:38">
      <c r="B42" s="73"/>
      <c r="H42" s="100" t="s">
        <v>253</v>
      </c>
      <c r="I42" s="102">
        <f>(T41-K42)/I41</f>
        <v>31.630434782608695</v>
      </c>
      <c r="J42" s="100" t="s">
        <v>145</v>
      </c>
      <c r="K42" s="223">
        <f>AVERAGE(K39:L39)-AVERAGE(K40:L40)</f>
        <v>0.45</v>
      </c>
      <c r="P42" s="130">
        <f>P39+P40</f>
        <v>2300</v>
      </c>
      <c r="Q42" s="108"/>
      <c r="S42" s="100"/>
      <c r="T42" s="102"/>
      <c r="W42" s="100"/>
      <c r="X42" s="122"/>
      <c r="Y42" s="13">
        <f>Y41/S39</f>
        <v>549.03563112020493</v>
      </c>
      <c r="AC42" s="100"/>
      <c r="AD42" s="104"/>
    </row>
    <row r="43" spans="1:38">
      <c r="I43" s="278"/>
      <c r="K43" s="278">
        <f>K36-K42</f>
        <v>-0.73</v>
      </c>
      <c r="L43" s="278"/>
      <c r="P43" s="5">
        <f>P42/Y41</f>
        <v>2.256970773386965E-2</v>
      </c>
      <c r="W43" s="50">
        <f>W39-W40</f>
        <v>0.10980712622404099</v>
      </c>
      <c r="Y43" s="13">
        <f>Y42+Y36</f>
        <v>-2828.1277790665672</v>
      </c>
    </row>
    <row r="44" spans="1:38">
      <c r="K44" s="338">
        <f>K36/K42</f>
        <v>-0.62222222222222223</v>
      </c>
      <c r="L44" s="278">
        <f>K36-(K42*2)</f>
        <v>-1.1800000000000002</v>
      </c>
      <c r="P44" s="13">
        <f>P36+P42</f>
        <v>-51700</v>
      </c>
    </row>
    <row r="45" spans="1:38" s="59" customFormat="1">
      <c r="O45" s="163"/>
      <c r="X45" s="127"/>
      <c r="AL45" s="14"/>
    </row>
    <row r="46" spans="1:38">
      <c r="K46" s="64">
        <f>K49*2+K50</f>
        <v>2.23</v>
      </c>
      <c r="L46" s="64">
        <f>L49*2+L50</f>
        <v>2.8</v>
      </c>
    </row>
    <row r="47" spans="1:38">
      <c r="A47" s="99" t="s">
        <v>255</v>
      </c>
      <c r="B47" s="99"/>
      <c r="K47" s="64"/>
      <c r="L47" s="64"/>
      <c r="P47" s="3">
        <f>P49+P50</f>
        <v>15300</v>
      </c>
      <c r="Q47" s="58"/>
    </row>
    <row r="48" spans="1:38">
      <c r="H48">
        <v>1</v>
      </c>
      <c r="I48" s="64">
        <f>I49-I50</f>
        <v>1.02</v>
      </c>
    </row>
    <row r="49" spans="1:36">
      <c r="A49" s="281">
        <v>4.3</v>
      </c>
      <c r="B49" s="59" t="s">
        <v>2446</v>
      </c>
      <c r="C49" t="str" cm="1">
        <f t="array" ref="C49">_xll.BDP(B49&amp;" Equity","OPT_UNDL_TICKER")</f>
        <v>DELL US</v>
      </c>
      <c r="D49" t="str" cm="1">
        <f t="array" ref="D49">_xll.BDP($B49&amp;" Index","mifid_Maturity_date")</f>
        <v>06/02/2026</v>
      </c>
      <c r="E49" cm="1">
        <f t="array" ref="E49">_xll.BDP($B49&amp;" Index","opt_days_expire")</f>
        <v>4</v>
      </c>
      <c r="F49" t="str" cm="1">
        <f t="array" ref="F49">_xll.BDP(B49&amp;" Equity","QUOTED_CURRENCY_REALTIME")</f>
        <v>USD</v>
      </c>
      <c r="G49" s="105" t="s">
        <v>247</v>
      </c>
      <c r="H49" s="96">
        <v>150</v>
      </c>
      <c r="I49" s="97">
        <f>IF(G49="Buy",L49,K49)</f>
        <v>1.25</v>
      </c>
      <c r="J49" s="19">
        <f>I49/S49</f>
        <v>1.049009734810339E-2</v>
      </c>
      <c r="K49" s="36" cm="1">
        <f t="array" ref="K49">_xll.BDP($B49&amp;" Equity","bid")</f>
        <v>1</v>
      </c>
      <c r="L49" s="36" cm="1">
        <f t="array" ref="L49">_xll.BDP($B49&amp;" Equity","ask")</f>
        <v>1.25</v>
      </c>
      <c r="M49" s="40">
        <f>(L49/K49-1)</f>
        <v>0.25</v>
      </c>
      <c r="N49" s="36" cm="1">
        <f t="array" ref="N49">_xll.BDP(F49&amp;" Curncy","PX_LAST")</f>
        <v>1</v>
      </c>
      <c r="O49" s="162" cm="1">
        <f t="array" ref="O49">_xll.BDP(B49&amp;" Equity","OPT_MULTIPLIER")</f>
        <v>100</v>
      </c>
      <c r="P49" s="15">
        <f>IF(G49="Buy",((I49/N49)*H49*O49),((I49/N49)*-H49*O49))</f>
        <v>18750</v>
      </c>
      <c r="Q49" s="58">
        <f>P49/'Master P&amp;L'!$AD$5*10000</f>
        <v>8.3480441900206342E-2</v>
      </c>
      <c r="R49" s="37" cm="1">
        <f t="array" ref="R49">_xll.BDP($C49&amp;" Equity","EST_PE_NXT_YR")*(T49/S49)</f>
        <v>9.8771215607125669</v>
      </c>
      <c r="S49" s="36" cm="1">
        <f t="array" ref="S49">_xll.BDP(C49&amp;" Equity","LAST_PRICE")</f>
        <v>119.16</v>
      </c>
      <c r="T49" s="53" cm="1">
        <f t="array" ref="T49">_xll.BDP(B49&amp;" Equity","OPT_STRIKE_PX")</f>
        <v>115</v>
      </c>
      <c r="U49" s="40">
        <f>T49/S49-1</f>
        <v>-3.4911043974488076E-2</v>
      </c>
      <c r="V49" s="37" cm="1">
        <f t="array" ref="V49">_xll.BDP($B49&amp;" Equity","ivol_mid")</f>
        <v>45.87697</v>
      </c>
      <c r="W49" s="38" cm="1">
        <f t="array" ref="W49">_xll.BDP(B49&amp;" Equity","DELTA_MID_RT")</f>
        <v>-0.25966745615005493</v>
      </c>
      <c r="X49" s="357">
        <f>Y49/'Master P&amp;L'!$AE$5</f>
        <v>-2.0664397352259336E-4</v>
      </c>
      <c r="Y49" s="15">
        <f>IF(G49="Sell", S49*W49*-H49*O49/N49, S49*W49*H49*O49/N49)</f>
        <v>-464129.61112260818</v>
      </c>
      <c r="Z49" s="15" cm="1">
        <f t="array" ref="Z49">_xll.BDP($B49&amp;" Equity","opt_theta")*H49*O49/N49</f>
        <v>-3131.0549999999998</v>
      </c>
      <c r="AA49" s="19" cm="1">
        <f t="array" ref="AA49">_xll.BDP($B49&amp;" Equity","opt_theta")/I49</f>
        <v>-0.16698960000000002</v>
      </c>
      <c r="AB49" s="36" t="str" cm="1">
        <f t="array" ref="AB49">_xll.BDP($C49&amp;" Equity","EXPECTED_REPORT_DT")</f>
        <v>26/02/2026</v>
      </c>
      <c r="AC49" s="15">
        <f>S49*H49*O49/N49</f>
        <v>1787400</v>
      </c>
      <c r="AD49" s="48">
        <f>AC49/'Master P&amp;L'!$AE$5</f>
        <v>7.9580235654628704E-4</v>
      </c>
      <c r="AE49" t="str">
        <f>B49&amp;" -&gt; Buy to open "&amp;H49&amp;"x"</f>
        <v>DELL US 02/06/26 P115 -&gt; Buy to open 150x</v>
      </c>
      <c r="AJ49" t="s">
        <v>257</v>
      </c>
    </row>
    <row r="50" spans="1:36">
      <c r="A50" s="281">
        <v>2.0499999999999998</v>
      </c>
      <c r="B50" s="59" t="s">
        <v>2445</v>
      </c>
      <c r="C50" t="str" cm="1">
        <f t="array" ref="C50">_xll.BDP(B50&amp;" Equity","OPT_UNDL_TICKER")</f>
        <v>DELL US</v>
      </c>
      <c r="D50" t="str" cm="1">
        <f t="array" ref="D50">_xll.BDP($B50&amp;" Index","mifid_Maturity_date")</f>
        <v>06/02/2026</v>
      </c>
      <c r="E50" cm="1">
        <f t="array" ref="E50">_xll.BDP($B50&amp;" Index","opt_days_expire")</f>
        <v>4</v>
      </c>
      <c r="F50" t="str" cm="1">
        <f t="array" ref="F50">_xll.BDP(B50&amp;" Equity","QUOTED_CURRENCY_REALTIME")</f>
        <v>USD</v>
      </c>
      <c r="G50" s="105" t="s">
        <v>248</v>
      </c>
      <c r="H50" s="96">
        <f>H49</f>
        <v>150</v>
      </c>
      <c r="I50" s="97">
        <f>IF(G50="Buy",L50,K50)</f>
        <v>0.23</v>
      </c>
      <c r="J50" s="19">
        <f>I50/S50</f>
        <v>1.930177912051024E-3</v>
      </c>
      <c r="K50" s="36" cm="1">
        <f t="array" ref="K50">_xll.BDP($B50&amp;" Equity","bid")</f>
        <v>0.23</v>
      </c>
      <c r="L50" s="36" cm="1">
        <f t="array" ref="L50">_xll.BDP($B50&amp;" Equity","ask")</f>
        <v>0.3</v>
      </c>
      <c r="M50" s="40">
        <f>(L50/K50-1)</f>
        <v>0.30434782608695632</v>
      </c>
      <c r="N50" s="36" cm="1">
        <f t="array" ref="N50">_xll.BDP(F50&amp;" Curncy","PX_LAST")</f>
        <v>1</v>
      </c>
      <c r="O50" s="162" cm="1">
        <f t="array" ref="O50">_xll.BDP(B50&amp;" Equity","OPT_MULTIPLIER")</f>
        <v>100</v>
      </c>
      <c r="P50" s="15">
        <f>IF(G50="Buy",((I50/N50)*H50*O50),((I50/N50)*-H50*O50))</f>
        <v>-3450</v>
      </c>
      <c r="Q50" s="58">
        <f>P50/'Master P&amp;L'!$AD$5*10000</f>
        <v>-1.5360401309637967E-2</v>
      </c>
      <c r="R50" s="37" cm="1">
        <f t="array" ref="R50">_xll.BDP($C50&amp;" Equity","EST_PE_NXT_YR")*(T50/S50)</f>
        <v>9.447681492855498</v>
      </c>
      <c r="S50" s="36" cm="1">
        <f t="array" ref="S50">_xll.BDP(C50&amp;" Equity","LAST_PRICE")</f>
        <v>119.16</v>
      </c>
      <c r="T50" s="53" cm="1">
        <f t="array" ref="T50">_xll.BDP(B50&amp;" Equity","OPT_STRIKE_PX")</f>
        <v>110</v>
      </c>
      <c r="U50" s="40">
        <f>T50/S50-1</f>
        <v>-7.6871433366901609E-2</v>
      </c>
      <c r="V50" s="37" cm="1">
        <f t="array" ref="V50">_xll.BDP(B50&amp;" Equity","ivol_mid")</f>
        <v>46.828409999999998</v>
      </c>
      <c r="W50" s="38" cm="1">
        <f t="array" ref="W50">_xll.BDP(B50&amp;" Equity","DELTA_MID_RT")</f>
        <v>-8.1247076392173767E-2</v>
      </c>
      <c r="X50" s="357">
        <f>Y50/'Master P&amp;L'!$AE$5</f>
        <v>6.4656614855388092E-5</v>
      </c>
      <c r="Y50" s="15">
        <f>IF(G50="Sell", S50*W50*-H50*O50/N50, S50*W50*H50*O50/N50)</f>
        <v>145221.02434337139</v>
      </c>
      <c r="Z50" s="15" cm="1">
        <f t="array" ref="Z50">_xll.BDP($B50&amp;" Equity","opt_theta")*H50*O50/N50</f>
        <v>-1673.6699999999998</v>
      </c>
      <c r="AA50" s="19" cm="1">
        <f t="array" ref="AA50">_xll.BDP($B50&amp;" Equity","opt_theta")/I50</f>
        <v>-0.48512173913043477</v>
      </c>
      <c r="AB50" s="36" t="str" cm="1">
        <f t="array" ref="AB50">_xll.BDP($C50&amp;" Equity","EXPECTED_REPORT_DT")</f>
        <v>26/02/2026</v>
      </c>
      <c r="AC50" s="15">
        <f>S50*H50*O50/N50</f>
        <v>1787400</v>
      </c>
      <c r="AD50" s="19">
        <f>AC50/'Master P&amp;L'!$AE$5</f>
        <v>7.9580235654628704E-4</v>
      </c>
      <c r="AE50" t="str">
        <f>B50  &amp; " -&gt; Sell to open " &amp;   H50 &amp;"x"</f>
        <v>DELL US 02/06/26 P110 -&gt; Sell to open 150x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>
        <f>K50/L49</f>
        <v>0.184</v>
      </c>
      <c r="L51" s="64"/>
      <c r="P51" s="100" t="s">
        <v>250</v>
      </c>
      <c r="Q51" s="108">
        <f>Q49+Q50</f>
        <v>6.8120040590568379E-2</v>
      </c>
      <c r="S51" s="100" t="s">
        <v>251</v>
      </c>
      <c r="T51" s="102">
        <f>T49-T50</f>
        <v>5</v>
      </c>
      <c r="W51" s="100" t="s">
        <v>252</v>
      </c>
      <c r="X51" s="416">
        <f>X49+X50</f>
        <v>-1.4198735866720525E-4</v>
      </c>
      <c r="Y51" s="13">
        <f>Y49+Y50</f>
        <v>-318908.58677923679</v>
      </c>
      <c r="AC51" s="100" t="s">
        <v>229</v>
      </c>
      <c r="AD51" s="122">
        <f>AD49</f>
        <v>7.9580235654628704E-4</v>
      </c>
    </row>
    <row r="52" spans="1:36">
      <c r="A52" s="276"/>
      <c r="H52" s="100" t="s">
        <v>253</v>
      </c>
      <c r="I52" s="102">
        <f>(T51-I51)/I51</f>
        <v>1.7777777777777779</v>
      </c>
      <c r="J52" s="100" t="s">
        <v>145</v>
      </c>
      <c r="K52" s="109">
        <f>AVERAGE(K49:L49)-AVERAGE(K50:L50)</f>
        <v>0.86</v>
      </c>
      <c r="L52" s="64"/>
      <c r="P52" s="100"/>
      <c r="Q52" s="108"/>
      <c r="S52" s="100"/>
      <c r="T52" s="102"/>
      <c r="W52" s="100"/>
      <c r="X52" s="122"/>
      <c r="Z52" s="3">
        <f>Y51/S49</f>
        <v>-2676.3056963682175</v>
      </c>
      <c r="AC52" s="100"/>
      <c r="AD52" s="104"/>
    </row>
    <row r="54" spans="1:36">
      <c r="H54">
        <v>1</v>
      </c>
      <c r="I54" s="64"/>
      <c r="J54" s="43" t="e">
        <f>J55-J56</f>
        <v>#VALUE!</v>
      </c>
      <c r="L54" s="64"/>
      <c r="P54" s="13" t="e">
        <f>P55+P56</f>
        <v>#VALUE!</v>
      </c>
    </row>
    <row r="55" spans="1:36">
      <c r="A55" s="98" t="s">
        <v>256</v>
      </c>
      <c r="B55" s="59" t="s">
        <v>2245</v>
      </c>
      <c r="C55" t="str" cm="1">
        <f t="array" ref="C55">_xll.BDP(B55&amp;" Equity","OPT_UNDL_TICKER")</f>
        <v>AMAT US</v>
      </c>
      <c r="D55" t="str" cm="1">
        <f t="array" ref="D55">_xll.BDP($B55&amp;" Index","mifid_Maturity_date")</f>
        <v>23/01/2026</v>
      </c>
      <c r="E55" t="str" cm="1">
        <f t="array" ref="E55">_xll.BDP($B55&amp;" Index","opt_days_expire")</f>
        <v>#N/A N/A</v>
      </c>
      <c r="F55" t="str" cm="1">
        <f t="array" ref="F55">_xll.BDP(B55&amp;" Equity","QUOTED_CURRENCY_REALTIME")</f>
        <v>USD</v>
      </c>
      <c r="G55" s="105" t="s">
        <v>247</v>
      </c>
      <c r="H55" s="96">
        <v>100</v>
      </c>
      <c r="I55" s="97">
        <f>IF(G55="Buy",L55,K55)</f>
        <v>0.03</v>
      </c>
      <c r="J55" s="19">
        <f>I55/S55</f>
        <v>9.1352009744214376E-5</v>
      </c>
      <c r="K55" s="36" t="str" cm="1">
        <f t="array" ref="K55">_xll.BDP($B55&amp;" Equity","bid")</f>
        <v>#N/A N/A</v>
      </c>
      <c r="L55" s="36" cm="1">
        <f t="array" ref="L55">_xll.BDP($B55&amp;" Equity","ask")</f>
        <v>0.03</v>
      </c>
      <c r="M55" s="40" t="e">
        <f>(L55/K55-1)</f>
        <v>#VALUE!</v>
      </c>
      <c r="N55" s="36" cm="1">
        <f t="array" ref="N55">_xll.BDP(F55&amp;" Curncy","PX_LAST")</f>
        <v>1</v>
      </c>
      <c r="O55" s="162" cm="1">
        <f t="array" ref="O55">_xll.BDP(B55&amp;" Equity","OPT_MULTIPLIER")</f>
        <v>100</v>
      </c>
      <c r="P55" s="15">
        <f>IF(G55="Buy",((I55/N55)*H55*O55),((I55/N55)*-H55*O55))</f>
        <v>300</v>
      </c>
      <c r="Q55" s="58">
        <f>P55/'Master P&amp;L'!$AD$5*10000</f>
        <v>1.3356870704033014E-3</v>
      </c>
      <c r="R55" s="37" cm="1">
        <f t="array" ref="R55">_xll.BDP($C55&amp;" Equity","EST_PE_NXT_YR")*(T55/S55)</f>
        <v>24.190924708486911</v>
      </c>
      <c r="S55" s="36" cm="1">
        <f t="array" ref="S55">_xll.BDP(C55&amp;" Equity","LAST_PRICE")</f>
        <v>328.4</v>
      </c>
      <c r="T55" s="53" cm="1">
        <f t="array" ref="T55">_xll.BDP(B55&amp;" Equity","OPT_STRIKE_PX")</f>
        <v>290</v>
      </c>
      <c r="U55" s="40">
        <f>T55/S55-1</f>
        <v>-0.11693057247259431</v>
      </c>
      <c r="V55" s="37" t="str" cm="1">
        <f t="array" ref="V55">_xll.BDP($B55&amp;" Equity","ivol_mid")</f>
        <v>#N/A N/A</v>
      </c>
      <c r="W55" s="38" t="str" cm="1">
        <f t="array" ref="W55">_xll.BDP(B55&amp;" Equity","DELTA_MID_RT")</f>
        <v>#N/A N/A</v>
      </c>
      <c r="X55" s="48" t="e">
        <f>Y55/'Master P&amp;L'!$AE$5</f>
        <v>#VALUE!</v>
      </c>
      <c r="Y55" s="15" t="e">
        <f>IF(G55="Sell", S55*W55*-H55*O55/N55, S55*W55*H55*O55/N55)</f>
        <v>#VALUE!</v>
      </c>
      <c r="Z55" s="15" t="e" cm="1">
        <f t="array" ref="Z55">_xll.BDP($B55&amp;" Equity","opt_theta")*H55*O55/N55</f>
        <v>#VALUE!</v>
      </c>
      <c r="AA55" s="19" t="e" cm="1">
        <f t="array" ref="AA55">_xll.BDP($B55&amp;" Equity","opt_theta")/I55</f>
        <v>#VALUE!</v>
      </c>
      <c r="AB55" s="36" t="str" cm="1">
        <f t="array" ref="AB55">_xll.BDP($C55&amp;" Equity","EXPECTED_REPORT_DT")</f>
        <v>12/02/2026</v>
      </c>
      <c r="AC55" s="15">
        <f>S55*H55*O55/N55</f>
        <v>3284000</v>
      </c>
      <c r="AD55" s="48">
        <f>AC55/'Master P&amp;L'!$AE$5</f>
        <v>1.4621321130681474E-3</v>
      </c>
      <c r="AE55" t="str">
        <f>B55&amp;" -&gt; Buy to open "&amp;H55&amp;"x"</f>
        <v>AMAT US 01/23/26 P290 -&gt; Buy to open 100x</v>
      </c>
      <c r="AJ55" t="s">
        <v>257</v>
      </c>
    </row>
    <row r="56" spans="1:36">
      <c r="A56" s="98" t="s">
        <v>256</v>
      </c>
      <c r="B56" s="59" t="s">
        <v>2244</v>
      </c>
      <c r="C56" t="str" cm="1">
        <f t="array" ref="C56">_xll.BDP(B56&amp;" Equity","OPT_UNDL_TICKER")</f>
        <v>AMAT US</v>
      </c>
      <c r="D56" t="str" cm="1">
        <f t="array" ref="D56">_xll.BDP($B56&amp;" Index","mifid_Maturity_date")</f>
        <v>23/01/2026</v>
      </c>
      <c r="E56" t="str" cm="1">
        <f t="array" ref="E56">_xll.BDP($B56&amp;" Index","opt_days_expire")</f>
        <v>#N/A N/A</v>
      </c>
      <c r="F56" t="str" cm="1">
        <f t="array" ref="F56">_xll.BDP(B56&amp;" Equity","QUOTED_CURRENCY_REALTIME")</f>
        <v>USD</v>
      </c>
      <c r="G56" s="105" t="s">
        <v>248</v>
      </c>
      <c r="H56" s="96">
        <f>H55*H54</f>
        <v>100</v>
      </c>
      <c r="I56" s="97" t="str">
        <f>IF(G56="Buy",L56,K56)</f>
        <v>#N/A N/A</v>
      </c>
      <c r="J56" s="19" t="e">
        <f>I56/S56</f>
        <v>#VALUE!</v>
      </c>
      <c r="K56" s="36" t="str" cm="1">
        <f t="array" ref="K56">_xll.BDP($B56&amp;" Equity","bid")</f>
        <v>#N/A N/A</v>
      </c>
      <c r="L56" s="36" cm="1">
        <f t="array" ref="L56">_xll.BDP($B56&amp;" Equity","ask")</f>
        <v>2.12</v>
      </c>
      <c r="M56" s="40" t="e">
        <f>(L56/K56-1)</f>
        <v>#VALUE!</v>
      </c>
      <c r="N56" s="36" cm="1">
        <f t="array" ref="N56">_xll.BDP(F56&amp;" Curncy","PX_LAST")</f>
        <v>1</v>
      </c>
      <c r="O56" s="162" cm="1">
        <f t="array" ref="O56">_xll.BDP(B56&amp;" Equity","OPT_MULTIPLIER")</f>
        <v>100</v>
      </c>
      <c r="P56" s="15" t="e">
        <f>IF(G56="Buy",((I56/N56)*H56*O56),((I56/N56)*-H56*O56))</f>
        <v>#VALUE!</v>
      </c>
      <c r="Q56" s="58" t="e">
        <f>P56/'Master P&amp;L'!$AD$5*10000</f>
        <v>#VALUE!</v>
      </c>
      <c r="R56" s="37" cm="1">
        <f t="array" ref="R56">_xll.BDP($C56&amp;" Equity","EST_PE_NXT_YR")*(T56/S56)</f>
        <v>23.356754890952878</v>
      </c>
      <c r="S56" s="36" cm="1">
        <f t="array" ref="S56">_xll.BDP(C56&amp;" Equity","LAST_PRICE")</f>
        <v>328.4</v>
      </c>
      <c r="T56" s="53" cm="1">
        <f t="array" ref="T56">_xll.BDP(B56&amp;" Equity","OPT_STRIKE_PX")</f>
        <v>280</v>
      </c>
      <c r="U56" s="40">
        <f>T56/S56-1</f>
        <v>-0.14738124238733241</v>
      </c>
      <c r="V56" s="37" t="str" cm="1">
        <f t="array" ref="V56">_xll.BDP(B56&amp;" Equity","ivol_mid")</f>
        <v>#N/A N/A</v>
      </c>
      <c r="W56" s="38" t="str" cm="1">
        <f t="array" ref="W56">_xll.BDP(B56&amp;" Equity","DELTA_MID_RT")</f>
        <v>#N/A N/A</v>
      </c>
      <c r="X56" s="48" t="e">
        <f>Y56/'Master P&amp;L'!$AE$5</f>
        <v>#VALUE!</v>
      </c>
      <c r="Y56" s="15" t="e">
        <f>IF(G56="Sell", S56*W56*-H56*O56/N56, S56*W56*H56*O56/N56)</f>
        <v>#VALUE!</v>
      </c>
      <c r="Z56" s="15" t="e" cm="1">
        <f t="array" ref="Z56">_xll.BDP($B56&amp;" Equity","opt_theta")*H56*O56/N56</f>
        <v>#VALUE!</v>
      </c>
      <c r="AA56" s="19" t="e" cm="1">
        <f t="array" ref="AA56">_xll.BDP($B56&amp;" Equity","opt_theta")/I56</f>
        <v>#VALUE!</v>
      </c>
      <c r="AB56" s="36" t="str" cm="1">
        <f t="array" ref="AB56">_xll.BDP($C56&amp;" Equity","EXPECTED_REPORT_DT")</f>
        <v>12/02/2026</v>
      </c>
      <c r="AC56" s="15">
        <f>S56*H56*O56/N56</f>
        <v>3284000</v>
      </c>
      <c r="AD56" s="19">
        <f>AC56/'Master P&amp;L'!$AE$5</f>
        <v>1.4621321130681474E-3</v>
      </c>
      <c r="AE56" t="str">
        <f>B56  &amp; " -&gt; Sell to open " &amp;   H56 &amp;"x"</f>
        <v>AMAT US 01/23/26 P280 -&gt; Sell to open 100x</v>
      </c>
      <c r="AJ56" t="s">
        <v>258</v>
      </c>
    </row>
    <row r="57" spans="1:36">
      <c r="G57" t="e">
        <f>I57/K58</f>
        <v>#VALUE!</v>
      </c>
      <c r="H57" s="100" t="s">
        <v>116</v>
      </c>
      <c r="I57" s="102" t="e">
        <f>I55-I56</f>
        <v>#VALUE!</v>
      </c>
      <c r="J57" s="100" t="s">
        <v>249</v>
      </c>
      <c r="K57" s="101" t="e">
        <f>K56/L55</f>
        <v>#VALUE!</v>
      </c>
      <c r="L57" s="64"/>
      <c r="P57" s="100" t="s">
        <v>250</v>
      </c>
      <c r="Q57" s="108" t="e">
        <f>Q55+Q56</f>
        <v>#VALUE!</v>
      </c>
      <c r="S57" s="100" t="s">
        <v>251</v>
      </c>
      <c r="T57" s="102">
        <f>T55-T56</f>
        <v>10</v>
      </c>
      <c r="W57" s="100" t="s">
        <v>252</v>
      </c>
      <c r="X57" s="122" t="e">
        <f>X55+X56</f>
        <v>#VALUE!</v>
      </c>
      <c r="Y57" s="13"/>
      <c r="AC57" s="100" t="s">
        <v>229</v>
      </c>
      <c r="AD57" s="122">
        <f>AD55</f>
        <v>1.4621321130681474E-3</v>
      </c>
    </row>
    <row r="58" spans="1:36">
      <c r="H58" s="100" t="s">
        <v>253</v>
      </c>
      <c r="I58" s="102" t="e">
        <f>(T57-I57)/I57</f>
        <v>#VALUE!</v>
      </c>
      <c r="J58" s="100" t="s">
        <v>145</v>
      </c>
      <c r="K58" s="109">
        <f>AVERAGE(K55:L55)-AVERAGE(K56:L56)</f>
        <v>-2.0900000000000003</v>
      </c>
      <c r="L58" s="64"/>
      <c r="P58" s="100"/>
      <c r="Q58" s="108"/>
      <c r="S58" s="100"/>
      <c r="T58" s="102"/>
      <c r="W58" s="100"/>
      <c r="X58" s="122"/>
      <c r="Y58" s="13" t="e">
        <f>Y55+Y56</f>
        <v>#VALUE!</v>
      </c>
      <c r="Z58" s="3"/>
      <c r="AC58" s="100"/>
      <c r="AD58" s="104"/>
    </row>
    <row r="59" spans="1:36">
      <c r="K59" s="64">
        <f>K58-K52</f>
        <v>-2.95</v>
      </c>
      <c r="Y59" s="64" t="e">
        <f>Y58/S55</f>
        <v>#VALUE!</v>
      </c>
    </row>
    <row r="60" spans="1:36">
      <c r="I60" s="64" t="e">
        <f>I51-I57</f>
        <v>#VALUE!</v>
      </c>
      <c r="K60" s="64">
        <f>K52-K58</f>
        <v>2.95</v>
      </c>
      <c r="Y60" s="64"/>
    </row>
    <row r="61" spans="1:36">
      <c r="H61">
        <v>1</v>
      </c>
      <c r="I61" s="64"/>
      <c r="L61" s="64">
        <f>AVERAGE(K62:L62)</f>
        <v>7.5</v>
      </c>
      <c r="T61" s="64">
        <f>T62-S62</f>
        <v>1.3400000000000034</v>
      </c>
    </row>
    <row r="62" spans="1:36">
      <c r="A62" s="98" t="s">
        <v>256</v>
      </c>
      <c r="B62" t="s">
        <v>2058</v>
      </c>
      <c r="C62" t="str" cm="1">
        <f t="array" ref="C62">_xll.BDP(B62&amp;" Equity","OPT_UNDL_TICKER")</f>
        <v>MRVL US</v>
      </c>
      <c r="D62" t="str" cm="1">
        <f t="array" ref="D62">_xll.BDP($B62&amp;" Index","mifid_Maturity_date")</f>
        <v>20/03/2026</v>
      </c>
      <c r="E62" cm="1">
        <f t="array" ref="E62">_xll.BDP($B62&amp;" Index","opt_days_expire")</f>
        <v>46</v>
      </c>
      <c r="F62" t="str" cm="1">
        <f t="array" ref="F62">_xll.BDP(B62&amp;" Equity","QUOTED_CURRENCY_REALTIME")</f>
        <v>USD</v>
      </c>
      <c r="G62" s="105" t="s">
        <v>247</v>
      </c>
      <c r="H62" s="96">
        <v>150</v>
      </c>
      <c r="I62" s="97">
        <f>IF(G62="Buy",L62,K62)</f>
        <v>7.65</v>
      </c>
      <c r="J62" s="19">
        <f>I62/S62</f>
        <v>9.7254004576659045E-2</v>
      </c>
      <c r="K62" s="36" cm="1">
        <f t="array" ref="K62">_xll.BDP($B62&amp;" Equity","bid")</f>
        <v>7.35</v>
      </c>
      <c r="L62" s="36" cm="1">
        <f t="array" ref="L62">_xll.BDP($B62&amp;" Equity","ask")</f>
        <v>7.65</v>
      </c>
      <c r="M62" s="40">
        <f>(L62/K62-1)</f>
        <v>4.081632653061229E-2</v>
      </c>
      <c r="N62" s="36" cm="1">
        <f t="array" ref="N62">_xll.BDP(F62&amp;" Curncy","PX_LAST")</f>
        <v>1</v>
      </c>
      <c r="O62" s="162" cm="1">
        <f t="array" ref="O62">_xll.BDP(B62&amp;" Equity","OPT_MULTIPLIER")</f>
        <v>100</v>
      </c>
      <c r="P62" s="15">
        <f>IF(G62="Buy",((I62/N62)*H62*O62),((I62/N62)*-H62*O62))</f>
        <v>114750</v>
      </c>
      <c r="Q62" s="58">
        <f>P62/'Master P&amp;L'!$AD$5*10000</f>
        <v>0.51090030442926282</v>
      </c>
      <c r="R62" s="37" cm="1">
        <f t="array" ref="R62">_xll.BDP($C62&amp;" Equity","EST_PE_NXT_YR")*(T62/S62)</f>
        <v>22.344130253169151</v>
      </c>
      <c r="S62" s="36" cm="1">
        <f t="array" ref="S62">_xll.BDP(C62&amp;" Equity","LAST_PRICE")</f>
        <v>78.66</v>
      </c>
      <c r="T62" s="53" cm="1">
        <f t="array" ref="T62">_xll.BDP(B62&amp;" Equity","OPT_STRIKE_PX")</f>
        <v>80</v>
      </c>
      <c r="U62" s="40">
        <f>T62/S62-1</f>
        <v>1.7035341978133722E-2</v>
      </c>
      <c r="V62" s="37" cm="1">
        <f t="array" ref="V62">_xll.BDP($B62&amp;" Equity","ivol_mid")</f>
        <v>60.446210000000001</v>
      </c>
      <c r="W62" s="38" cm="1">
        <f t="array" ref="W62">_xll.BDP(B62&amp;" Equity","DELTA_MID_RT")</f>
        <v>-0.48029163479804993</v>
      </c>
      <c r="X62" s="48">
        <f>Y62/'Master P&amp;L'!$AE$5</f>
        <v>-2.5230955116067633E-4</v>
      </c>
      <c r="Y62" s="15">
        <f>IF(G62="Sell", S62*W62*-H62*O62/N62, S62*W62*H62*O62/N62)</f>
        <v>-566696.09989821911</v>
      </c>
      <c r="Z62" s="15" cm="1">
        <f t="array" ref="Z62">_xll.BDP($B62&amp;" Equity","opt_theta")*H62*O62/N62</f>
        <v>-1076.0549999999998</v>
      </c>
      <c r="AA62" s="19" cm="1">
        <f t="array" ref="AA62">_xll.BDP($B62&amp;" Equity","opt_theta")/I62</f>
        <v>-9.3773856209150314E-3</v>
      </c>
      <c r="AB62" s="36" t="str" cm="1">
        <f t="array" ref="AB62">_xll.BDP($C62&amp;" Equity","EXPECTED_REPORT_DT")</f>
        <v>05/03/2026</v>
      </c>
      <c r="AC62" s="15">
        <f>S62*H62*O62/N62</f>
        <v>1179900</v>
      </c>
      <c r="AD62" s="48">
        <f>AC62/'Master P&amp;L'!$AE$5</f>
        <v>5.253257247896185E-4</v>
      </c>
      <c r="AE62" t="str">
        <f>B62&amp;" -&gt; Buy to open "&amp;H62&amp;"x"</f>
        <v>MRVL US 03/20/26 P80 -&gt; Buy to open 150x</v>
      </c>
      <c r="AJ62" t="s">
        <v>257</v>
      </c>
    </row>
    <row r="63" spans="1:36">
      <c r="A63" s="98" t="s">
        <v>256</v>
      </c>
      <c r="B63" s="73" t="s">
        <v>2271</v>
      </c>
      <c r="C63" t="str" cm="1">
        <f t="array" ref="C63">_xll.BDP(B63&amp;" Equity","OPT_UNDL_TICKER")</f>
        <v>MRVL US</v>
      </c>
      <c r="D63" t="str" cm="1">
        <f t="array" ref="D63">_xll.BDP($B63&amp;" Index","mifid_Maturity_date")</f>
        <v>20/03/2026</v>
      </c>
      <c r="E63" cm="1">
        <f t="array" ref="E63">_xll.BDP($B63&amp;" Index","opt_days_expire")</f>
        <v>46</v>
      </c>
      <c r="F63" t="str" cm="1">
        <f t="array" ref="F63">_xll.BDP(B63&amp;" Equity","QUOTED_CURRENCY_REALTIME")</f>
        <v>USD</v>
      </c>
      <c r="G63" s="105" t="s">
        <v>248</v>
      </c>
      <c r="H63" s="96">
        <f>H62</f>
        <v>150</v>
      </c>
      <c r="I63" s="97">
        <f>IF(G63="Buy",L63,K63)</f>
        <v>2.97</v>
      </c>
      <c r="J63" s="19">
        <f>I63/S63</f>
        <v>3.7757437070938218E-2</v>
      </c>
      <c r="K63" s="36" cm="1">
        <f t="array" ref="K63">_xll.BDP($B63&amp;" Equity","bid")</f>
        <v>2.97</v>
      </c>
      <c r="L63" s="36" cm="1">
        <f t="array" ref="L63">_xll.BDP($B63&amp;" Equity","ask")</f>
        <v>3.15</v>
      </c>
      <c r="M63" s="40">
        <f>(L63/K63-1)</f>
        <v>6.0606060606060552E-2</v>
      </c>
      <c r="N63" s="36" cm="1">
        <f t="array" ref="N63">_xll.BDP(F63&amp;" Curncy","PX_LAST")</f>
        <v>1</v>
      </c>
      <c r="O63" s="162" cm="1">
        <f t="array" ref="O63">_xll.BDP(B63&amp;" Equity","OPT_MULTIPLIER")</f>
        <v>100</v>
      </c>
      <c r="P63" s="15">
        <f>IF(G63="Buy",((I63/N63)*H63*O63),((I63/N63)*-H63*O63))</f>
        <v>-44550.000000000007</v>
      </c>
      <c r="Q63" s="58">
        <f>P63/'Master P&amp;L'!$AD$5*10000</f>
        <v>-0.1983495299548903</v>
      </c>
      <c r="R63" s="37" cm="1">
        <f t="array" ref="R63">_xll.BDP($C63&amp;" Equity","EST_PE_NXT_YR")*(T63/S63)</f>
        <v>19.551113971523009</v>
      </c>
      <c r="S63" s="36" cm="1">
        <f t="array" ref="S63">_xll.BDP(C63&amp;" Equity","LAST_PRICE")</f>
        <v>78.66</v>
      </c>
      <c r="T63" s="53" cm="1">
        <f t="array" ref="T63">_xll.BDP(B63&amp;" Equity","OPT_STRIKE_PX")</f>
        <v>70</v>
      </c>
      <c r="U63" s="40">
        <f>T63/S63-1</f>
        <v>-0.11009407576913299</v>
      </c>
      <c r="V63" s="37" cm="1">
        <f t="array" ref="V63">_xll.BDP($B63&amp;" Equity","ivol_mid")</f>
        <v>61.751139999999999</v>
      </c>
      <c r="W63" s="38" cm="1">
        <f t="array" ref="W63">_xll.BDP(B63&amp;" Equity","DELTA_MID_RT")</f>
        <v>-0.256632000207901</v>
      </c>
      <c r="X63" s="48">
        <f>Y63/'Master P&amp;L'!$AE$5</f>
        <v>1.3481539151342508E-4</v>
      </c>
      <c r="Y63" s="15">
        <f>IF(G63="Sell", S63*W63*-H63*O63/N63, S63*W63*H63*O63/N63)</f>
        <v>302800.09704530233</v>
      </c>
      <c r="Z63" s="15" cm="1">
        <f t="array" ref="Z63">_xll.BDP($B63&amp;" Equity","opt_theta")*H63*O63/N63</f>
        <v>-868.0200000000001</v>
      </c>
      <c r="AA63" s="19" cm="1">
        <f t="array" ref="AA63">_xll.BDP($B63&amp;" Equity","opt_theta")/I63</f>
        <v>-1.9484175084175083E-2</v>
      </c>
      <c r="AB63" s="36" t="str" cm="1">
        <f t="array" ref="AB63">_xll.BDP($C63&amp;" Equity","EXPECTED_REPORT_DT")</f>
        <v>05/03/2026</v>
      </c>
      <c r="AC63" s="15">
        <f>S63*H63*O63/N63</f>
        <v>1179900</v>
      </c>
      <c r="AD63" s="48">
        <f>AC63/'Master P&amp;L'!$AE$5</f>
        <v>5.253257247896185E-4</v>
      </c>
      <c r="AE63" t="str">
        <f>B63&amp;" -&gt; Buy to open "&amp;H63&amp;"x"</f>
        <v>MRVL US 03/20/26 P70 -&gt; Buy to open 150x</v>
      </c>
      <c r="AJ63" t="s">
        <v>257</v>
      </c>
    </row>
    <row r="64" spans="1:36">
      <c r="H64" s="100" t="s">
        <v>116</v>
      </c>
      <c r="I64" s="102">
        <f>I62-I63</f>
        <v>4.68</v>
      </c>
      <c r="J64" s="100" t="s">
        <v>249</v>
      </c>
      <c r="K64" s="101">
        <f>K63/L62</f>
        <v>0.38823529411764707</v>
      </c>
      <c r="L64" s="64"/>
      <c r="P64" s="100" t="s">
        <v>250</v>
      </c>
      <c r="Q64" s="108">
        <f>Q62+Q63</f>
        <v>0.31255077447437252</v>
      </c>
      <c r="S64" s="100" t="s">
        <v>251</v>
      </c>
      <c r="T64" s="102">
        <f>T62-T63</f>
        <v>10</v>
      </c>
      <c r="W64" s="100" t="s">
        <v>252</v>
      </c>
      <c r="X64" s="122">
        <f>X62+X63</f>
        <v>-1.1749415964725125E-4</v>
      </c>
      <c r="Y64" s="13">
        <f>Y62+Y63</f>
        <v>-263896.00285291678</v>
      </c>
      <c r="AC64" s="100" t="s">
        <v>229</v>
      </c>
      <c r="AD64" s="122">
        <f>AD62</f>
        <v>5.253257247896185E-4</v>
      </c>
    </row>
    <row r="65" spans="1:31">
      <c r="H65" s="100" t="s">
        <v>253</v>
      </c>
      <c r="I65" s="102">
        <f>(T64-I64)/I64</f>
        <v>1.1367521367521369</v>
      </c>
      <c r="J65" s="100" t="s">
        <v>145</v>
      </c>
      <c r="K65" s="109">
        <f>AVERAGE(K62:L62)-AVERAGE(K63:L63)</f>
        <v>4.4399999999999995</v>
      </c>
      <c r="P65" s="100"/>
      <c r="Q65" s="108"/>
      <c r="S65" s="100"/>
      <c r="T65" s="102"/>
      <c r="W65" s="100"/>
      <c r="X65" s="122"/>
      <c r="Z65" s="3">
        <f>Y64/S62</f>
        <v>-3354.8945188522348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2248</v>
      </c>
      <c r="C68" t="str" cm="1">
        <f t="array" ref="C68">_xll.BDP(B68&amp;" Equity","OPT_UNDL_TICKER")</f>
        <v>QQQ US</v>
      </c>
      <c r="D68" t="str">
        <f>_xll.BDP($B68&amp;" Index","mifid_Maturity_date")</f>
        <v>15/01/2026</v>
      </c>
      <c r="E68" t="str">
        <f>_xll.BDP($B68&amp;" Index","opt_days_expire")</f>
        <v>#N/A N/A</v>
      </c>
      <c r="F68" t="str" cm="1">
        <f t="array" ref="F68">_xll.BDP(B68&amp;" Equity","QUOTED_CURRENCY_REALTIME")</f>
        <v>#N/A Real Time</v>
      </c>
      <c r="G68" s="105" t="s">
        <v>247</v>
      </c>
      <c r="H68" s="96">
        <v>500</v>
      </c>
      <c r="I68" s="97" t="str">
        <f>IF(G68="Buy",L68,K68)</f>
        <v>#N/A Real Time</v>
      </c>
      <c r="J68" s="19" t="e">
        <f>I68/S68</f>
        <v>#VALUE!</v>
      </c>
      <c r="K68" s="36" t="str" cm="1">
        <f t="array" ref="K68">_xll.BDP($B68&amp;" Equity","bid")</f>
        <v>#N/A Real Time</v>
      </c>
      <c r="L68" s="36" t="str" cm="1">
        <f t="array" ref="L68">_xll.BDP($B68&amp;" Equity","ask")</f>
        <v>#N/A Real Time</v>
      </c>
      <c r="M68" s="40" t="e">
        <f>(L68/K68-1)</f>
        <v>#VALUE!</v>
      </c>
      <c r="N68" s="36" t="str" cm="1">
        <f t="array" ref="N68">_xll.BDP(F68&amp;" Curncy","PX_LAST")</f>
        <v>#N/A Real Time Curncy</v>
      </c>
      <c r="O68" s="162" cm="1">
        <f t="array" ref="O68">_xll.BDP(B68&amp;" Equity","OPT_MULTIPLIER")</f>
        <v>100</v>
      </c>
      <c r="P68" s="15" t="e">
        <f>IF(G68="Buy",((I68/N68)*H68*O68),((I68/N68)*-H68*O68))</f>
        <v>#VALUE!</v>
      </c>
      <c r="Q68" s="58" t="e">
        <f>P68/'Master P&amp;L'!$AD$5*10000</f>
        <v>#VALUE!</v>
      </c>
      <c r="R68" s="37" t="e" cm="1">
        <f t="array" ref="R68">_xll.BDP($C68&amp;" Equity","EST_PE_NXT_YR")*(T68/S68)</f>
        <v>#VALUE!</v>
      </c>
      <c r="S68" s="36" cm="1">
        <f t="array" ref="S68">_xll.BDP(C68&amp;" Equity","LAST_PRICE")</f>
        <v>626.14</v>
      </c>
      <c r="T68" s="53" cm="1">
        <f t="array" ref="T68">_xll.BDP(B68&amp;" Equity","OPT_STRIKE_PX")</f>
        <v>623</v>
      </c>
      <c r="U68" s="40">
        <f>T68/S68-1</f>
        <v>-5.0148529082952864E-3</v>
      </c>
      <c r="V68" s="37" t="str" cm="1">
        <f t="array" ref="V68">_xll.BDP($B68&amp;" Equity","ivol_mid")</f>
        <v>#N/A N/A</v>
      </c>
      <c r="W68" s="38" t="str" cm="1">
        <f t="array" ref="W68">_xll.BDP(B68&amp;" Equity","DELTA_MID_RT")</f>
        <v>#N/A Real Time</v>
      </c>
      <c r="X68" s="48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Equity","opt_theta")*H68*O68/N68</f>
        <v>#VALUE!</v>
      </c>
      <c r="AA68" s="19" t="e" cm="1">
        <f t="array" ref="AA68">_xll.BDP($B68&amp;" Equity","opt_theta")/I68</f>
        <v>#VALUE!</v>
      </c>
      <c r="AB68" s="36" t="str" cm="1">
        <f t="array" ref="AB68">_xll.BDP($C68&amp;" Equity","EXPECTED_REPORT_DT")</f>
        <v>#N/A N/A</v>
      </c>
      <c r="AC68" s="15" t="e">
        <f>S68*H68*O68/N68</f>
        <v>#VALUE!</v>
      </c>
      <c r="AD68" s="48" t="e">
        <f>AC68/'Master P&amp;L'!$AE$5</f>
        <v>#VALUE!</v>
      </c>
      <c r="AE68" t="str">
        <f>B68&amp;" -&gt; Buy to open "&amp;H68&amp;"x"</f>
        <v>QQQ US 01/15/26 P623 -&gt; Buy to open 500x</v>
      </c>
    </row>
    <row r="69" spans="1:31">
      <c r="A69" s="98" t="s">
        <v>256</v>
      </c>
      <c r="B69" s="59" t="s">
        <v>2249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15/01/2026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#N/A Real Time</v>
      </c>
      <c r="G69" s="105" t="s">
        <v>248</v>
      </c>
      <c r="H69" s="96">
        <f>H68</f>
        <v>500</v>
      </c>
      <c r="I69" s="97" t="str">
        <f>IF(G69="Buy",L69,K69)</f>
        <v>#N/A Real Time</v>
      </c>
      <c r="J69" s="19" t="e">
        <f>I69/S69</f>
        <v>#VALUE!</v>
      </c>
      <c r="K69" s="36" t="str" cm="1">
        <f t="array" ref="K69">_xll.BDP($B69&amp;" Equity","bid")</f>
        <v>#N/A Real Time</v>
      </c>
      <c r="L69" s="36" t="str" cm="1">
        <f t="array" ref="L69">_xll.BDP($B69&amp;" Equity","ask")</f>
        <v>#N/A Real Time</v>
      </c>
      <c r="M69" s="40" t="e">
        <f>(L69/K69-1)</f>
        <v>#VALUE!</v>
      </c>
      <c r="N69" s="36" t="str" cm="1">
        <f t="array" ref="N69">_xll.BDP(F69&amp;" Curncy","PX_LAST")</f>
        <v>#N/A Real Time Curncy</v>
      </c>
      <c r="O69" s="162" cm="1">
        <f t="array" ref="O69">_xll.BDP(B69&amp;" Equity","OPT_MULTIPLIER")</f>
        <v>100</v>
      </c>
      <c r="P69" s="15" t="e">
        <f>IF(G69="Buy",((I69/N69)*H69*O69),((I69/N69)*-H69*O69))</f>
        <v>#VALUE!</v>
      </c>
      <c r="Q69" s="58" t="e">
        <f>P69/'Master P&amp;L'!$AD$5*10000</f>
        <v>#VALUE!</v>
      </c>
      <c r="R69" s="37" t="e" cm="1">
        <f t="array" ref="R69">_xll.BDP($C69&amp;" Equity","EST_PE_NXT_YR")*(T69/S69)</f>
        <v>#VALUE!</v>
      </c>
      <c r="S69" s="36" cm="1">
        <f t="array" ref="S69">_xll.BDP(C69&amp;" Equity","LAST_PRICE")</f>
        <v>626.14</v>
      </c>
      <c r="T69" s="53" cm="1">
        <f t="array" ref="T69">_xll.BDP(B69&amp;" Equity","OPT_STRIKE_PX")</f>
        <v>622</v>
      </c>
      <c r="U69" s="40">
        <f>T69/S69-1</f>
        <v>-6.6119398217651115E-3</v>
      </c>
      <c r="V69" s="37" t="str" cm="1">
        <f t="array" ref="V69">_xll.BDP($B69&amp;" Equity","ivol_mid")</f>
        <v>#N/A N/A</v>
      </c>
      <c r="W69" s="38" t="str" cm="1">
        <f t="array" ref="W69">_xll.BDP(B69&amp;" Equity","DELTA_MID_RT")</f>
        <v>#N/A Real Time</v>
      </c>
      <c r="X69" s="48" t="e">
        <f>Y69/'Master P&amp;L'!$AE$5</f>
        <v>#VALUE!</v>
      </c>
      <c r="Y69" s="15" t="e">
        <f>IF(G69="Sell", S69*W69*-H69*O69/N69, S69*W69*H69*O69/N69)</f>
        <v>#VALUE!</v>
      </c>
      <c r="Z69" s="15" t="e" cm="1">
        <f t="array" ref="Z69">_xll.BDP($B69&amp;" Equity","opt_theta")*H69*O69/N69</f>
        <v>#VALUE!</v>
      </c>
      <c r="AA69" s="19" t="e" cm="1">
        <f t="array" ref="AA69">_xll.BDP($B69&amp;" Equity","opt_theta")/I69</f>
        <v>#VALUE!</v>
      </c>
      <c r="AB69" s="36" t="str" cm="1">
        <f t="array" ref="AB69">_xll.BDP($C69&amp;" Equity","EXPECTED_REPORT_DT")</f>
        <v>#N/A N/A</v>
      </c>
      <c r="AC69" s="15" t="e">
        <f>S69*H69*O69/N69</f>
        <v>#VALUE!</v>
      </c>
      <c r="AD69" s="48" t="e">
        <f>AC69/'Master P&amp;L'!$AE$5</f>
        <v>#VALUE!</v>
      </c>
      <c r="AE69" t="str">
        <f>B69&amp;" -&gt; Buy to open "&amp;H69&amp;"x"</f>
        <v>QQQ US 01/15/26 P622 -&gt; Buy to open 500x</v>
      </c>
    </row>
    <row r="70" spans="1:31">
      <c r="H70" s="100" t="s">
        <v>116</v>
      </c>
      <c r="I70" s="102" t="e">
        <f>I68-I69</f>
        <v>#VALUE!</v>
      </c>
      <c r="J70" s="100" t="s">
        <v>249</v>
      </c>
      <c r="K70" s="101" t="e">
        <f>K69/L68</f>
        <v>#VALUE!</v>
      </c>
      <c r="P70" s="100" t="s">
        <v>250</v>
      </c>
      <c r="Q70" s="108" t="e">
        <f>Q68+Q69</f>
        <v>#VALUE!</v>
      </c>
      <c r="S70" s="100" t="s">
        <v>251</v>
      </c>
      <c r="T70" s="102">
        <f>T68-T69</f>
        <v>1</v>
      </c>
      <c r="W70" s="100" t="s">
        <v>252</v>
      </c>
      <c r="X70" s="122" t="e">
        <f>X68+X69</f>
        <v>#VALUE!</v>
      </c>
      <c r="AC70" s="100" t="s">
        <v>229</v>
      </c>
      <c r="AD70" s="122" t="e">
        <f>AD68</f>
        <v>#VALUE!</v>
      </c>
    </row>
    <row r="71" spans="1:31">
      <c r="H71" s="100" t="s">
        <v>253</v>
      </c>
      <c r="I71" s="102" t="e">
        <f>(T70-I70)/I70</f>
        <v>#VALUE!</v>
      </c>
      <c r="J71" s="100" t="s">
        <v>145</v>
      </c>
      <c r="K71" s="109" t="e">
        <f>AVERAGE(K68:L68)-AVERAGE(K69:L69)</f>
        <v>#DIV/0!</v>
      </c>
      <c r="P71" s="100"/>
      <c r="Q71" s="108"/>
      <c r="S71" s="100"/>
      <c r="T71" s="102"/>
      <c r="W71" s="100"/>
      <c r="X71" s="122"/>
      <c r="Y71" s="13" t="e">
        <f>Y68+Y69</f>
        <v>#VALUE!</v>
      </c>
      <c r="AC71" s="100"/>
      <c r="AD71" s="104"/>
    </row>
    <row r="72" spans="1:31">
      <c r="K72" s="64" t="e">
        <f>K62-K71</f>
        <v>#DIV/0!</v>
      </c>
      <c r="L72" s="64" t="e">
        <f>L68-L69</f>
        <v>#VALUE!</v>
      </c>
      <c r="P72" s="13">
        <f>-P62-P67</f>
        <v>-114750</v>
      </c>
      <c r="Y72" s="64" t="e">
        <f>Y71/S68</f>
        <v>#VALUE!</v>
      </c>
    </row>
    <row r="73" spans="1:31">
      <c r="I73" s="3"/>
      <c r="K73" s="64" t="e">
        <f>K71-K65</f>
        <v>#DIV/0!</v>
      </c>
    </row>
    <row r="74" spans="1:31">
      <c r="H74">
        <v>1</v>
      </c>
      <c r="I74" s="64"/>
      <c r="L74">
        <f>K75/L76</f>
        <v>1.5222222222222224</v>
      </c>
      <c r="P74" s="13"/>
    </row>
    <row r="75" spans="1:31">
      <c r="A75" s="98" t="s">
        <v>256</v>
      </c>
      <c r="B75" s="59" t="s">
        <v>2490</v>
      </c>
      <c r="C75" t="str" cm="1">
        <f t="array" ref="C75">_xll.BDP(B75&amp;" Equity","OPT_UNDL_TICKER")</f>
        <v>QQQ US</v>
      </c>
      <c r="D75" t="str" cm="1">
        <f t="array" ref="D75">_xll.BDP($B75&amp;" Index","mifid_Maturity_date")</f>
        <v>06/02/2026</v>
      </c>
      <c r="E75" cm="1">
        <f t="array" ref="E75">_xll.BDP($B75&amp;" Index","opt_days_expire")</f>
        <v>4</v>
      </c>
      <c r="F75" t="str" cm="1">
        <f t="array" ref="F75">_xll.BDP(B75&amp;" Equity","QUOTED_CURRENCY_REALTIME")</f>
        <v>USD</v>
      </c>
      <c r="G75" s="105" t="s">
        <v>247</v>
      </c>
      <c r="H75" s="96">
        <v>230</v>
      </c>
      <c r="I75" s="97">
        <f>IF(G75="Buy",L75,K75)</f>
        <v>2.78</v>
      </c>
      <c r="J75" s="19">
        <f>I75/S75</f>
        <v>4.4399016194461302E-3</v>
      </c>
      <c r="K75" s="36" cm="1">
        <f t="array" ref="K75">_xll.BDP($B75&amp;" Equity","bid")</f>
        <v>2.74</v>
      </c>
      <c r="L75" s="36" cm="1">
        <f t="array" ref="L75">_xll.BDP($B75&amp;" Equity","ask")</f>
        <v>2.78</v>
      </c>
      <c r="M75" s="40">
        <f>(L75/K75-1)</f>
        <v>1.4598540145985162E-2</v>
      </c>
      <c r="N75" s="36" cm="1">
        <f t="array" ref="N75">_xll.BDP(F75&amp;" Curncy","PX_LAST")</f>
        <v>1</v>
      </c>
      <c r="O75" s="162" cm="1">
        <f t="array" ref="O75">_xll.BDP(B75&amp;" Equity","OPT_MULTIPLIER")</f>
        <v>100</v>
      </c>
      <c r="P75" s="15">
        <f>IF(G75="Buy",((I75/N75)*H75*O75),((I75/N75)*-H75*O75))</f>
        <v>63940</v>
      </c>
      <c r="Q75" s="58">
        <f>P75/'Master P&amp;L'!$AD$5*10000</f>
        <v>0.28467943760529035</v>
      </c>
      <c r="R75" s="37" t="e" cm="1">
        <f t="array" ref="R75">_xll.BDP($C75&amp;" Equity","EST_PE_NXT_YR")*(T75/S75)</f>
        <v>#VALUE!</v>
      </c>
      <c r="S75" s="36" cm="1">
        <f t="array" ref="S75">_xll.BDP(C75&amp;" Equity","LAST_PRICE")</f>
        <v>626.14</v>
      </c>
      <c r="T75" s="53" cm="1">
        <f t="array" ref="T75">_xll.BDP(B75&amp;" Equity","OPT_STRIKE_PX")</f>
        <v>620</v>
      </c>
      <c r="U75" s="19">
        <f>T75/S75-1</f>
        <v>-9.8061136487047618E-3</v>
      </c>
      <c r="V75" s="37" cm="1">
        <f t="array" ref="V75">_xll.BDP($B75&amp;" Equity","ivol_mid")</f>
        <v>17.423490000000001</v>
      </c>
      <c r="W75" s="38" cm="1">
        <f t="array" ref="W75">_xll.BDP(B75&amp;" Equity","DELTA_MID_RT")</f>
        <v>-0.31330886483192444</v>
      </c>
      <c r="X75" s="48">
        <f>Y75/'Master P&amp;L'!$AE$5</f>
        <v>-2.0088866619578562E-3</v>
      </c>
      <c r="Y75" s="15">
        <f>IF(G75="Sell", S75*W75*-H75*O75/N75, S75*W75*H75*O75/N75)</f>
        <v>-4512029.8903948069</v>
      </c>
      <c r="Z75" s="15" cm="1">
        <f t="array" ref="Z75">_xll.BDP($B75&amp;" Equity","opt_theta")*H75*O75/N75</f>
        <v>-9683.6669999999995</v>
      </c>
      <c r="AA75" s="19" cm="1">
        <f t="array" ref="AA75">_xll.BDP($B75&amp;" Equity","opt_theta")/I75</f>
        <v>-0.15144928057553958</v>
      </c>
      <c r="AB75" s="36" t="str" cm="1">
        <f t="array" ref="AB75">_xll.BDP($C75&amp;" Equity","EXPECTED_REPORT_DT")</f>
        <v>#N/A N/A</v>
      </c>
      <c r="AC75" s="15">
        <f>S75*H75*O75/N75</f>
        <v>14401219.999999998</v>
      </c>
      <c r="AD75" s="48">
        <f>AC75/'Master P&amp;L'!$AE$5</f>
        <v>6.4118411173444767E-3</v>
      </c>
      <c r="AE75" t="str">
        <f>B75&amp;" -&gt; Buy to open "&amp;H75&amp;"x"</f>
        <v>QQQ US 02/06/26 P620 -&gt; Buy to open 230x</v>
      </c>
    </row>
    <row r="76" spans="1:31">
      <c r="A76" s="98" t="s">
        <v>256</v>
      </c>
      <c r="B76" s="59" t="s">
        <v>2491</v>
      </c>
      <c r="C76" t="str" cm="1">
        <f t="array" ref="C76">_xll.BDP(B76&amp;" Equity","OPT_UNDL_TICKER")</f>
        <v>QQQ US</v>
      </c>
      <c r="D76" t="str" cm="1">
        <f t="array" ref="D76">_xll.BDP($B76&amp;" Equity","mifid_Maturity_date")</f>
        <v>06/02/2026</v>
      </c>
      <c r="E76" cm="1">
        <f t="array" ref="E76">_xll.BDP($B76&amp;" Equity","opt_days_expire")</f>
        <v>4</v>
      </c>
      <c r="F76" t="s">
        <v>194</v>
      </c>
      <c r="G76" s="105" t="s">
        <v>248</v>
      </c>
      <c r="H76" s="96">
        <f>H75</f>
        <v>230</v>
      </c>
      <c r="I76" s="97">
        <f>IF(G76="Buy",L76,K76)</f>
        <v>1.76</v>
      </c>
      <c r="J76" s="19">
        <f>I76/S76</f>
        <v>2.8108729677069027E-3</v>
      </c>
      <c r="K76" s="36" cm="1">
        <f t="array" ref="K76">_xll.BDP($B76&amp;" Equity","bid")</f>
        <v>1.76</v>
      </c>
      <c r="L76" s="36" cm="1">
        <f t="array" ref="L76">_xll.BDP($B76&amp;" Equity","ask")</f>
        <v>1.8</v>
      </c>
      <c r="M76" s="40">
        <f>(L76/K76-1)</f>
        <v>2.2727272727272707E-2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>
        <f>IF(G76="Buy",((I76/N76)*H76*O76),((I76/N76)*-H76*O76))</f>
        <v>-40480</v>
      </c>
      <c r="Q76" s="58">
        <f>P76/'Master P&amp;L'!$AD$5*10000</f>
        <v>-0.18022870869975216</v>
      </c>
      <c r="R76" s="37" t="e" cm="1">
        <f t="array" ref="R76">_xll.BDP($C76&amp;" Equity","EST_PE_NXT_YR")*(T76/S76)</f>
        <v>#VALUE!</v>
      </c>
      <c r="S76" s="36" cm="1">
        <f t="array" ref="S76">_xll.BDP(C76&amp;" Equity","LAST_PRICE")</f>
        <v>626.14</v>
      </c>
      <c r="T76" s="53" cm="1">
        <f t="array" ref="T76">_xll.BDP(B76&amp;" Equity","OPT_STRIKE_PX")</f>
        <v>615</v>
      </c>
      <c r="U76" s="19">
        <f>T76/S76-1</f>
        <v>-1.7791548216053887E-2</v>
      </c>
      <c r="V76" s="37" cm="1">
        <f t="array" ref="V76">_xll.BDP($B76&amp;" Equity","ivol_mid")</f>
        <v>18.775459999999999</v>
      </c>
      <c r="W76" s="38" cm="1">
        <f t="array" ref="W76">_xll.BDP(B76&amp;" Equity","DELTA_MID_RT")</f>
        <v>-0.21224728226661682</v>
      </c>
      <c r="X76" s="48">
        <f>Y76/'Master P&amp;L'!$AE$5</f>
        <v>1.3608958514817132E-3</v>
      </c>
      <c r="Y76" s="15">
        <f>IF(G76="Sell", S76*W76*-H76*O76/N76, S76*W76*H76*O76/N76)</f>
        <v>3056619.8063236475</v>
      </c>
      <c r="Z76" s="15" cm="1">
        <f t="array" ref="Z76">_xll.BDP($B76&amp;" Equity","opt_theta")*H76*O76/N76</f>
        <v>-8305.0239999999994</v>
      </c>
      <c r="AA76" s="19" cm="1">
        <f t="array" ref="AA76">_xll.BDP($B76&amp;" Equity","opt_theta")/I76</f>
        <v>-0.20516363636363638</v>
      </c>
      <c r="AB76" s="36" t="str" cm="1">
        <f t="array" ref="AB76">_xll.BDP($C76&amp;" Equity","EXPECTED_REPORT_DT")</f>
        <v>#N/A N/A</v>
      </c>
      <c r="AC76" s="15">
        <f>S76*H76*O76/N76</f>
        <v>14401219.999999998</v>
      </c>
      <c r="AD76" s="48">
        <f>AC76/'Master P&amp;L'!$AE$5</f>
        <v>6.4118411173444767E-3</v>
      </c>
      <c r="AE76" t="str">
        <f>B76&amp;" -&gt; Buy to open "&amp;H76&amp;"x"</f>
        <v>QQQ US 02/06/26 P615 -&gt; Buy to open 230x</v>
      </c>
    </row>
    <row r="77" spans="1:31">
      <c r="H77" s="100" t="s">
        <v>116</v>
      </c>
      <c r="I77" s="102">
        <f>I75-I76*H74</f>
        <v>1.0199999999999998</v>
      </c>
      <c r="J77" s="100" t="s">
        <v>249</v>
      </c>
      <c r="K77" s="101">
        <f>K76/L75</f>
        <v>0.63309352517985618</v>
      </c>
      <c r="P77" s="100" t="s">
        <v>250</v>
      </c>
      <c r="Q77" s="108">
        <f>Q75+Q76</f>
        <v>0.10445072890553819</v>
      </c>
      <c r="S77" s="100" t="s">
        <v>251</v>
      </c>
      <c r="T77" s="102">
        <f>T75-T76</f>
        <v>5</v>
      </c>
      <c r="W77" s="100" t="s">
        <v>252</v>
      </c>
      <c r="X77" s="122">
        <f>X75+X76</f>
        <v>-6.4799081047614299E-4</v>
      </c>
      <c r="AC77" s="100" t="s">
        <v>229</v>
      </c>
      <c r="AD77" s="122">
        <f>AD75</f>
        <v>6.4118411173444767E-3</v>
      </c>
    </row>
    <row r="78" spans="1:31">
      <c r="H78" s="100" t="s">
        <v>253</v>
      </c>
      <c r="I78" s="102">
        <f>(T77-I77)/I77</f>
        <v>3.9019607843137267</v>
      </c>
      <c r="J78" s="100" t="s">
        <v>145</v>
      </c>
      <c r="K78" s="109">
        <f>AVERAGE(K75:L75)-AVERAGE(K76:L76)</f>
        <v>0.97999999999999976</v>
      </c>
      <c r="P78" s="100"/>
      <c r="Q78" s="108"/>
      <c r="S78" s="100"/>
      <c r="T78" s="102"/>
      <c r="W78" s="100"/>
      <c r="X78" s="122"/>
      <c r="Y78" s="15">
        <f>Y75+Y76</f>
        <v>-1455410.0840711594</v>
      </c>
      <c r="AC78" s="100"/>
      <c r="AD78" s="104"/>
    </row>
    <row r="79" spans="1:31">
      <c r="I79" s="64"/>
      <c r="K79" s="64" t="e">
        <f>K78-K71</f>
        <v>#DIV/0!</v>
      </c>
      <c r="L79" s="64"/>
      <c r="N79" s="238" t="e">
        <f>K71-(K78*3)</f>
        <v>#DIV/0!</v>
      </c>
      <c r="W79" s="50">
        <f>W75-W76</f>
        <v>-0.10106158256530762</v>
      </c>
      <c r="Y79" s="64">
        <f>Y78/S75</f>
        <v>-2324.4163990020752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59" t="s">
        <v>2488</v>
      </c>
      <c r="C81" t="str" cm="1">
        <f t="array" ref="C81">_xll.BDP(B81&amp;" Equity","OPT_UNDL_TICKER")</f>
        <v>QQQ US</v>
      </c>
      <c r="D81" t="str" cm="1">
        <f t="array" ref="D81">_xll.BDP($B81&amp;" Index","mifid_Maturity_date")</f>
        <v>02/02/2026</v>
      </c>
      <c r="E81" cm="1">
        <f t="array" ref="E81">_xll.BDP($B81&amp;" Index","opt_days_expire")</f>
        <v>0</v>
      </c>
      <c r="F81" t="str">
        <f>_xll.BDP(B81&amp;" Equity","QUOTED_CURRENCY_REALTIME")</f>
        <v>USD</v>
      </c>
      <c r="G81" s="105" t="s">
        <v>247</v>
      </c>
      <c r="H81" s="96">
        <v>1000</v>
      </c>
      <c r="I81" s="97">
        <f>IF(G81="Buy",L81,K81)</f>
        <v>0.01</v>
      </c>
      <c r="J81" s="19">
        <f>I81/S81</f>
        <v>1.5970869134698312E-5</v>
      </c>
      <c r="K81" s="36" t="str">
        <f>_xll.BDP($B81&amp;" Equity","bid")</f>
        <v>#N/A N/A</v>
      </c>
      <c r="L81" s="36">
        <f>_xll.BDP($B81&amp;" Equity","ask")</f>
        <v>0.01</v>
      </c>
      <c r="M81" s="40" t="e">
        <f>(L81/K81-1)</f>
        <v>#VALUE!</v>
      </c>
      <c r="N81" s="36" cm="1">
        <f t="array" ref="N81">_xll.BDP(F81&amp;" Curncy","PX_LAST")</f>
        <v>1</v>
      </c>
      <c r="O81" s="162" cm="1">
        <f t="array" ref="O81">_xll.BDP(B81&amp;" Equity","OPT_MULTIPLIER")</f>
        <v>100</v>
      </c>
      <c r="P81" s="15">
        <f>IF(G81="Buy",((I81/N81)*H81*O81),((I81/N81)*-H81*O81))</f>
        <v>1000</v>
      </c>
      <c r="Q81" s="58">
        <f>P81/'Master P&amp;L'!$AD$5*10000</f>
        <v>4.4522902346776716E-3</v>
      </c>
      <c r="R81" s="37" t="e" cm="1">
        <f t="array" ref="R81">_xll.BDP($C81&amp;" Equity","EST_PE_NXT_YR")*(T81/S81)</f>
        <v>#VALUE!</v>
      </c>
      <c r="S81" s="36" cm="1">
        <f t="array" ref="S81">_xll.BDP(C81&amp;" Equity","LAST_PRICE")</f>
        <v>626.14</v>
      </c>
      <c r="T81" s="53" cm="1">
        <f t="array" ref="T81">_xll.BDP(B81&amp;" Equity","OPT_STRIKE_PX")</f>
        <v>625</v>
      </c>
      <c r="U81" s="19">
        <f>T81/S81-1</f>
        <v>-1.8206790813556362E-3</v>
      </c>
      <c r="V81" s="37" cm="1">
        <f t="array" ref="V81">_xll.BDP($B81&amp;" Equity","ivol_mid")</f>
        <v>19.955390000000001</v>
      </c>
      <c r="W81" s="38">
        <f>_xll.BDP(B81&amp;" Equity","DELTA_MID_RT")</f>
        <v>-1.2244229204952717E-2</v>
      </c>
      <c r="X81" s="48">
        <f>Y81/'Master P&amp;L'!$AE$5</f>
        <v>-3.4133935768046052E-4</v>
      </c>
      <c r="Y81" s="15">
        <f>IF(G81="Sell", S81*W81*-H81*O81/N81, S81*W81*H81*O81/N81)</f>
        <v>-766660.16743890941</v>
      </c>
      <c r="Z81" s="15" cm="1">
        <f t="array" ref="Z81">_xll.BDP($B81&amp;" Equity","opt_theta")*H81*O81/N81</f>
        <v>0</v>
      </c>
      <c r="AA81" s="19" cm="1">
        <f t="array" ref="AA81">_xll.BDP($B81&amp;" Equity","opt_theta")/I81</f>
        <v>0</v>
      </c>
      <c r="AB81" s="36" t="str" cm="1">
        <f t="array" ref="AB81">_xll.BDP($C81&amp;" Equity","EXPECTED_REPORT_DT")</f>
        <v>#N/A N/A</v>
      </c>
      <c r="AC81" s="15">
        <f>S81*H81*O81/N81</f>
        <v>62614000</v>
      </c>
      <c r="AD81" s="48">
        <f>AC81/'Master P&amp;L'!$AE$5</f>
        <v>2.7877570075410772E-2</v>
      </c>
      <c r="AE81" t="str">
        <f>B81&amp;" -&gt; Buy to open "&amp;H81&amp;"x"</f>
        <v>QQQ US 02/02/26 P625 -&gt; Buy to open 1000x</v>
      </c>
    </row>
    <row r="82" spans="1:38">
      <c r="A82" s="98" t="s">
        <v>256</v>
      </c>
      <c r="B82" s="59" t="s">
        <v>2489</v>
      </c>
      <c r="C82" t="str" cm="1">
        <f t="array" ref="C82">_xll.BDP(B82&amp;" Equity","OPT_UNDL_TICKER")</f>
        <v>QQQ US</v>
      </c>
      <c r="D82" t="str" cm="1">
        <f t="array" ref="D82">_xll.BDP($B82&amp;" Equity","mifid_Maturity_date")</f>
        <v>02/02/2026</v>
      </c>
      <c r="E82" cm="1">
        <f t="array" ref="E82">_xll.BDP($B82&amp;" Equity","opt_days_expire")</f>
        <v>0</v>
      </c>
      <c r="F82" t="s">
        <v>194</v>
      </c>
      <c r="G82" s="105" t="s">
        <v>248</v>
      </c>
      <c r="H82" s="96">
        <f>H81</f>
        <v>1000</v>
      </c>
      <c r="I82" s="97" t="str">
        <f>IF(G82="Buy",L82,K82)</f>
        <v>#N/A N/A</v>
      </c>
      <c r="J82" s="19" t="e">
        <f>I82/S82</f>
        <v>#VALUE!</v>
      </c>
      <c r="K82" s="36" t="str" cm="1">
        <f t="array" ref="K82">_xll.BDP($B82&amp;" Equity","bid")</f>
        <v>#N/A N/A</v>
      </c>
      <c r="L82" s="36" cm="1">
        <f t="array" ref="L82">_xll.BDP($B82&amp;" Equity","ask")</f>
        <v>0.01</v>
      </c>
      <c r="M82" s="40" t="e">
        <f>(L82/K82-1)</f>
        <v>#VALUE!</v>
      </c>
      <c r="N82" s="36" cm="1">
        <f t="array" ref="N82">_xll.BDP(F82&amp;" Curncy","PX_LAST")</f>
        <v>1</v>
      </c>
      <c r="O82" s="162" cm="1">
        <f t="array" ref="O82">_xll.BDP(B82&amp;" Equity","OPT_MULTIPLIER")</f>
        <v>100</v>
      </c>
      <c r="P82" s="15" t="e">
        <f>IF(G82="Buy",((I82/N82)*H82*O82),((I82/N82)*-H82*O82))</f>
        <v>#VALUE!</v>
      </c>
      <c r="Q82" s="58" t="e">
        <f>P82/'Master P&amp;L'!$AD$5*10000</f>
        <v>#VALUE!</v>
      </c>
      <c r="R82" s="37" t="e" cm="1">
        <f t="array" ref="R82">_xll.BDP($C82&amp;" Equity","EST_PE_NXT_YR")*(T82/S82)</f>
        <v>#VALUE!</v>
      </c>
      <c r="S82" s="36" cm="1">
        <f t="array" ref="S82">_xll.BDP(C82&amp;" Equity","LAST_PRICE")</f>
        <v>626.14</v>
      </c>
      <c r="T82" s="53" cm="1">
        <f t="array" ref="T82">_xll.BDP(B82&amp;" Equity","OPT_STRIKE_PX")</f>
        <v>624</v>
      </c>
      <c r="U82" s="19">
        <f>T82/S82-1</f>
        <v>-3.4177659948254613E-3</v>
      </c>
      <c r="V82" s="37" cm="1">
        <f t="array" ref="V82">_xll.BDP($B82&amp;" Equity","ivol_mid")</f>
        <v>22.982030000000002</v>
      </c>
      <c r="W82" s="38" cm="1">
        <f t="array" ref="W82">_xll.BDP(B82&amp;" Equity","DELTA_MID_RT")</f>
        <v>-1.7566841095685959E-2</v>
      </c>
      <c r="X82" s="48">
        <f>Y82/'Master P&amp;L'!$AE$5</f>
        <v>4.8972084364859111E-4</v>
      </c>
      <c r="Y82" s="15">
        <f>IF(G82="Sell", S82*W82*-H82*O82/N82, S82*W82*H82*O82/N82)</f>
        <v>1099930.1883652806</v>
      </c>
      <c r="Z82" s="15" cm="1">
        <f t="array" ref="Z82">_xll.BDP($B82&amp;" Equity","opt_theta")*H82*O82/N82</f>
        <v>0</v>
      </c>
      <c r="AA82" s="19" t="e" cm="1">
        <f t="array" ref="AA82">_xll.BDP($B82&amp;" Equity","opt_theta")/I82</f>
        <v>#VALUE!</v>
      </c>
      <c r="AB82" s="36" t="str" cm="1">
        <f t="array" ref="AB82">_xll.BDP($C82&amp;" Equity","EXPECTED_REPORT_DT")</f>
        <v>#N/A N/A</v>
      </c>
      <c r="AC82" s="15">
        <f>S82*H82*O82/N82</f>
        <v>62614000</v>
      </c>
      <c r="AD82" s="48">
        <f>AC82/'Master P&amp;L'!$AE$5</f>
        <v>2.7877570075410772E-2</v>
      </c>
      <c r="AE82" t="str">
        <f>B82&amp;" -&gt; Buy to open "&amp;H82&amp;"x"</f>
        <v>QQQ US 02/02/26 P624 -&gt; Buy to open 1000x</v>
      </c>
    </row>
    <row r="83" spans="1:38">
      <c r="H83" s="100" t="s">
        <v>116</v>
      </c>
      <c r="I83" s="102" t="e">
        <f>I81-I82</f>
        <v>#VALUE!</v>
      </c>
      <c r="J83" s="100" t="s">
        <v>249</v>
      </c>
      <c r="K83" s="101" t="e">
        <f>K82/L81</f>
        <v>#VALUE!</v>
      </c>
      <c r="P83" s="100" t="s">
        <v>250</v>
      </c>
      <c r="Q83" s="108" t="e">
        <f>Q81+Q82</f>
        <v>#VALUE!</v>
      </c>
      <c r="S83" s="100" t="s">
        <v>251</v>
      </c>
      <c r="T83" s="102">
        <f>T81-T82</f>
        <v>1</v>
      </c>
      <c r="W83" s="100" t="s">
        <v>252</v>
      </c>
      <c r="X83" s="122">
        <f>X81+X82</f>
        <v>1.4838148596813059E-4</v>
      </c>
      <c r="AC83" s="100" t="s">
        <v>229</v>
      </c>
      <c r="AD83" s="122">
        <f>AD81</f>
        <v>2.7877570075410772E-2</v>
      </c>
    </row>
    <row r="84" spans="1:38">
      <c r="H84" s="100" t="s">
        <v>253</v>
      </c>
      <c r="I84" s="102" t="e">
        <f>(T83-I83)/I83</f>
        <v>#VALUE!</v>
      </c>
      <c r="J84" s="100" t="s">
        <v>145</v>
      </c>
      <c r="K84" s="109">
        <f>AVERAGE(K81:L81)-AVERAGE(K82:L82)</f>
        <v>0</v>
      </c>
      <c r="P84" s="100"/>
      <c r="Q84" s="108"/>
      <c r="S84" s="100"/>
      <c r="T84" s="102"/>
      <c r="W84" s="100"/>
      <c r="X84" s="122"/>
      <c r="Y84" s="15">
        <f>Y81+Y82</f>
        <v>333270.02092637122</v>
      </c>
      <c r="AC84" s="100"/>
      <c r="AD84" s="104"/>
    </row>
    <row r="85" spans="1:38">
      <c r="K85" s="64">
        <f>K84-K78</f>
        <v>-0.97999999999999976</v>
      </c>
      <c r="Y85" s="64">
        <f>Y84/S81</f>
        <v>532.2611890733242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-251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-251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-308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-308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-308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-308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-437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-381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-255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-255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-410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-410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-406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-220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-220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-220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1898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-136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1899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-136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20</v>
      </c>
      <c r="I152" s="337">
        <v>237.5</v>
      </c>
      <c r="Z152">
        <f>Z153/P153</f>
        <v>-0.19862590123456789</v>
      </c>
    </row>
    <row r="153" spans="1:33">
      <c r="A153" s="98"/>
      <c r="B153" s="321" t="s">
        <v>2486</v>
      </c>
      <c r="C153" t="str" cm="1">
        <f t="array" ref="C153">_xll.BDP(B153&amp;" Index","OPT_UNDL_TICKER")</f>
        <v>1OH6</v>
      </c>
      <c r="D153" t="str" cm="1">
        <f t="array" ref="D153">_xll.BDP($B153&amp;" Index","mifid_Maturity_date")</f>
        <v>06/02/2026</v>
      </c>
      <c r="E153" cm="1">
        <f t="array" ref="E153">_xll.BDP($B153&amp;" Index","opt_days_expire")</f>
        <v>4</v>
      </c>
      <c r="F153" t="str" cm="1">
        <f t="array" ref="F153">_xll.BDP(B153&amp;" Index","QUOTED_CURRENCY_REALTIME")</f>
        <v>USD</v>
      </c>
      <c r="G153" s="105" t="s">
        <v>247</v>
      </c>
      <c r="H153" s="96">
        <v>20</v>
      </c>
      <c r="I153" s="97">
        <f>IF(G153="Buy",L153,K153)</f>
        <v>162</v>
      </c>
      <c r="J153" s="19">
        <f>I153/S153</f>
        <v>6.2610510449578249E-3</v>
      </c>
      <c r="K153" s="36" cm="1">
        <f t="array" ref="K153">_xll.BDP($B153&amp;" Index","bid")</f>
        <v>158</v>
      </c>
      <c r="L153" s="36" cm="1">
        <f t="array" ref="L153">_xll.BDP($B153&amp;" Index","ask")</f>
        <v>162</v>
      </c>
      <c r="M153" s="40">
        <f>(L153/K153-1)</f>
        <v>2.5316455696202445E-2</v>
      </c>
      <c r="N153" s="36" cm="1">
        <f t="array" ref="N153">_xll.BDP(F153&amp;" Curncy","PX_LAST")</f>
        <v>1</v>
      </c>
      <c r="O153" s="162">
        <v>20</v>
      </c>
      <c r="P153" s="15">
        <f>IF(G153="Buy",((I153/N153)*H153*O153),((I153/N153)*-H153*O153))</f>
        <v>64800</v>
      </c>
      <c r="Q153" s="58">
        <f>P153/'Master P&amp;L'!$AD$5*10000</f>
        <v>0.28850840720711313</v>
      </c>
      <c r="R153" s="37" t="e" cm="1">
        <f t="array" ref="R153">_xll.BDP($C153&amp;" Index","EST_PE_NXT_YR")*(T153/S153)</f>
        <v>#VALUE!</v>
      </c>
      <c r="S153" s="36" cm="1">
        <f t="array" ref="S153">_xll.BDP(C153&amp;" Index","LAST_PRICE")</f>
        <v>25874.25</v>
      </c>
      <c r="T153" s="53" cm="1">
        <f t="array" ref="T153">_xll.BDP(B153&amp;" Index","OPT_STRIKE_PX")</f>
        <v>25750</v>
      </c>
      <c r="U153" s="40">
        <f>T153/S153-1</f>
        <v>-4.8020715576296835E-3</v>
      </c>
      <c r="V153" s="37" cm="1">
        <f t="array" ref="V153">_xll.BDP($B153&amp;" Index","ivol_mid")</f>
        <v>21.398116999999999</v>
      </c>
      <c r="W153" s="38" cm="1">
        <f t="array" ref="W153">_xll.BDP(B153&amp;" Index","DELTA_MID_RT")</f>
        <v>-0.40436765551567078</v>
      </c>
      <c r="X153" s="48">
        <f>Y153/'Master P&amp;L'!$AE$5</f>
        <v>-1.863320828742527E-3</v>
      </c>
      <c r="Y153" s="15">
        <f>IF(G153="Sell", S153*W153*-H153*O153/N153, S153*W153*H153*O153/N153)</f>
        <v>-4185083.9242905378</v>
      </c>
      <c r="Z153" s="15" cm="1">
        <f t="array" ref="Z153">_xll.BDP($B153&amp;" Index","opt_theta")*H153*O153/N153</f>
        <v>-12870.9584</v>
      </c>
      <c r="AA153" s="126" cm="1">
        <f t="array" ref="AA153">_xll.BDP($B153&amp;" Index","opt_theta")/I153</f>
        <v>-0.19862590123456791</v>
      </c>
      <c r="AB153" s="36" t="str" cm="1">
        <f t="array" ref="AB153">_xll.BDP($C153&amp;" Index","EXPECTED_REPORT_DT")</f>
        <v>#N/A Field Not Applicable</v>
      </c>
      <c r="AC153" s="15">
        <f>S153*H153*O153/N153</f>
        <v>10349700</v>
      </c>
      <c r="AD153" s="48">
        <f>AC153/'Master P&amp;L'!$AE$5</f>
        <v>4.6079868241843498E-3</v>
      </c>
      <c r="AG153" t="str">
        <f>B153&amp;" -&gt; Buy to open "&amp;H153&amp;"x"</f>
        <v>1OG6P 25750 -&gt; Buy to open 20x</v>
      </c>
    </row>
    <row r="154" spans="1:33">
      <c r="A154" s="98"/>
      <c r="B154" s="321"/>
      <c r="G154" s="105"/>
      <c r="H154" s="96"/>
      <c r="I154" s="97"/>
      <c r="J154" s="19"/>
      <c r="K154" s="36"/>
      <c r="L154" s="36"/>
      <c r="M154" s="40"/>
      <c r="N154" s="36"/>
      <c r="O154" s="162"/>
      <c r="P154" s="15"/>
      <c r="Q154" s="58"/>
      <c r="R154" s="37"/>
      <c r="S154" s="36"/>
      <c r="T154" s="53"/>
      <c r="U154" s="40"/>
      <c r="V154" s="37"/>
      <c r="W154" s="38"/>
      <c r="X154" s="48"/>
      <c r="Y154" s="15"/>
      <c r="Z154" s="15"/>
      <c r="AA154" s="126"/>
      <c r="AB154" s="36"/>
      <c r="AC154" s="15"/>
      <c r="AD154" s="48"/>
    </row>
    <row r="155" spans="1:33">
      <c r="H155" s="100" t="s">
        <v>116</v>
      </c>
      <c r="I155" s="102">
        <f>I153-I154</f>
        <v>162</v>
      </c>
      <c r="J155" s="100" t="s">
        <v>249</v>
      </c>
      <c r="K155" s="101">
        <f>K154/L153</f>
        <v>0</v>
      </c>
      <c r="O155" s="164"/>
      <c r="P155" s="100" t="s">
        <v>250</v>
      </c>
      <c r="Q155" s="108">
        <f>Q153+Q154</f>
        <v>0.28850840720711313</v>
      </c>
      <c r="S155" s="100" t="s">
        <v>251</v>
      </c>
      <c r="T155" s="102">
        <f>T154-T153</f>
        <v>-25750</v>
      </c>
      <c r="W155" s="100" t="s">
        <v>252</v>
      </c>
      <c r="X155" s="122">
        <f>X153+X154</f>
        <v>-1.863320828742527E-3</v>
      </c>
      <c r="Y155" s="13">
        <f>Y153+Y154</f>
        <v>-4185083.9242905378</v>
      </c>
      <c r="AC155" s="100" t="s">
        <v>229</v>
      </c>
      <c r="AD155" s="122">
        <f>AD153</f>
        <v>4.6079868241843498E-3</v>
      </c>
    </row>
    <row r="156" spans="1:33">
      <c r="H156" s="100" t="s">
        <v>253</v>
      </c>
      <c r="I156" s="102">
        <f>(T155-I155)/I155</f>
        <v>-159.95061728395061</v>
      </c>
      <c r="J156" s="100" t="s">
        <v>145</v>
      </c>
      <c r="K156" s="109" t="e">
        <f>AVERAGE(K153:L153)-AVERAGE(K154:L154)</f>
        <v>#DIV/0!</v>
      </c>
      <c r="O156" s="164"/>
      <c r="P156" s="100"/>
      <c r="Q156" s="108"/>
      <c r="S156" s="100"/>
      <c r="T156" s="102"/>
      <c r="W156" s="100"/>
      <c r="X156" s="122"/>
      <c r="Y156" s="13">
        <f>Y155/S153/20</f>
        <v>-8.0873531103134155</v>
      </c>
      <c r="AC156" s="100"/>
      <c r="AD156" s="104"/>
    </row>
    <row r="157" spans="1:33">
      <c r="K157" s="64">
        <f>K153-K154</f>
        <v>158</v>
      </c>
      <c r="L157" s="64">
        <f>L153-L154</f>
        <v>162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 hidden="1">
      <c r="A160" s="98"/>
      <c r="B160" s="384" t="s">
        <v>2125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5" t="s">
        <v>247</v>
      </c>
      <c r="H160" s="96">
        <v>100</v>
      </c>
      <c r="I160" s="97" t="str">
        <f>IF(G160="Buy",L160,K160)</f>
        <v>#N/A Real Time</v>
      </c>
      <c r="J160" s="19" t="e">
        <f>I160/S160</f>
        <v>#VALUE!</v>
      </c>
      <c r="K160" s="36" t="str" cm="1">
        <f t="array" ref="K160">_xll.BDP($B160&amp;" Index","bid")</f>
        <v>#N/A Real Time</v>
      </c>
      <c r="L160" s="36" t="str" cm="1">
        <f t="array" ref="L160">_xll.BDP($B160&amp;" Index","ask")</f>
        <v>#N/A Real Time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 t="e">
        <f>IF(G160="Buy",((I160/N160)*H160*O160),((I160/N160)*-H160*O160))</f>
        <v>#VALUE!</v>
      </c>
      <c r="Q160" s="58" t="e">
        <f>P160/'Master P&amp;L'!$AD$5*10000</f>
        <v>#VALUE!</v>
      </c>
      <c r="R160" s="37" t="e" cm="1">
        <f t="array" ref="R160">_xll.BDP($C160&amp;" Index","EST_PE_NXT_YR")*(T160/S160)</f>
        <v>#VALUE!</v>
      </c>
      <c r="S160" s="36" cm="1">
        <f t="array" ref="S160">_xll.BDP(C160&amp;" Index","LAST_PRICE")</f>
        <v>6976.44</v>
      </c>
      <c r="T160" s="53" cm="1">
        <f t="array" ref="T160">_xll.BDP(B160&amp;" Index","OPT_STRIKE_PX")</f>
        <v>6950</v>
      </c>
      <c r="U160" s="40">
        <f>T160/S160-1</f>
        <v>-3.7898985729110102E-3</v>
      </c>
      <c r="V160" s="37" t="str" cm="1">
        <f t="array" ref="V160">_xll.BDP($B160&amp;" Index","ivol_mid")</f>
        <v>#N/A N/A</v>
      </c>
      <c r="W160" s="38" t="str" cm="1">
        <f t="array" ref="W160">_xll.BDP(B160&amp;" Index","DELTA_MID_RT")</f>
        <v>#N/A Real Time</v>
      </c>
      <c r="X160" s="48" t="e">
        <f>Y160/'Master P&amp;L'!$AE$5</f>
        <v>#VALUE!</v>
      </c>
      <c r="Y160" s="15" t="e">
        <f>IF(G160="Sell", S160*W160*-H160*O160/N160, S160*W160*H160*O160/N160)</f>
        <v>#VALUE!</v>
      </c>
      <c r="Z160" s="15" t="e" cm="1">
        <f t="array" ref="Z160">_xll.BDP($B160&amp;" Index","opt_theta")*H160*O160/N160</f>
        <v>#VALUE!</v>
      </c>
      <c r="AA160" s="126" t="e" cm="1">
        <f t="array" ref="AA160">_xll.BDP($B160&amp;" Index","opt_theta")/I160</f>
        <v>#VALUE!</v>
      </c>
      <c r="AB160" s="36" t="str" cm="1">
        <f t="array" ref="AB160">_xll.BDP($C160&amp;" Index","EXPECTED_REPORT_DT")</f>
        <v>#N/A Field Not Applicable</v>
      </c>
      <c r="AC160" s="15">
        <f>S160*H160*O160/N160</f>
        <v>69764400</v>
      </c>
      <c r="AD160" s="48">
        <f>AC160/'Master P&amp;L'!$AE$5</f>
        <v>3.1061135684814695E-2</v>
      </c>
      <c r="AG160" t="str">
        <f>B160&amp;" -&gt; Buy to open "&amp;H160&amp;"x"</f>
        <v>SPXW US 12/31/25 C6950 -&gt; Buy to open 100x</v>
      </c>
    </row>
    <row r="161" spans="1:37" hidden="1">
      <c r="A161" s="98"/>
      <c r="B161" s="384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 hidden="1">
      <c r="H162" s="100" t="s">
        <v>116</v>
      </c>
      <c r="I162" s="102" t="e">
        <f>I160-I161</f>
        <v>#VALUE!</v>
      </c>
      <c r="J162" s="100" t="s">
        <v>249</v>
      </c>
      <c r="K162" s="101" t="e">
        <f>K161/L160</f>
        <v>#VALUE!</v>
      </c>
      <c r="O162" s="164"/>
      <c r="P162" s="100" t="s">
        <v>250</v>
      </c>
      <c r="Q162" s="108" t="e">
        <f>Q160+Q161</f>
        <v>#VALUE!</v>
      </c>
      <c r="S162" s="100" t="s">
        <v>251</v>
      </c>
      <c r="T162" s="102">
        <f>T161-T160</f>
        <v>-6950</v>
      </c>
      <c r="W162" s="100" t="s">
        <v>252</v>
      </c>
      <c r="X162" s="122" t="e">
        <f>X160+X161</f>
        <v>#VALUE!</v>
      </c>
      <c r="Y162" s="13" t="e">
        <f>Y160+Y161</f>
        <v>#VALUE!</v>
      </c>
      <c r="AC162" s="100" t="s">
        <v>229</v>
      </c>
      <c r="AD162" s="122">
        <f>AD160</f>
        <v>3.1061135684814695E-2</v>
      </c>
    </row>
    <row r="163" spans="1:37" hidden="1">
      <c r="H163" s="100" t="s">
        <v>253</v>
      </c>
      <c r="I163" s="102" t="e">
        <f>(T162-I162)/I162</f>
        <v>#VALUE!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 t="e">
        <f>Y162/S160</f>
        <v>#VALUE!</v>
      </c>
      <c r="AC163" s="100"/>
      <c r="AD163" s="104"/>
    </row>
    <row r="164" spans="1:37" hidden="1">
      <c r="K164" s="64" t="e">
        <f>K160-K161</f>
        <v>#VALUE!</v>
      </c>
      <c r="L164" s="64" t="e">
        <f>L160-L161</f>
        <v>#VALUE!</v>
      </c>
    </row>
    <row r="165" spans="1:37" hidden="1">
      <c r="Q165" t="e">
        <f>Q162/Q155</f>
        <v>#VALUE!</v>
      </c>
    </row>
    <row r="166" spans="1:37" hidden="1">
      <c r="H166" s="18"/>
      <c r="K166" s="64" t="e">
        <f>K157-K164</f>
        <v>#VALUE!</v>
      </c>
      <c r="L166" s="64" t="e">
        <f>L157-L164</f>
        <v>#VALUE!</v>
      </c>
    </row>
    <row r="167" spans="1:37" hidden="1">
      <c r="I167" s="64">
        <f>I170-I171</f>
        <v>16.5</v>
      </c>
    </row>
    <row r="168" spans="1:37" hidden="1">
      <c r="A168">
        <v>300</v>
      </c>
      <c r="H168" s="276">
        <v>1</v>
      </c>
      <c r="I168" s="64">
        <f>I170-I171</f>
        <v>16.5</v>
      </c>
      <c r="K168" s="129"/>
    </row>
    <row r="169" spans="1:37" hidden="1">
      <c r="A169" s="237">
        <v>1</v>
      </c>
      <c r="B169" t="s">
        <v>2068</v>
      </c>
      <c r="C169" t="str" cm="1">
        <f t="array" ref="C169">_xll.BDP(B169&amp;" Equity","OPT_UNDL_TICKER")</f>
        <v>META US</v>
      </c>
      <c r="D169" s="64">
        <f>A169*AVERAGE(K169:L169)</f>
        <v>48.8</v>
      </c>
      <c r="E169" cm="1">
        <f t="array" ref="E169">_xll.BDP($B169&amp;" Index","opt_days_expire")</f>
        <v>74</v>
      </c>
      <c r="F169" t="str" cm="1">
        <f t="array" ref="F169">_xll.BDP(B169&amp;" Equity","QUOTED_CURRENCY_REALTIME")</f>
        <v>USD</v>
      </c>
      <c r="G169" s="105" t="s">
        <v>247</v>
      </c>
      <c r="H169" s="131">
        <v>60</v>
      </c>
      <c r="I169" s="97">
        <f>IF(G169="Buy",L169,K169)</f>
        <v>48.9</v>
      </c>
      <c r="J169" s="19">
        <f>I169/S169</f>
        <v>6.9223255616426727E-2</v>
      </c>
      <c r="K169" s="36" cm="1">
        <f t="array" ref="K169">_xll.BDP($B169&amp;" Equity","bid")</f>
        <v>48.7</v>
      </c>
      <c r="L169" s="36" cm="1">
        <f t="array" ref="L169">_xll.BDP($B169&amp;" Equity","ask")</f>
        <v>48.9</v>
      </c>
      <c r="M169" s="40">
        <f>(L169/K169-1)</f>
        <v>4.1067761806981018E-3</v>
      </c>
      <c r="N169" s="36" cm="1">
        <f t="array" ref="N169">_xll.BDP(F169&amp;" Curncy","PX_LAST")</f>
        <v>1</v>
      </c>
      <c r="O169" s="162" cm="1">
        <f t="array" ref="O169">_xll.BDP(B169&amp;" Equity","OPT_MULTIPLIER")</f>
        <v>100</v>
      </c>
      <c r="P169" s="15">
        <f>IF(G169="Buy",((I169/N169)*H169*O169),((I169/N169)*-H169*O169))</f>
        <v>293400</v>
      </c>
      <c r="Q169" s="58">
        <f>P169/'Master P&amp;L'!$AD$5*10000</f>
        <v>1.3063019548544288</v>
      </c>
      <c r="R169" s="37" cm="1">
        <f t="array" ref="R169">_xll.BDP($C169&amp;" Equity","EST_PE_NXT_YR")*(T169/S169)</f>
        <v>18.522256260992222</v>
      </c>
      <c r="S169" s="36" cm="1">
        <f t="array" ref="S169">_xll.BDP(C169&amp;" Equity","LAST_PRICE")</f>
        <v>706.41</v>
      </c>
      <c r="T169" s="53" cm="1">
        <f t="array" ref="T169">_xll.BDP(B169&amp;" Equity","OPT_STRIKE_PX")</f>
        <v>690</v>
      </c>
      <c r="U169" s="40">
        <f>T169/S169-1</f>
        <v>-2.3230135473733315E-2</v>
      </c>
      <c r="V169" s="37" cm="1">
        <f t="array" ref="V169">_xll.BDP($B169&amp;" Equity","ivol_mid")</f>
        <v>29.61598</v>
      </c>
      <c r="W169" s="38" cm="1">
        <f t="array" ref="W169">_xll.BDP(B169&amp;" Equity","DELTA_MID_RT")</f>
        <v>0.61761617660522461</v>
      </c>
      <c r="X169" s="48">
        <f>Y169/'Master P&amp;L'!$AE$5</f>
        <v>1.1654944738797729E-3</v>
      </c>
      <c r="Y169" s="15">
        <f>IF(G169="Sell", S169*W169*-H169*O169/N169, S169*W169*H169*O169/N169)</f>
        <v>2617741.4598941798</v>
      </c>
      <c r="Z169" s="15" cm="1">
        <f t="array" ref="Z169">_xll.BDP($B169&amp;" Equity","opt_theta")*H169*O169/N169</f>
        <v>-1405.7819999999999</v>
      </c>
      <c r="AA169" s="19" cm="1">
        <f t="array" ref="AA169">_xll.BDP($B169&amp;" Equity","opt_theta")/I169</f>
        <v>-4.7913496932515337E-3</v>
      </c>
      <c r="AB169" s="36" t="str" cm="1">
        <f t="array" ref="AB169">_xll.BDP($C169&amp;" Equity","EXPECTED_REPORT_DT")</f>
        <v>30/04/2026</v>
      </c>
      <c r="AC169" s="15">
        <f>S169*H169*O169/N169</f>
        <v>4238460</v>
      </c>
      <c r="AD169" s="19">
        <f>AC169/'Master P&amp;L'!$AE$5</f>
        <v>1.8870854068071925E-3</v>
      </c>
      <c r="AE169" t="str">
        <f>B169  &amp; " - Buy to open " &amp;  "-" &amp; H169 &amp;"x"</f>
        <v>META US 04/17/26 C690 - Buy to open -60x</v>
      </c>
      <c r="AK169" s="59" t="s">
        <v>273</v>
      </c>
    </row>
    <row r="170" spans="1:37" hidden="1">
      <c r="A170" s="237">
        <v>2</v>
      </c>
      <c r="B170" s="73" t="s">
        <v>2286</v>
      </c>
      <c r="C170" t="str" cm="1">
        <f t="array" ref="C170">_xll.BDP(B170&amp;" Equity","OPT_UNDL_TICKER")</f>
        <v>META US</v>
      </c>
      <c r="D170" s="64">
        <f>A170*AVERAGE(K170:L170)</f>
        <v>177.25</v>
      </c>
      <c r="E170" cm="1">
        <f t="array" ref="E170">_xll.BDP($B170&amp;" Index","opt_days_expire")</f>
        <v>165</v>
      </c>
      <c r="F170" t="str" cm="1">
        <f t="array" ref="F170">_xll.BDP(B170&amp;" Equity","QUOTED_CURRENCY_REALTIME")</f>
        <v>USD</v>
      </c>
      <c r="G170" s="105" t="s">
        <v>248</v>
      </c>
      <c r="H170" s="131">
        <v>75</v>
      </c>
      <c r="I170" s="97">
        <f>IF(G170="Buy",L170,K170)</f>
        <v>88</v>
      </c>
      <c r="J170" s="19">
        <f>I170/S170</f>
        <v>0.12457354793958184</v>
      </c>
      <c r="K170" s="36" cm="1">
        <f t="array" ref="K170">_xll.BDP($B170&amp;" Equity","bid")</f>
        <v>88</v>
      </c>
      <c r="L170" s="36" cm="1">
        <f t="array" ref="L170">_xll.BDP($B170&amp;" Equity","ask")</f>
        <v>89.25</v>
      </c>
      <c r="M170" s="40">
        <f>(L170/K170-1)</f>
        <v>1.4204545454545414E-2</v>
      </c>
      <c r="N170" s="36" cm="1">
        <f t="array" ref="N170">_xll.BDP(F170&amp;" Curncy","PX_LAST")</f>
        <v>1</v>
      </c>
      <c r="O170" s="162" cm="1">
        <f t="array" ref="O170">_xll.BDP(B170&amp;" Equity","OPT_MULTIPLIER")</f>
        <v>100</v>
      </c>
      <c r="P170" s="15">
        <f>IF(G170="Buy",((I170/N170)*H170*O170),((I170/N170)*-H170*O170))</f>
        <v>-660000</v>
      </c>
      <c r="Q170" s="58">
        <f>P170/'Master P&amp;L'!$AD$5*10000</f>
        <v>-2.9385115548872629</v>
      </c>
      <c r="R170" s="37" cm="1">
        <f t="array" ref="R170">_xll.BDP($C170&amp;" Equity","EST_PE_NXT_YR")*(T170/S170)</f>
        <v>17.985379267919985</v>
      </c>
      <c r="S170" s="36" cm="1">
        <f t="array" ref="S170">_xll.BDP(C170&amp;" Equity","LAST_PRICE")</f>
        <v>706.41</v>
      </c>
      <c r="T170" s="53" cm="1">
        <f t="array" ref="T170">_xll.BDP(B170&amp;" Equity","OPT_STRIKE_PX")</f>
        <v>670</v>
      </c>
      <c r="U170" s="40">
        <f>T170/S170-1</f>
        <v>-5.1542305460001936E-2</v>
      </c>
      <c r="V170" s="37" cm="1">
        <f t="array" ref="V170">_xll.BDP($B170&amp;" Equity","ivol_mid")</f>
        <v>33.857100000000003</v>
      </c>
      <c r="W170" s="38" cm="1">
        <f t="array" ref="W170">_xll.BDP(B170&amp;" Equity","DELTA_MID_RT")</f>
        <v>0.66197699308395386</v>
      </c>
      <c r="X170" s="48">
        <f>Y170/'Master P&amp;L'!$AE$5</f>
        <v>-1.5615089041135439E-3</v>
      </c>
      <c r="Y170" s="15">
        <f>IF(G170="Sell", S170*W170*-H170*O170/N170, S170*W170*H170*O170/N170)</f>
        <v>-3507203.7576332688</v>
      </c>
      <c r="Z170" s="15" cm="1">
        <f t="array" ref="Z170">_xll.BDP($B170&amp;" Equity","opt_theta")*H170*O170/N170</f>
        <v>-1331.8574999999998</v>
      </c>
      <c r="AA170" s="19" cm="1">
        <f t="array" ref="AA170">_xll.BDP($B170&amp;" Equity","opt_theta")/I170</f>
        <v>-2.0179659090909089E-3</v>
      </c>
      <c r="AB170" s="36" t="str" cm="1">
        <f t="array" ref="AB170">_xll.BDP($C170&amp;" Equity","EXPECTED_REPORT_DT")</f>
        <v>30/04/2026</v>
      </c>
      <c r="AC170" s="15">
        <f>S170*H170*O170/N170</f>
        <v>5298075</v>
      </c>
      <c r="AD170" s="48">
        <f>AC170/'Master P&amp;L'!$AE$5</f>
        <v>2.3588567585089903E-3</v>
      </c>
      <c r="AE170" t="str">
        <f>B170&amp;" -&gt; Buy to open "&amp;H170&amp;"x"</f>
        <v>META US 07/17/26 C670 -&gt; Buy to open 75x</v>
      </c>
      <c r="AK170" t="s">
        <v>274</v>
      </c>
    </row>
    <row r="171" spans="1:37" hidden="1">
      <c r="A171" s="237">
        <v>2</v>
      </c>
      <c r="B171" s="73" t="s">
        <v>2402</v>
      </c>
      <c r="C171" t="str" cm="1">
        <f t="array" ref="C171">_xll.BDP(B171&amp;" Equity","OPT_UNDL_TICKER")</f>
        <v>META US</v>
      </c>
      <c r="D171" s="64">
        <f>A171*AVERAGE(K171:L171)</f>
        <v>142.6</v>
      </c>
      <c r="E171" cm="1">
        <f t="array" ref="E171">_xll.BDP($B171&amp;" Index","opt_days_expire")</f>
        <v>165</v>
      </c>
      <c r="F171" t="str" cm="1">
        <f t="array" ref="F171">_xll.BDP(B171&amp;" Equity","QUOTED_CURRENCY_REALTIME")</f>
        <v>USD</v>
      </c>
      <c r="G171" s="105" t="s">
        <v>247</v>
      </c>
      <c r="H171" s="131">
        <v>75</v>
      </c>
      <c r="I171" s="97">
        <f>IF(G171="Buy",L171,K171)</f>
        <v>71.5</v>
      </c>
      <c r="J171" s="19">
        <f>I171/S171</f>
        <v>0.10121600770091024</v>
      </c>
      <c r="K171" s="36" cm="1">
        <f t="array" ref="K171">_xll.BDP($B171&amp;" Equity","bid")</f>
        <v>71.099999999999994</v>
      </c>
      <c r="L171" s="36" cm="1">
        <f t="array" ref="L171">_xll.BDP($B171&amp;" Equity","ask")</f>
        <v>71.5</v>
      </c>
      <c r="M171" s="40">
        <f>(L171/K171-1)</f>
        <v>5.6258790436005679E-3</v>
      </c>
      <c r="N171" s="36" cm="1">
        <f t="array" ref="N171">_xll.BDP(F171&amp;" Curncy","PX_LAST")</f>
        <v>1</v>
      </c>
      <c r="O171" s="162" cm="1">
        <f t="array" ref="O171">_xll.BDP(B171&amp;" Equity","OPT_MULTIPLIER")</f>
        <v>100</v>
      </c>
      <c r="P171" s="15">
        <f>IF(G171="Buy",((I171/N171)*H171*O171),((I171/N171)*-H171*O171))</f>
        <v>536250</v>
      </c>
      <c r="Q171" s="58">
        <f>P171/'Master P&amp;L'!$AD$5*10000</f>
        <v>2.3875406383459015</v>
      </c>
      <c r="R171" s="37" cm="1">
        <f t="array" ref="R171">_xll.BDP($C171&amp;" Equity","EST_PE_NXT_YR")*(T171/S171)</f>
        <v>18.790694757528343</v>
      </c>
      <c r="S171" s="36" cm="1">
        <f t="array" ref="S171">_xll.BDP(C171&amp;" Equity","LAST_PRICE")</f>
        <v>706.41</v>
      </c>
      <c r="T171" s="53" cm="1">
        <f t="array" ref="T171">_xll.BDP(B171&amp;" Equity","OPT_STRIKE_PX")</f>
        <v>700</v>
      </c>
      <c r="U171" s="40">
        <f>T171/S171-1</f>
        <v>-9.0740504805990607E-3</v>
      </c>
      <c r="V171" s="37" cm="1">
        <f t="array" ref="V171">_xll.BDP(B171&amp;" Equity","ivol_mid")</f>
        <v>33.276629999999997</v>
      </c>
      <c r="W171" s="38" cm="1">
        <f t="array" ref="W171">_xll.BDP(B171&amp;" Equity","DELTA_MID_RT")</f>
        <v>0.58953726291656494</v>
      </c>
      <c r="X171" s="48">
        <f>Y171/'Master P&amp;L'!$AE$5</f>
        <v>1.3906339570236308E-3</v>
      </c>
      <c r="Y171" s="15">
        <f>IF(G171="Sell", S171*W171*-H171*O171/N171, S171*W171*H171*O171/N171)</f>
        <v>3123412.6342266798</v>
      </c>
      <c r="Z171" s="15" cm="1">
        <f t="array" ref="Z171">_xll.BDP($B171&amp;" Equity","opt_theta")*H171*O171/N171</f>
        <v>-1340.5425</v>
      </c>
      <c r="AA171" s="19" cm="1">
        <f t="array" ref="AA171">_xll.BDP($B171&amp;" Equity","opt_theta")/I171</f>
        <v>-2.4998461538461541E-3</v>
      </c>
      <c r="AB171" s="36" t="str" cm="1">
        <f t="array" ref="AB171">_xll.BDP($C171&amp;" Equity","EXPECTED_REPORT_DT")</f>
        <v>30/04/2026</v>
      </c>
      <c r="AC171" s="15">
        <f>S171*H171*O171/N171</f>
        <v>5298075</v>
      </c>
      <c r="AD171" s="19">
        <f>AC171/'Master P&amp;L'!$AE$5</f>
        <v>2.3588567585089903E-3</v>
      </c>
      <c r="AE171" t="str">
        <f>B171  &amp; " -&gt; Sell to open " &amp;   H171 &amp;"x"</f>
        <v>META US 07/17/26 C700 -&gt; Sell to open 75x</v>
      </c>
      <c r="AK171" t="s">
        <v>275</v>
      </c>
    </row>
    <row r="172" spans="1:37" hidden="1">
      <c r="H172" s="100" t="s">
        <v>116</v>
      </c>
      <c r="I172" s="102">
        <f>I170-I169-I171</f>
        <v>-32.4</v>
      </c>
      <c r="J172" s="100" t="s">
        <v>249</v>
      </c>
      <c r="K172" s="101">
        <f>K171/L170</f>
        <v>0.79663865546218482</v>
      </c>
      <c r="P172" s="130">
        <f>P170+P171+P169</f>
        <v>169650</v>
      </c>
      <c r="Q172" s="58">
        <f>P172/'Master P&amp;L'!$AD$5*10000</f>
        <v>0.75533103831306692</v>
      </c>
      <c r="S172" s="100" t="s">
        <v>251</v>
      </c>
      <c r="T172" s="102"/>
      <c r="W172" s="100" t="s">
        <v>252</v>
      </c>
      <c r="X172" s="122">
        <f>X170+X171+X169</f>
        <v>9.9461952678985975E-4</v>
      </c>
      <c r="AC172" s="100" t="s">
        <v>229</v>
      </c>
      <c r="AD172" s="122">
        <f>AD170</f>
        <v>2.3588567585089903E-3</v>
      </c>
    </row>
    <row r="173" spans="1:37" hidden="1">
      <c r="H173" s="100" t="s">
        <v>253</v>
      </c>
      <c r="I173" s="102"/>
      <c r="J173" s="100" t="s">
        <v>145</v>
      </c>
      <c r="K173" s="109">
        <f>-AVERAGE(K169:L169)+AVERAGE(K170:L170)-AVERAGE(K171:L171)</f>
        <v>-31.474999999999994</v>
      </c>
      <c r="P173" s="100"/>
      <c r="Q173" s="108"/>
      <c r="S173" s="100"/>
      <c r="T173" s="102"/>
      <c r="W173" s="100"/>
      <c r="X173" s="122"/>
      <c r="Y173" s="13">
        <f>(Y169+Y170+Y171)/S170</f>
        <v>3162.3990833759303</v>
      </c>
      <c r="AC173" s="100"/>
      <c r="AD173" s="104"/>
    </row>
    <row r="174" spans="1:37" hidden="1">
      <c r="D174" s="64"/>
      <c r="H174" s="96"/>
      <c r="I174" s="64">
        <f>(I170*A170)-(I171*A171)-(I169*A169)</f>
        <v>-15.899999999999999</v>
      </c>
      <c r="K174" s="64"/>
      <c r="N174" s="36"/>
      <c r="O174" s="162"/>
      <c r="P174" s="15"/>
      <c r="Q174" s="58"/>
    </row>
    <row r="175" spans="1:37" hidden="1">
      <c r="I175" s="21">
        <f>I171/I170</f>
        <v>0.8125</v>
      </c>
    </row>
    <row r="176" spans="1:37" hidden="1">
      <c r="I176" s="21"/>
    </row>
    <row r="177" spans="1:37" hidden="1">
      <c r="H177" s="276">
        <v>1</v>
      </c>
      <c r="I177" s="64" t="e">
        <f>I179-I178</f>
        <v>#VALUE!</v>
      </c>
      <c r="J177" s="18" t="e">
        <f>T178-T179</f>
        <v>#VALUE!</v>
      </c>
      <c r="K177" s="276" t="e">
        <f>(J177-I177)/I177</f>
        <v>#VALUE!</v>
      </c>
      <c r="Q177" s="276" t="e">
        <f>Q179+Q178</f>
        <v>#VALUE!</v>
      </c>
    </row>
    <row r="178" spans="1:37" hidden="1">
      <c r="A178" s="237"/>
      <c r="C178" t="str" cm="1">
        <f t="array" ref="C178">_xll.BDP(B178&amp;" Equity","OPT_UNDL_TICKER")</f>
        <v>#N/A Invalid Security</v>
      </c>
      <c r="D178" s="64" t="e">
        <f>A178*AVERAGE(K178:L178)</f>
        <v>#DIV/0!</v>
      </c>
      <c r="E178" t="str" cm="1">
        <f t="array" ref="E178">_xll.BDP($B178&amp;" Index","opt_days_expire")</f>
        <v>#N/A Invalid Security</v>
      </c>
      <c r="F178" t="str" cm="1">
        <f t="array" ref="F178">_xll.BDP(B178&amp;" Equity","QUOTED_CURRENCY_REALTIME")</f>
        <v>#N/A Invalid Security</v>
      </c>
      <c r="G178" s="105" t="s">
        <v>248</v>
      </c>
      <c r="H178" s="131">
        <f>H179*H177</f>
        <v>20</v>
      </c>
      <c r="I178" s="97" t="str">
        <f>IF(G178="Buy",L178,K178)</f>
        <v>#N/A Invalid Security</v>
      </c>
      <c r="J178" s="19" t="e">
        <f>I178/S178</f>
        <v>#VALUE!</v>
      </c>
      <c r="K178" s="36" t="str" cm="1">
        <f t="array" ref="K178">_xll.BDP($B178&amp;" Equity","bid")</f>
        <v>#N/A Invalid Security</v>
      </c>
      <c r="L178" s="36" t="str" cm="1">
        <f t="array" ref="L178">_xll.BDP($B178&amp;" Equity","ask")</f>
        <v>#N/A Invalid Security</v>
      </c>
      <c r="M178" s="40" t="e">
        <f>(L178/K178-1)</f>
        <v>#VALUE!</v>
      </c>
      <c r="N178" s="36" t="str" cm="1">
        <f t="array" ref="N178">_xll.BDP(F178&amp;" Curncy","PX_LAST")</f>
        <v>#N/A Invalid Security Curncy</v>
      </c>
      <c r="O178" s="162" t="str" cm="1">
        <f t="array" ref="O178">_xll.BDP(B178&amp;" Equity","OPT_MULTIPLIER")</f>
        <v>#N/A Invalid Security</v>
      </c>
      <c r="P178" s="15" t="e">
        <f>IF(G178="Buy",((I178/N178)*H178*O178),((I178/N178)*-H178*O178))</f>
        <v>#VALUE!</v>
      </c>
      <c r="Q178" s="58" t="e">
        <f>P178/'Master P&amp;L'!$AD$5*10000</f>
        <v>#VALUE!</v>
      </c>
      <c r="R178" s="37" t="e" cm="1">
        <f t="array" ref="R178">_xll.BDP($C178&amp;" Equity","EST_PE_NXT_YR")*(T178/S178)</f>
        <v>#VALUE!</v>
      </c>
      <c r="S178" s="36" t="str" cm="1">
        <f t="array" ref="S178">_xll.BDP(C178&amp;" Equity","LAST_PRICE")</f>
        <v>#N/A Invalid Security Equity</v>
      </c>
      <c r="T178" s="53" t="str" cm="1">
        <f t="array" ref="T178">_xll.BDP(B178&amp;" Equity","OPT_STRIKE_PX")</f>
        <v>#N/A Invalid Security</v>
      </c>
      <c r="U178" s="40" t="e">
        <f>T178/S178-1</f>
        <v>#VALUE!</v>
      </c>
      <c r="V178" s="37" t="str" cm="1">
        <f t="array" ref="V178">_xll.BDP($B178&amp;" Equity","ivol_mid")</f>
        <v>#N/A Invalid Security</v>
      </c>
      <c r="W178" s="38" t="str" cm="1">
        <f t="array" ref="W178">_xll.BDP(B178&amp;" Equity","DELTA_MID_RT")</f>
        <v>#N/A Invalid Security</v>
      </c>
      <c r="X178" s="48" t="e">
        <f>Y178/'Master P&amp;L'!$AE$5</f>
        <v>#VALUE!</v>
      </c>
      <c r="Y178" s="15" t="e">
        <f>IF(G178="Sell", S178*W178*-H178*O178/N178, S178*W178*H178*O178/N178)</f>
        <v>#VALUE!</v>
      </c>
      <c r="Z178" s="15" t="e" cm="1">
        <f t="array" ref="Z178">_xll.BDP($B178&amp;" Equity","opt_theta")*H178*O178/N178</f>
        <v>#VALUE!</v>
      </c>
      <c r="AA178" s="19" t="e" cm="1">
        <f t="array" ref="AA178">_xll.BDP($B178&amp;" Equity","opt_theta")/I178</f>
        <v>#VALUE!</v>
      </c>
      <c r="AB178" s="36" t="str" cm="1">
        <f t="array" ref="AB178">_xll.BDP($C178&amp;" Equity","EXPECTED_REPORT_DT")</f>
        <v>#N/A Invalid Security Equity</v>
      </c>
      <c r="AC178" s="15" t="e">
        <f>S178*H178*O178/N178</f>
        <v>#VALUE!</v>
      </c>
      <c r="AD178" s="19" t="e">
        <f>AC178/'Master P&amp;L'!$AE$5</f>
        <v>#VALUE!</v>
      </c>
      <c r="AE178" t="str">
        <f>B178  &amp; " - Buy to open " &amp;  "-" &amp; H178 &amp;"x"</f>
        <v xml:space="preserve"> - Buy to open -20x</v>
      </c>
      <c r="AK178" s="59"/>
    </row>
    <row r="179" spans="1:37" hidden="1">
      <c r="A179" s="237"/>
      <c r="B179" s="73"/>
      <c r="C179" t="str" cm="1">
        <f t="array" ref="C179">_xll.BDP(B179&amp;" Equity","OPT_UNDL_TICKER")</f>
        <v>#N/A Invalid Security</v>
      </c>
      <c r="D179" s="64" t="e">
        <f>A179*AVERAGE(K179:L179)</f>
        <v>#DIV/0!</v>
      </c>
      <c r="E179" t="str" cm="1">
        <f t="array" ref="E179">_xll.BDP($B179&amp;" Index","opt_days_expire")</f>
        <v>#N/A Invalid Security</v>
      </c>
      <c r="F179" t="str" cm="1">
        <f t="array" ref="F179">_xll.BDP(B179&amp;" Equity","QUOTED_CURRENCY_REALTIME")</f>
        <v>#N/A Invalid Security</v>
      </c>
      <c r="G179" s="105" t="s">
        <v>247</v>
      </c>
      <c r="H179" s="131">
        <v>20</v>
      </c>
      <c r="I179" s="97" t="str">
        <f>IF(G179="Buy",L179,K179)</f>
        <v>#N/A Invalid Security</v>
      </c>
      <c r="J179" s="19" t="e">
        <f>I179/S179</f>
        <v>#VALUE!</v>
      </c>
      <c r="K179" s="36" t="str" cm="1">
        <f t="array" ref="K179">_xll.BDP($B179&amp;" Equity","bid")</f>
        <v>#N/A Invalid Security</v>
      </c>
      <c r="L179" s="36" t="str" cm="1">
        <f t="array" ref="L179">_xll.BDP($B179&amp;" Equity","ask")</f>
        <v>#N/A Invalid Security</v>
      </c>
      <c r="M179" s="40" t="e">
        <f>(L179/K179-1)</f>
        <v>#VALUE!</v>
      </c>
      <c r="N179" s="36" t="str" cm="1">
        <f t="array" ref="N179">_xll.BDP(F179&amp;" Curncy","PX_LAST")</f>
        <v>#N/A Invalid Security Curncy</v>
      </c>
      <c r="O179" s="162" t="str" cm="1">
        <f t="array" ref="O179">_xll.BDP(B179&amp;" Equity","OPT_MULTIPLIER")</f>
        <v>#N/A Invalid Security</v>
      </c>
      <c r="P179" s="15" t="e">
        <f>IF(G179="Buy",((I179/N179)*H179*O179),((I179/N179)*-H179*O179))</f>
        <v>#VALUE!</v>
      </c>
      <c r="Q179" s="58" t="e">
        <f>P179/'Master P&amp;L'!$AD$5*10000</f>
        <v>#VALUE!</v>
      </c>
      <c r="R179" s="37" t="e" cm="1">
        <f t="array" ref="R179">_xll.BDP($C179&amp;" Equity","EST_PE_NXT_YR")*(T179/S179)</f>
        <v>#VALUE!</v>
      </c>
      <c r="S179" s="36" t="str" cm="1">
        <f t="array" ref="S179">_xll.BDP(C179&amp;" Equity","LAST_PRICE")</f>
        <v>#N/A Invalid Security Equity</v>
      </c>
      <c r="T179" s="53" t="str" cm="1">
        <f t="array" ref="T179">_xll.BDP(B179&amp;" Equity","OPT_STRIKE_PX")</f>
        <v>#N/A Invalid Security</v>
      </c>
      <c r="U179" s="40" t="e">
        <f>T179/S179-1</f>
        <v>#VALUE!</v>
      </c>
      <c r="V179" s="37" t="str" cm="1">
        <f t="array" ref="V179">_xll.BDP($B179&amp;" Equity","ivol_mid")</f>
        <v>#N/A Invalid Security</v>
      </c>
      <c r="W179" s="38" t="str" cm="1">
        <f t="array" ref="W179">_xll.BDP(B179&amp;" Equity","DELTA_MID_RT")</f>
        <v>#N/A Invalid Security</v>
      </c>
      <c r="X179" s="48" t="e">
        <f>Y179/'Master P&amp;L'!$AE$5</f>
        <v>#VALUE!</v>
      </c>
      <c r="Y179" s="15" t="e">
        <f>IF(G179="Sell", S179*W179*-H179*O179/N179, S179*W179*H179*O179/N179)</f>
        <v>#VALUE!</v>
      </c>
      <c r="Z179" s="15" t="e" cm="1">
        <f t="array" ref="Z179">_xll.BDP($B179&amp;" Equity","opt_theta")*H179*O179/N179</f>
        <v>#VALUE!</v>
      </c>
      <c r="AA179" s="19" t="e" cm="1">
        <f t="array" ref="AA179">_xll.BDP($B179&amp;" Equity","opt_theta")/I179</f>
        <v>#VALUE!</v>
      </c>
      <c r="AB179" s="36" t="str" cm="1">
        <f t="array" ref="AB179">_xll.BDP($C179&amp;" Equity","EXPECTED_REPORT_DT")</f>
        <v>#N/A Invalid Security Equity</v>
      </c>
      <c r="AC179" s="15" t="e">
        <f>S179*H179*O179/N179</f>
        <v>#VALUE!</v>
      </c>
      <c r="AD179" s="48" t="e">
        <f>AC179/'Master P&amp;L'!$AE$5</f>
        <v>#VALUE!</v>
      </c>
      <c r="AE179" t="str">
        <f>B179&amp;" -&gt; Buy to open "&amp;H179&amp;"x"</f>
        <v xml:space="preserve"> -&gt; Buy to open 20x</v>
      </c>
    </row>
    <row r="180" spans="1:37" hidden="1">
      <c r="A180" s="237"/>
      <c r="B180" t="s">
        <v>2293</v>
      </c>
      <c r="C180" t="str" cm="1">
        <f t="array" ref="C180">_xll.BDP(B180&amp;" Equity","OPT_UNDL_TICKER")</f>
        <v>META US</v>
      </c>
      <c r="D180" s="64">
        <f>A180*AVERAGE(K180:L180)</f>
        <v>0</v>
      </c>
      <c r="E180" cm="1">
        <f t="array" ref="E180">_xll.BDP($B180&amp;" Index","opt_days_expire")</f>
        <v>25</v>
      </c>
      <c r="F180" t="str" cm="1">
        <f t="array" ref="F180">_xll.BDP(B180&amp;" Equity","QUOTED_CURRENCY_REALTIME")</f>
        <v>USD</v>
      </c>
      <c r="G180" s="105" t="s">
        <v>247</v>
      </c>
      <c r="H180" s="131">
        <v>35</v>
      </c>
      <c r="I180" s="97">
        <f>IF(G180="Buy",L180,K180)</f>
        <v>54.85</v>
      </c>
      <c r="J180" s="19">
        <f>I180/S180</f>
        <v>7.7646126187341638E-2</v>
      </c>
      <c r="K180" s="36" cm="1">
        <f t="array" ref="K180">_xll.BDP($B180&amp;" Equity","bid")</f>
        <v>53.1</v>
      </c>
      <c r="L180" s="36" cm="1">
        <f t="array" ref="L180">_xll.BDP($B180&amp;" Equity","ask")</f>
        <v>54.85</v>
      </c>
      <c r="M180" s="40">
        <f>(L180/K180-1)</f>
        <v>3.2956685499058391E-2</v>
      </c>
      <c r="N180" s="36" cm="1">
        <f t="array" ref="N180">_xll.BDP(F180&amp;" Curncy","PX_LAST")</f>
        <v>1</v>
      </c>
      <c r="O180" s="162" cm="1">
        <f t="array" ref="O180">_xll.BDP(B180&amp;" Equity","OPT_MULTIPLIER")</f>
        <v>100</v>
      </c>
      <c r="P180" s="15">
        <f>IF(G180="Buy",((I180/N180)*H180*O180),((I180/N180)*-H180*O180))</f>
        <v>191975</v>
      </c>
      <c r="Q180" s="58">
        <f>P180/'Master P&amp;L'!$AD$5*10000</f>
        <v>0.85472841780224595</v>
      </c>
      <c r="R180" s="37" cm="1">
        <f t="array" ref="R180">_xll.BDP($C180&amp;" Equity","EST_PE_NXT_YR")*(T180/S180)</f>
        <v>17.716940771383868</v>
      </c>
      <c r="S180" s="36" cm="1">
        <f t="array" ref="S180">_xll.BDP(C180&amp;" Equity","LAST_PRICE")</f>
        <v>706.41</v>
      </c>
      <c r="T180" s="53" cm="1">
        <f t="array" ref="T180">_xll.BDP(B180&amp;" Equity","OPT_STRIKE_PX")</f>
        <v>660</v>
      </c>
      <c r="U180" s="40">
        <f>T180/S180-1</f>
        <v>-6.5698390453136191E-2</v>
      </c>
      <c r="V180" s="37" cm="1">
        <f t="array" ref="V180">_xll.BDP(B180&amp;" Equity","ivol_mid")</f>
        <v>29.743739999999999</v>
      </c>
      <c r="W180" s="38" cm="1">
        <f t="array" ref="W180">_xll.BDP(B180&amp;" Equity","DELTA_MID_RT")</f>
        <v>0.81828278303146362</v>
      </c>
      <c r="X180" s="48">
        <f>Y180/'Master P&amp;L'!$AE$5</f>
        <v>9.0076554079181301E-4</v>
      </c>
      <c r="Y180" s="15">
        <f>IF(G180="Sell", S180*W180*-H180*O180/N180, S180*W180*H180*O180/N180)</f>
        <v>2023150.9926643965</v>
      </c>
      <c r="Z180" s="15" cm="1">
        <f t="array" ref="Z180">_xll.BDP($B180&amp;" Equity","opt_theta")*H180*O180/N180</f>
        <v>-865.54649999999992</v>
      </c>
      <c r="AA180" s="19" cm="1">
        <f t="array" ref="AA180">_xll.BDP($B180&amp;" Equity","opt_theta")/I180</f>
        <v>-4.5086417502278936E-3</v>
      </c>
      <c r="AB180" s="36" t="str" cm="1">
        <f t="array" ref="AB180">_xll.BDP($C180&amp;" Equity","EXPECTED_REPORT_DT")</f>
        <v>30/04/2026</v>
      </c>
      <c r="AC180" s="15">
        <f>S180*H180*O180/N180</f>
        <v>2472435</v>
      </c>
      <c r="AD180" s="19">
        <f>AC180/'Master P&amp;L'!$AE$5</f>
        <v>1.1007998206375288E-3</v>
      </c>
      <c r="AE180" t="str">
        <f>B180  &amp; " -&gt; Sell to open " &amp;   H180 &amp;"x"</f>
        <v>META US 02/27/26 C660 -&gt; Sell to open 35x</v>
      </c>
    </row>
    <row r="181" spans="1:37" hidden="1">
      <c r="H181" s="100" t="s">
        <v>116</v>
      </c>
      <c r="I181" s="102" t="e">
        <f>I179-I178-I180</f>
        <v>#VALUE!</v>
      </c>
      <c r="J181" s="100" t="s">
        <v>249</v>
      </c>
      <c r="K181" s="101" t="e">
        <f>K180/L179</f>
        <v>#VALUE!</v>
      </c>
      <c r="P181" s="130" t="e">
        <f>P179+P180+P178</f>
        <v>#VALUE!</v>
      </c>
      <c r="Q181" s="58" t="e">
        <f>P181/'Master P&amp;L'!$AD$5*10000</f>
        <v>#VALUE!</v>
      </c>
      <c r="S181" s="100" t="s">
        <v>251</v>
      </c>
      <c r="T181" s="102"/>
      <c r="W181" s="100" t="s">
        <v>252</v>
      </c>
      <c r="X181" s="122" t="e">
        <f>X179+X180+X178</f>
        <v>#VALUE!</v>
      </c>
      <c r="AC181" s="100" t="s">
        <v>229</v>
      </c>
      <c r="AD181" s="122" t="e">
        <f>AD179</f>
        <v>#VALUE!</v>
      </c>
    </row>
    <row r="182" spans="1:37" hidden="1">
      <c r="H182" s="100" t="s">
        <v>253</v>
      </c>
      <c r="I182" s="102"/>
      <c r="J182" s="100" t="s">
        <v>145</v>
      </c>
      <c r="K182" s="109" t="e">
        <f>-AVERAGE(K178:L178)+AVERAGE(K179:L179)-AVERAGE(K180:L180)</f>
        <v>#DIV/0!</v>
      </c>
      <c r="P182" s="100"/>
      <c r="Q182" s="108"/>
      <c r="S182" s="100"/>
      <c r="T182" s="102"/>
      <c r="W182" s="100"/>
      <c r="X182" s="122"/>
      <c r="Y182" s="13" t="e">
        <f>(Y178+Y179+Y180)/S179</f>
        <v>#VALUE!</v>
      </c>
      <c r="AC182" s="100"/>
      <c r="AD182" s="104"/>
    </row>
    <row r="183" spans="1:37" hidden="1">
      <c r="D183" s="64"/>
      <c r="H183" s="96"/>
      <c r="I183" s="64" t="e">
        <f>(I179*A179)-(I180*A180)-(I178*A178)</f>
        <v>#VALUE!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>
        <f>I187-I186</f>
        <v>1.33</v>
      </c>
      <c r="J185" s="18">
        <f>T186-T187</f>
        <v>6</v>
      </c>
      <c r="K185" s="276">
        <f>(J185-I185)/I185</f>
        <v>3.5112781954887216</v>
      </c>
      <c r="Q185" s="276">
        <f>Q187+Q186</f>
        <v>-0.10362705521212282</v>
      </c>
    </row>
    <row r="186" spans="1:37">
      <c r="A186" s="237">
        <v>1</v>
      </c>
      <c r="B186" t="s">
        <v>2487</v>
      </c>
      <c r="C186" t="str" cm="1">
        <f t="array" ref="C186">_xll.BDP(B186&amp;" Equity","OPT_UNDL_TICKER")</f>
        <v>QQQ US</v>
      </c>
      <c r="D186" s="64">
        <f>A186*AVERAGE(K186:L186)</f>
        <v>0.45</v>
      </c>
      <c r="E186" cm="1">
        <f t="array" ref="E186">_xll.BDP($B186&amp;" Index","opt_days_expire")</f>
        <v>4</v>
      </c>
      <c r="F186" t="str" cm="1">
        <f t="array" ref="F186">_xll.BDP(B186&amp;" Equity","QUOTED_CURRENCY_REALTIME")</f>
        <v>USD</v>
      </c>
      <c r="G186" s="105" t="s">
        <v>247</v>
      </c>
      <c r="H186" s="131">
        <f>H187</f>
        <v>175</v>
      </c>
      <c r="I186" s="97">
        <f>IF(G186="Buy",L186,K186)</f>
        <v>0.46</v>
      </c>
      <c r="J186" s="19">
        <f>I186/S186</f>
        <v>7.3465998019612232E-4</v>
      </c>
      <c r="K186" s="36" cm="1">
        <f t="array" ref="K186">_xll.BDP($B186&amp;" Equity","bid")</f>
        <v>0.44</v>
      </c>
      <c r="L186" s="36" cm="1">
        <f t="array" ref="L186">_xll.BDP($B186&amp;" Equity","ask")</f>
        <v>0.46</v>
      </c>
      <c r="M186" s="40">
        <f>(L186/K186-1)</f>
        <v>4.5454545454545414E-2</v>
      </c>
      <c r="N186" s="36" cm="1">
        <f t="array" ref="N186">_xll.BDP(F186&amp;" Curncy","PX_LAST")</f>
        <v>1</v>
      </c>
      <c r="O186" s="162" cm="1">
        <f t="array" ref="O186">_xll.BDP(B186&amp;" Equity","OPT_MULTIPLIER")</f>
        <v>100</v>
      </c>
      <c r="P186" s="15">
        <f>IF(G186="Buy",((I186/N186)*H186*O186),((I186/N186)*-H186*O186))</f>
        <v>8050</v>
      </c>
      <c r="Q186" s="58">
        <f>P186/'Master P&amp;L'!$AD$5*10000</f>
        <v>3.5840936389155253E-2</v>
      </c>
      <c r="R186" s="37" t="e" cm="1">
        <f t="array" ref="R186">_xll.BDP($C186&amp;" Equity","EST_PE_NXT_YR")*(T186/S186)</f>
        <v>#VALUE!</v>
      </c>
      <c r="S186" s="36" cm="1">
        <f t="array" ref="S186">_xll.BDP(C186&amp;" Equity","LAST_PRICE")</f>
        <v>626.14</v>
      </c>
      <c r="T186" s="53" cm="1">
        <f t="array" ref="T186">_xll.BDP(B186&amp;" Equity","OPT_STRIKE_PX")</f>
        <v>640</v>
      </c>
      <c r="U186" s="40">
        <f>T186/S186-1</f>
        <v>2.2135624620691852E-2</v>
      </c>
      <c r="V186" s="37" cm="1">
        <f t="array" ref="V186">_xll.BDP($B186&amp;" Equity","ivol_mid")</f>
        <v>12.24896</v>
      </c>
      <c r="W186" s="38" cm="1">
        <f t="array" ref="W186">_xll.BDP(B186&amp;" Equity","DELTA_MID_RT")</f>
        <v>9.4857342541217804E-2</v>
      </c>
      <c r="X186" s="48">
        <f>Y186/'Master P&amp;L'!$AE$5</f>
        <v>4.6276863742550746E-4</v>
      </c>
      <c r="Y186" s="15">
        <f>IF(G186="Sell", S186*W186*-H186*O186/N186, S186*W186*H186*O186/N186)</f>
        <v>1039394.588028267</v>
      </c>
      <c r="Z186" s="15" cm="1">
        <f t="array" ref="Z186">_xll.BDP($B186&amp;" Equity","opt_theta")*H186*O186/N186</f>
        <v>-2604.2625000000003</v>
      </c>
      <c r="AA186" s="19" cm="1">
        <f t="array" ref="AA186">_xll.BDP($B186&amp;" Equity","opt_theta")/I186</f>
        <v>-0.32351086956521741</v>
      </c>
      <c r="AB186" s="36" t="str" cm="1">
        <f t="array" ref="AB186">_xll.BDP($C186&amp;" Equity","EXPECTED_REPORT_DT")</f>
        <v>#N/A N/A</v>
      </c>
      <c r="AC186" s="15">
        <f>S186*H186*O186/N186</f>
        <v>10957450</v>
      </c>
      <c r="AD186" s="19">
        <f>AC186/'Master P&amp;L'!$AE$5</f>
        <v>4.8785747631968851E-3</v>
      </c>
      <c r="AE186" t="str">
        <f>B186  &amp; " - Buy to open " &amp;  "-" &amp; H186 &amp;"x"</f>
        <v>QQQ US 02/06/26 C640 - Buy to open -175x</v>
      </c>
      <c r="AK186" s="59"/>
    </row>
    <row r="187" spans="1:37">
      <c r="A187" s="237">
        <v>2</v>
      </c>
      <c r="B187" t="s">
        <v>2484</v>
      </c>
      <c r="C187" t="str" cm="1">
        <f t="array" ref="C187">_xll.BDP(B187&amp;" Equity","OPT_UNDL_TICKER")</f>
        <v>QQQ US</v>
      </c>
      <c r="D187" s="64">
        <f>A187*AVERAGE(K187:L187)</f>
        <v>3.62</v>
      </c>
      <c r="E187" cm="1">
        <f t="array" ref="E187">_xll.BDP($B187&amp;" Index","opt_days_expire")</f>
        <v>4</v>
      </c>
      <c r="F187" t="str" cm="1">
        <f t="array" ref="F187">_xll.BDP(B187&amp;" Equity","QUOTED_CURRENCY_REALTIME")</f>
        <v>USD</v>
      </c>
      <c r="G187" s="105" t="s">
        <v>248</v>
      </c>
      <c r="H187" s="131">
        <v>175</v>
      </c>
      <c r="I187" s="97">
        <f>IF(G187="Buy",L187,K187)</f>
        <v>1.79</v>
      </c>
      <c r="J187" s="19">
        <f>I187/S187</f>
        <v>2.8587855751109979E-3</v>
      </c>
      <c r="K187" s="36" cm="1">
        <f t="array" ref="K187">_xll.BDP($B187&amp;" Equity","bid")</f>
        <v>1.79</v>
      </c>
      <c r="L187" s="36" cm="1">
        <f t="array" ref="L187">_xll.BDP($B187&amp;" Equity","ask")</f>
        <v>1.83</v>
      </c>
      <c r="M187" s="40">
        <f>(L187/K187-1)</f>
        <v>2.2346368715083775E-2</v>
      </c>
      <c r="N187" s="36" cm="1">
        <f t="array" ref="N187">_xll.BDP(F187&amp;" Curncy","PX_LAST")</f>
        <v>1</v>
      </c>
      <c r="O187" s="162" cm="1">
        <f t="array" ref="O187">_xll.BDP(B187&amp;" Equity","OPT_MULTIPLIER")</f>
        <v>100</v>
      </c>
      <c r="P187" s="15">
        <f>IF(G187="Buy",((I187/N187)*H187*O187),((I187/N187)*-H187*O187))</f>
        <v>-31325</v>
      </c>
      <c r="Q187" s="58">
        <f>P187/'Master P&amp;L'!$AD$5*10000</f>
        <v>-0.13946799160127807</v>
      </c>
      <c r="R187" s="37" t="e" cm="1">
        <f t="array" ref="R187">_xll.BDP($C187&amp;" Equity","EST_PE_NXT_YR")*(T187/S187)</f>
        <v>#VALUE!</v>
      </c>
      <c r="S187" s="36" cm="1">
        <f t="array" ref="S187">_xll.BDP(C187&amp;" Equity","LAST_PRICE")</f>
        <v>626.14</v>
      </c>
      <c r="T187" s="53" cm="1">
        <f t="array" ref="T187">_xll.BDP(B187&amp;" Equity","OPT_STRIKE_PX")</f>
        <v>634</v>
      </c>
      <c r="U187" s="40">
        <f>T187/S187-1</f>
        <v>1.2553103139872901E-2</v>
      </c>
      <c r="V187" s="37" cm="1">
        <f t="array" ref="V187">_xll.BDP($B187&amp;" Equity","ivol_mid")</f>
        <v>13.555910000000001</v>
      </c>
      <c r="W187" s="38" cm="1">
        <f t="array" ref="W187">_xll.BDP(B187&amp;" Equity","DELTA_MID_RT")</f>
        <v>0.26045334339141846</v>
      </c>
      <c r="X187" s="48">
        <f>Y187/'Master P&amp;L'!$AE$5</f>
        <v>-1.2706411080596262E-3</v>
      </c>
      <c r="Y187" s="15">
        <f>IF(G187="Sell", S187*W187*-H187*O187/N187, S187*W187*H187*O187/N187)</f>
        <v>-2853904.4875442982</v>
      </c>
      <c r="Z187" s="15" cm="1">
        <f t="array" ref="Z187">_xll.BDP($B187&amp;" Equity","opt_theta")*H187*O187/N187</f>
        <v>-5739.09</v>
      </c>
      <c r="AA187" s="19" cm="1">
        <f t="array" ref="AA187">_xll.BDP($B187&amp;" Equity","opt_theta")/I187</f>
        <v>-0.18321117318435753</v>
      </c>
      <c r="AB187" s="36" t="str" cm="1">
        <f t="array" ref="AB187">_xll.BDP($C187&amp;" Equity","EXPECTED_REPORT_DT")</f>
        <v>#N/A N/A</v>
      </c>
      <c r="AC187" s="15">
        <f>S187*H187*O187/N187</f>
        <v>10957450</v>
      </c>
      <c r="AD187" s="48">
        <f>AC187/'Master P&amp;L'!$AE$5</f>
        <v>4.8785747631968851E-3</v>
      </c>
      <c r="AE187" t="str">
        <f>B187&amp;" -&gt; Buy to open "&amp;H187&amp;"x"</f>
        <v>QQQ US 02/06/26 C634 -&gt; Buy to open 175x</v>
      </c>
    </row>
    <row r="188" spans="1:37">
      <c r="A188" s="237">
        <v>2</v>
      </c>
      <c r="B188" t="s">
        <v>2485</v>
      </c>
      <c r="C188" t="str" cm="1">
        <f t="array" ref="C188">_xll.BDP(B188&amp;" Equity","OPT_UNDL_TICKER")</f>
        <v>QQQ US</v>
      </c>
      <c r="D188" s="64">
        <f>A188*AVERAGE(K188:L188)</f>
        <v>7.76</v>
      </c>
      <c r="E188" cm="1">
        <f t="array" ref="E188">_xll.BDP($B188&amp;" Index","opt_days_expire")</f>
        <v>4</v>
      </c>
      <c r="F188" t="str" cm="1">
        <f t="array" ref="F188">_xll.BDP(B188&amp;" Equity","QUOTED_CURRENCY_REALTIME")</f>
        <v>USD</v>
      </c>
      <c r="G188" s="105" t="s">
        <v>247</v>
      </c>
      <c r="H188" s="131">
        <f>H187</f>
        <v>175</v>
      </c>
      <c r="I188" s="97">
        <f>IF(G188="Buy",L188,K188)</f>
        <v>3.91</v>
      </c>
      <c r="J188" s="19">
        <f>I188/S188</f>
        <v>6.2446098316670398E-3</v>
      </c>
      <c r="K188" s="36" cm="1">
        <f t="array" ref="K188">_xll.BDP($B188&amp;" Equity","bid")</f>
        <v>3.85</v>
      </c>
      <c r="L188" s="36" cm="1">
        <f t="array" ref="L188">_xll.BDP($B188&amp;" Equity","ask")</f>
        <v>3.91</v>
      </c>
      <c r="M188" s="40">
        <f>(L188/K188-1)</f>
        <v>1.558441558441559E-2</v>
      </c>
      <c r="N188" s="36" cm="1">
        <f t="array" ref="N188">_xll.BDP(F188&amp;" Curncy","PX_LAST")</f>
        <v>1</v>
      </c>
      <c r="O188" s="162" cm="1">
        <f t="array" ref="O188">_xll.BDP(B188&amp;" Equity","OPT_MULTIPLIER")</f>
        <v>100</v>
      </c>
      <c r="P188" s="15">
        <f>IF(G188="Buy",((I188/N188)*H188*O188),((I188/N188)*-H188*O188))</f>
        <v>68425</v>
      </c>
      <c r="Q188" s="58">
        <f>P188/'Master P&amp;L'!$AD$5*10000</f>
        <v>0.30464795930781968</v>
      </c>
      <c r="R188" s="37" t="e" cm="1">
        <f t="array" ref="R188">_xll.BDP($C188&amp;" Equity","EST_PE_NXT_YR")*(T188/S188)</f>
        <v>#VALUE!</v>
      </c>
      <c r="S188" s="36" cm="1">
        <f t="array" ref="S188">_xll.BDP(C188&amp;" Equity","LAST_PRICE")</f>
        <v>626.14</v>
      </c>
      <c r="T188" s="53" cm="1">
        <f t="array" ref="T188">_xll.BDP(B188&amp;" Equity","OPT_STRIKE_PX")</f>
        <v>624</v>
      </c>
      <c r="U188" s="40">
        <f>T188/S188-1</f>
        <v>-3.4177659948254613E-3</v>
      </c>
      <c r="V188" s="37" cm="1">
        <f t="array" ref="V188">_xll.BDP(B188&amp;" Equity","ivol_mid")</f>
        <v>16.320260000000001</v>
      </c>
      <c r="W188" s="38" cm="1">
        <f t="array" ref="W188">_xll.BDP(B188&amp;" Equity","DELTA_MID_RT")</f>
        <v>-0.4201296865940094</v>
      </c>
      <c r="X188" s="48">
        <f>Y188/'Master P&amp;L'!$AE$5</f>
        <v>-2.0496340862873512E-3</v>
      </c>
      <c r="Y188" s="15">
        <f>IF(G188="Sell", S188*W188*-H188*O188/N188, S188*W188*H188*O188/N188)</f>
        <v>-4603550.0343695283</v>
      </c>
      <c r="Z188" s="15" cm="1">
        <f t="array" ref="Z188">_xll.BDP($B188&amp;" Equity","opt_theta")*H188*O188/N188</f>
        <v>-7626.2374999999993</v>
      </c>
      <c r="AA188" s="19" cm="1">
        <f t="array" ref="AA188">_xll.BDP($B188&amp;" Equity","opt_theta")/I188</f>
        <v>-0.11145396419437339</v>
      </c>
      <c r="AB188" s="36" t="str" cm="1">
        <f t="array" ref="AB188">_xll.BDP($C188&amp;" Equity","EXPECTED_REPORT_DT")</f>
        <v>#N/A N/A</v>
      </c>
      <c r="AC188" s="15">
        <f>S188*H188*O188/N188</f>
        <v>10957450</v>
      </c>
      <c r="AD188" s="19">
        <f>AC188/'Master P&amp;L'!$AE$5</f>
        <v>4.8785747631968851E-3</v>
      </c>
      <c r="AE188" t="str">
        <f>B188  &amp; " -&gt; Sell to open " &amp;   H188 &amp;"x"</f>
        <v>QQQ US 02/06/26 P624 -&gt; Sell to open 175x</v>
      </c>
    </row>
    <row r="189" spans="1:37">
      <c r="H189" s="100" t="s">
        <v>116</v>
      </c>
      <c r="I189" s="102">
        <f>I187-I186-I188</f>
        <v>-2.58</v>
      </c>
      <c r="J189" s="100" t="s">
        <v>249</v>
      </c>
      <c r="K189" s="101">
        <f>K188/L187</f>
        <v>2.1038251366120218</v>
      </c>
      <c r="P189" s="130">
        <f>P187+P188+P186</f>
        <v>45150</v>
      </c>
      <c r="Q189" s="58">
        <f>P189/'Master P&amp;L'!$AD$5*10000</f>
        <v>0.20102090409569687</v>
      </c>
      <c r="S189" s="100" t="s">
        <v>251</v>
      </c>
      <c r="T189" s="102"/>
      <c r="W189" s="100" t="s">
        <v>252</v>
      </c>
      <c r="X189" s="122">
        <f>X187+X188+X186</f>
        <v>-2.85750655692147E-3</v>
      </c>
      <c r="AC189" s="100" t="s">
        <v>229</v>
      </c>
      <c r="AD189" s="122">
        <f>AD187</f>
        <v>4.8785747631968851E-3</v>
      </c>
    </row>
    <row r="190" spans="1:37">
      <c r="H190" s="100" t="s">
        <v>253</v>
      </c>
      <c r="I190" s="102"/>
      <c r="J190" s="100" t="s">
        <v>145</v>
      </c>
      <c r="K190" s="109">
        <f>-AVERAGE(K186:L186)+AVERAGE(K187:L187)-AVERAGE(K188:L188)</f>
        <v>-2.5199999999999996</v>
      </c>
      <c r="P190" s="100"/>
      <c r="Q190" s="108"/>
      <c r="S190" s="100"/>
      <c r="T190" s="102"/>
      <c r="W190" s="100"/>
      <c r="X190" s="122"/>
      <c r="Y190" s="13">
        <f>(Y186+Y187+Y188)/S187</f>
        <v>-10250.199530273676</v>
      </c>
      <c r="AC190" s="100"/>
      <c r="AD190" s="104"/>
    </row>
    <row r="191" spans="1:37">
      <c r="B191" s="268">
        <f>(H187*100*(T186-T187)+P189)/'Master P&amp;L'!$AD$5*10000</f>
        <v>0.66851137873685229</v>
      </c>
      <c r="D191" s="64"/>
      <c r="H191" s="96"/>
      <c r="I191" s="64">
        <f>I187-I186</f>
        <v>1.33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>
        <f>I196-I197</f>
        <v>5.0000000000000009</v>
      </c>
      <c r="Q193" s="64">
        <f>Q196+Q197</f>
        <v>0.33392176760082537</v>
      </c>
    </row>
    <row r="194" spans="1:37">
      <c r="A194">
        <v>300</v>
      </c>
      <c r="H194" s="276">
        <v>1</v>
      </c>
      <c r="I194" s="129">
        <f>(I196-I195)/I197</f>
        <v>1.1311475409836069</v>
      </c>
      <c r="K194" s="129"/>
      <c r="Q194" s="129">
        <f>(Q196+Q195)/Q197</f>
        <v>-1.1311475409836065</v>
      </c>
    </row>
    <row r="195" spans="1:37">
      <c r="A195" s="237">
        <v>1</v>
      </c>
      <c r="B195" s="132" t="s">
        <v>2326</v>
      </c>
      <c r="C195" t="str" cm="1">
        <f t="array" ref="C195">_xll.BDP(B195&amp;" Equity","OPT_UNDL_TICKER")</f>
        <v>INTC US</v>
      </c>
      <c r="D195" t="str" cm="1">
        <f t="array" ref="D195">_xll.BDP($B195&amp;" Index","mifid_Maturity_date")</f>
        <v>#N/A Invalid Security</v>
      </c>
      <c r="E195" t="str" cm="1">
        <f t="array" ref="E195">_xll.BDP($B195&amp;" Index","opt_days_expire")</f>
        <v>#N/A Invalid Security</v>
      </c>
      <c r="F195" t="str" cm="1">
        <f t="array" ref="F195">_xll.BDP(B195&amp;" Equity","QUOTED_CURRENCY_REALTIME")</f>
        <v>USD</v>
      </c>
      <c r="G195" s="105" t="s">
        <v>248</v>
      </c>
      <c r="H195" s="131">
        <f>H194*H196</f>
        <v>150</v>
      </c>
      <c r="I195" s="97">
        <f>IF(G195="Buy",L195,K195)</f>
        <v>4.5999999999999996</v>
      </c>
      <c r="J195" s="19">
        <f>I195/S195</f>
        <v>9.4242982995287841E-2</v>
      </c>
      <c r="K195" s="36" cm="1">
        <f t="array" ref="K195">_xll.BDP($B195&amp;" Equity","bid")</f>
        <v>4.5999999999999996</v>
      </c>
      <c r="L195" s="36" cm="1">
        <f t="array" ref="L195">_xll.BDP($B195&amp;" Equity","ask")</f>
        <v>4.8499999999999996</v>
      </c>
      <c r="M195" s="40">
        <f>(L195/K195-1)</f>
        <v>5.4347826086956541E-2</v>
      </c>
      <c r="N195" s="36" cm="1">
        <f t="array" ref="N195">_xll.BDP(F195&amp;" Curncy","PX_LAST")</f>
        <v>1</v>
      </c>
      <c r="O195" s="162" cm="1">
        <f t="array" ref="O195">_xll.BDP(B195&amp;" Equity","OPT_MULTIPLIER")</f>
        <v>100</v>
      </c>
      <c r="P195" s="15">
        <f>IF(G195="Buy",((I195/N195)*H195*O195),((I195/N195)*-H195*O195))</f>
        <v>-69000</v>
      </c>
      <c r="Q195" s="58">
        <f>P195/'Master P&amp;L'!$AD$5*10000</f>
        <v>-0.30720802619275939</v>
      </c>
      <c r="R195" s="37" cm="1">
        <f t="array" ref="R195">_xll.BDP($C195&amp;" Equity","EST_PE_NXT_YR")*(T195/S195)</f>
        <v>60.122142040320576</v>
      </c>
      <c r="S195" s="36" cm="1">
        <f t="array" ref="S195">_xll.BDP(C195&amp;" Equity","LAST_PRICE")</f>
        <v>48.81</v>
      </c>
      <c r="T195" s="53" cm="1">
        <f t="array" ref="T195">_xll.BDP(B195&amp;" Equity","OPT_STRIKE_PX")</f>
        <v>60</v>
      </c>
      <c r="U195" s="40">
        <f>T195/S195-1</f>
        <v>0.22925629993853702</v>
      </c>
      <c r="V195" s="37" cm="1">
        <f t="array" ref="V195">_xll.BDP($B195&amp;" Equity","ivol_mid")</f>
        <v>62.225290000000001</v>
      </c>
      <c r="W195" s="38" cm="1">
        <f t="array" ref="W195">_xll.BDP(B195&amp;" Equity","DELTA_MID_RT")</f>
        <v>0.40375694632530212</v>
      </c>
      <c r="X195" s="48">
        <f>Y195/'Master P&amp;L'!$AE$5</f>
        <v>-1.3161444024794271E-4</v>
      </c>
      <c r="Y195" s="15">
        <f>IF(G195="Sell", S195*W195*-H195*O195/N195, S195*W195*H195*O195/N195)</f>
        <v>-295610.64825206995</v>
      </c>
      <c r="Z195" s="15" cm="1">
        <f t="array" ref="Z195">_xll.BDP($B195&amp;" Equity","opt_theta")*H195*O195/N195</f>
        <v>-356.505</v>
      </c>
      <c r="AA195" s="19" cm="1">
        <f t="array" ref="AA195">_xll.BDP($B195&amp;" Equity","opt_theta")/I195</f>
        <v>-5.1667391304347828E-3</v>
      </c>
      <c r="AB195" s="36" t="str" cm="1">
        <f t="array" ref="AB195">_xll.BDP($C195&amp;" Equity","EXPECTED_REPORT_DT")</f>
        <v>24/04/2026</v>
      </c>
      <c r="AC195" s="15">
        <f>S195*H195*O195/N195</f>
        <v>732150</v>
      </c>
      <c r="AD195" s="19">
        <f>AC195/'Master P&amp;L'!$AE$5</f>
        <v>3.2597442953192574E-4</v>
      </c>
      <c r="AE195" t="str">
        <f>B195  &amp; " - Buy to open " &amp;  "-" &amp; H195 &amp;"x"</f>
        <v>INTC US 07/17/26 C60 - Buy to open -150x</v>
      </c>
      <c r="AK195" s="59" t="s">
        <v>1813</v>
      </c>
    </row>
    <row r="196" spans="1:37">
      <c r="A196" s="237">
        <v>2</v>
      </c>
      <c r="B196" s="132" t="s">
        <v>2325</v>
      </c>
      <c r="C196" t="str" cm="1">
        <f t="array" ref="C196">_xll.BDP(B196&amp;" Equity","OPT_UNDL_TICKER")</f>
        <v>INTC US</v>
      </c>
      <c r="D196" t="str" cm="1">
        <f t="array" ref="D196">_xll.BDP($B196&amp;" Index","mifid_Maturity_date")</f>
        <v>#N/A Invalid Security</v>
      </c>
      <c r="E196" t="str" cm="1">
        <f t="array" ref="E196">_xll.BDP($B196&amp;" Index","opt_days_expire")</f>
        <v>#N/A Invalid Security</v>
      </c>
      <c r="F196" t="str" cm="1">
        <f t="array" ref="F196">_xll.BDP(B196&amp;" Equity","QUOTED_CURRENCY_REALTIME")</f>
        <v>USD</v>
      </c>
      <c r="G196" s="105" t="s">
        <v>247</v>
      </c>
      <c r="H196" s="131">
        <v>150</v>
      </c>
      <c r="I196" s="97">
        <f>IF(G196="Buy",L196,K196)</f>
        <v>8.0500000000000007</v>
      </c>
      <c r="J196" s="19">
        <f>I196/S196</f>
        <v>0.16492522024175374</v>
      </c>
      <c r="K196" s="36" cm="1">
        <f t="array" ref="K196">_xll.BDP($B196&amp;" Equity","bid")</f>
        <v>7.5</v>
      </c>
      <c r="L196" s="36" cm="1">
        <f t="array" ref="L196">_xll.BDP($B196&amp;" Equity","ask")</f>
        <v>8.0500000000000007</v>
      </c>
      <c r="M196" s="40">
        <f>(L196/K196-1)</f>
        <v>7.3333333333333472E-2</v>
      </c>
      <c r="N196" s="36" cm="1">
        <f t="array" ref="N196">_xll.BDP(F196&amp;" Curncy","PX_LAST")</f>
        <v>1</v>
      </c>
      <c r="O196" s="162" cm="1">
        <f t="array" ref="O196">_xll.BDP(B196&amp;" Equity","OPT_MULTIPLIER")</f>
        <v>100</v>
      </c>
      <c r="P196" s="15">
        <f>IF(G196="Buy",((I196/N196)*H196*O196),((I196/N196)*-H196*O196))</f>
        <v>120750</v>
      </c>
      <c r="Q196" s="58">
        <f>P196/'Master P&amp;L'!$AD$5*10000</f>
        <v>0.53761404583732886</v>
      </c>
      <c r="R196" s="37" cm="1">
        <f t="array" ref="R196">_xll.BDP($C196&amp;" Equity","EST_PE_NXT_YR")*(T196/S196)</f>
        <v>50.101785033600478</v>
      </c>
      <c r="S196" s="36">
        <f>_xll.BDP(C196&amp;" Equity","LAST_PRICE")</f>
        <v>48.81</v>
      </c>
      <c r="T196" s="53" cm="1">
        <f t="array" ref="T196">_xll.BDP(B196&amp;" Equity","OPT_STRIKE_PX")</f>
        <v>50</v>
      </c>
      <c r="U196" s="40">
        <f>T196/S196-1</f>
        <v>2.4380249948780852E-2</v>
      </c>
      <c r="V196" s="37" cm="1">
        <f t="array" ref="V196">_xll.BDP($B196&amp;" Equity","ivol_mid")</f>
        <v>60.518740000000001</v>
      </c>
      <c r="W196" s="38" cm="1">
        <f t="array" ref="W196">_xll.BDP(B196&amp;" Equity","DELTA_MID_RT")</f>
        <v>0.57376039028167725</v>
      </c>
      <c r="X196" s="48">
        <f>Y196/'Master P&amp;L'!$AE$5</f>
        <v>1.8703121591008481E-4</v>
      </c>
      <c r="Y196" s="15">
        <f>IF(G196="Sell", S196*W196*-H196*O196/N196, S196*W196*H196*O196/N196)</f>
        <v>420078.66974473</v>
      </c>
      <c r="Z196" s="15" cm="1">
        <f t="array" ref="Z196">_xll.BDP($B196&amp;" Equity","opt_theta")*H196*O196/N196</f>
        <v>-346.23</v>
      </c>
      <c r="AA196" s="19" cm="1">
        <f t="array" ref="AA196">_xll.BDP($B196&amp;" Equity","opt_theta")/I196</f>
        <v>-2.8673291925465833E-3</v>
      </c>
      <c r="AB196" s="36" t="str" cm="1">
        <f t="array" ref="AB196">_xll.BDP($C196&amp;" Equity","EXPECTED_REPORT_DT")</f>
        <v>24/04/2026</v>
      </c>
      <c r="AC196" s="15">
        <f>S196*H196*O196/N196</f>
        <v>732150</v>
      </c>
      <c r="AD196" s="19">
        <f>AC196/'Master P&amp;L'!$AE$5</f>
        <v>3.2597442953192574E-4</v>
      </c>
      <c r="AE196" t="str">
        <f>B196  &amp; " - Buy to open " &amp;  "-" &amp; H196 &amp;"x"</f>
        <v>INTC US 07/17/26 C50 - Buy to open -150x</v>
      </c>
      <c r="AK196" s="59" t="s">
        <v>1813</v>
      </c>
    </row>
    <row r="197" spans="1:37">
      <c r="A197" s="237">
        <v>2</v>
      </c>
      <c r="B197" s="132" t="s">
        <v>2324</v>
      </c>
      <c r="C197" t="str" cm="1">
        <f t="array" ref="C197">_xll.BDP(B197&amp;" Equity","OPT_UNDL_TICKER")</f>
        <v>INTC US</v>
      </c>
      <c r="D197" t="str" cm="1">
        <f t="array" ref="D197">_xll.BDP($B197&amp;" Index","mifid_Maturity_date")</f>
        <v>#N/A Invalid Security</v>
      </c>
      <c r="E197" t="str" cm="1">
        <f t="array" ref="E197">_xll.BDP($B197&amp;" Index","opt_days_expire")</f>
        <v>#N/A Invalid Security</v>
      </c>
      <c r="F197" t="str" cm="1">
        <f t="array" ref="F197">_xll.BDP(B197&amp;" Equity","QUOTED_CURRENCY_REALTIME")</f>
        <v>USD</v>
      </c>
      <c r="G197" s="105" t="s">
        <v>248</v>
      </c>
      <c r="H197" s="131">
        <f>H196</f>
        <v>150</v>
      </c>
      <c r="I197" s="97">
        <f>IF(G197="Buy",L197,K197)</f>
        <v>3.05</v>
      </c>
      <c r="J197" s="19">
        <f>I197/S197</f>
        <v>6.2487195246875633E-2</v>
      </c>
      <c r="K197" s="36" cm="1">
        <f t="array" ref="K197">_xll.BDP($B197&amp;" Equity","bid")</f>
        <v>3.05</v>
      </c>
      <c r="L197" s="36" cm="1">
        <f t="array" ref="L197">_xll.BDP($B197&amp;" Equity","ask")</f>
        <v>3.5</v>
      </c>
      <c r="M197" s="40">
        <f>(L197/K197-1)</f>
        <v>0.14754098360655754</v>
      </c>
      <c r="N197" s="36" cm="1">
        <f t="array" ref="N197">_xll.BDP(F197&amp;" Curncy","PX_LAST")</f>
        <v>1</v>
      </c>
      <c r="O197" s="162" cm="1">
        <f t="array" ref="O197">_xll.BDP(B197&amp;" Equity","OPT_MULTIPLIER")</f>
        <v>100</v>
      </c>
      <c r="P197" s="15">
        <f>IF(G197="Buy",((I197/N197)*H197*O197),((I197/N197)*-H197*O197))</f>
        <v>-45750</v>
      </c>
      <c r="Q197" s="58">
        <f>P197/'Master P&amp;L'!$AD$5*10000</f>
        <v>-0.20369227823650346</v>
      </c>
      <c r="R197" s="37" cm="1">
        <f t="array" ref="R197">_xll.BDP($C197&amp;" Equity","EST_PE_NXT_YR")*(T197/S197)</f>
        <v>40.081428026880388</v>
      </c>
      <c r="S197" s="36" cm="1">
        <f t="array" ref="S197">_xll.BDP(C197&amp;" Equity","LAST_PRICE")</f>
        <v>48.81</v>
      </c>
      <c r="T197" s="53" cm="1">
        <f t="array" ref="T197">_xll.BDP(B197&amp;" Equity","OPT_STRIKE_PX")</f>
        <v>40</v>
      </c>
      <c r="U197" s="40">
        <f>T197/S197-1</f>
        <v>-0.18049580004097521</v>
      </c>
      <c r="V197" s="37" cm="1">
        <f t="array" ref="V197">_xll.BDP($B197&amp;" Equity","ivol_mid")</f>
        <v>59.673569999999998</v>
      </c>
      <c r="W197" s="38" cm="1">
        <f t="array" ref="W197">_xll.BDP(B197&amp;" Equity","DELTA_MID_RT")</f>
        <v>-0.23269110918045044</v>
      </c>
      <c r="X197" s="48">
        <f>Y197/'Master P&amp;L'!$AE$5</f>
        <v>7.5851351572248394E-5</v>
      </c>
      <c r="Y197" s="15">
        <f>IF(G197="Sell", S197*W197*-H197*O197/N197, S197*W197*H197*O197/N197)</f>
        <v>170364.79558646682</v>
      </c>
      <c r="Z197" s="15" cm="1">
        <f t="array" ref="Z197">_xll.BDP($B197&amp;" Equity","opt_theta")*H197*O197/N197</f>
        <v>-264.67500000000001</v>
      </c>
      <c r="AA197" s="19" cm="1">
        <f t="array" ref="AA197">_xll.BDP($B197&amp;" Equity","opt_theta")/I197</f>
        <v>-5.7852459016393453E-3</v>
      </c>
      <c r="AB197" s="36" t="str" cm="1">
        <f t="array" ref="AB197">_xll.BDP($C197&amp;" Equity","EXPECTED_REPORT_DT")</f>
        <v>24/04/2026</v>
      </c>
      <c r="AC197" s="15">
        <f>S197*H197*O197/N197</f>
        <v>732150</v>
      </c>
      <c r="AD197" s="19">
        <f>AC197/'Master P&amp;L'!$AE$5</f>
        <v>3.2597442953192574E-4</v>
      </c>
      <c r="AE197" t="str">
        <f>B197  &amp; " - Buy to open " &amp;  "-" &amp; H197 &amp;"x"</f>
        <v>INTC US 07/17/26 P40 - Buy to open -150x</v>
      </c>
      <c r="AK197" s="59" t="s">
        <v>1813</v>
      </c>
    </row>
    <row r="198" spans="1:37">
      <c r="H198" s="100" t="s">
        <v>116</v>
      </c>
      <c r="I198" s="102">
        <f>I196-I195-I197</f>
        <v>0.40000000000000124</v>
      </c>
      <c r="J198" s="100" t="s">
        <v>249</v>
      </c>
      <c r="K198" s="101">
        <f>K197/L196</f>
        <v>0.37888198757763969</v>
      </c>
      <c r="P198" s="130">
        <f>P196+P197+P195</f>
        <v>6000</v>
      </c>
      <c r="Q198" s="58">
        <f>P198/'Master P&amp;L'!$AD$5*10000</f>
        <v>2.6713741408066028E-2</v>
      </c>
      <c r="S198" s="100" t="s">
        <v>251</v>
      </c>
      <c r="T198" s="102"/>
      <c r="W198" s="100" t="s">
        <v>252</v>
      </c>
      <c r="X198" s="122">
        <f>X196+X197+X195</f>
        <v>1.3126812723439048E-4</v>
      </c>
      <c r="AC198" s="100" t="s">
        <v>229</v>
      </c>
      <c r="AD198" s="122">
        <f>AD196</f>
        <v>3.2597442953192574E-4</v>
      </c>
    </row>
    <row r="199" spans="1:37">
      <c r="H199" s="100" t="s">
        <v>253</v>
      </c>
      <c r="I199" s="102"/>
      <c r="J199" s="100" t="s">
        <v>145</v>
      </c>
      <c r="K199" s="109">
        <f>-AVERAGE(K195:L195)+AVERAGE(K196:L196)-AVERAGE(K197:L197)</f>
        <v>-0.2249999999999992</v>
      </c>
      <c r="P199" s="100"/>
      <c r="Q199" s="108"/>
      <c r="S199" s="100"/>
      <c r="T199" s="102"/>
      <c r="W199" s="100"/>
      <c r="X199" s="122"/>
      <c r="Y199" s="13">
        <f>(Y195+Y196+Y197)/S196</f>
        <v>6040.4182970523834</v>
      </c>
      <c r="AC199" s="100"/>
      <c r="AD199" s="104"/>
    </row>
    <row r="200" spans="1:37">
      <c r="D200" s="64"/>
      <c r="H200" s="96">
        <v>186</v>
      </c>
      <c r="I200" s="64">
        <f>(I196*A196)-(I197*A197)-(I195*A195)</f>
        <v>5.4000000000000021</v>
      </c>
      <c r="K200" s="64"/>
      <c r="N200" s="36"/>
      <c r="O200" s="162"/>
      <c r="P200" s="15"/>
      <c r="Q200" s="58"/>
      <c r="X200" s="71">
        <f>AD198+X198</f>
        <v>4.5724255676631622E-4</v>
      </c>
    </row>
    <row r="201" spans="1:37">
      <c r="I201" s="64"/>
      <c r="K201" s="64"/>
    </row>
    <row r="202" spans="1:37">
      <c r="H202" s="276">
        <v>1</v>
      </c>
      <c r="I202" s="64">
        <f>I204-I205</f>
        <v>0.45000000000000018</v>
      </c>
      <c r="K202" s="64"/>
      <c r="Q202" s="129">
        <f>(Q204+Q203)/Q205</f>
        <v>-0.74250000000000005</v>
      </c>
    </row>
    <row r="203" spans="1:37">
      <c r="A203" s="237"/>
      <c r="B203" t="s">
        <v>2448</v>
      </c>
      <c r="C203" t="str" cm="1">
        <f t="array" ref="C203">_xll.BDP(B203&amp;" Equity","OPT_UNDL_TICKER")</f>
        <v>MSFT US</v>
      </c>
      <c r="D203" t="str" cm="1">
        <f t="array" ref="D203">_xll.BDP($B203&amp;" Index","mifid_Maturity_date")</f>
        <v>20/02/2026</v>
      </c>
      <c r="E203" cm="1">
        <f t="array" ref="E203">_xll.BDP($B203&amp;" Index","opt_days_expire")</f>
        <v>18</v>
      </c>
      <c r="F203" t="str" cm="1">
        <f t="array" ref="F203">_xll.BDP(B203&amp;" Equity","QUOTED_CURRENCY_REALTIME")</f>
        <v>USD</v>
      </c>
      <c r="G203" s="105" t="s">
        <v>248</v>
      </c>
      <c r="H203" s="131">
        <f>H202*H204</f>
        <v>125</v>
      </c>
      <c r="I203" s="97">
        <f>IF(G203="Buy",L203,K203)</f>
        <v>1.48</v>
      </c>
      <c r="J203" s="19">
        <f>I203/S203</f>
        <v>3.4957602097456125E-3</v>
      </c>
      <c r="K203" s="36" cm="1">
        <f t="array" ref="K203">_xll.BDP($B203&amp;" Equity","bid")</f>
        <v>1.48</v>
      </c>
      <c r="L203" s="36" cm="1">
        <f t="array" ref="L203">_xll.BDP($B203&amp;" Equity","ask")</f>
        <v>1.57</v>
      </c>
      <c r="M203" s="40">
        <f>(L203/K203-1)</f>
        <v>6.0810810810810967E-2</v>
      </c>
      <c r="N203" s="36" cm="1">
        <f t="array" ref="N203">_xll.BDP(F203&amp;" Curncy","PX_LAST")</f>
        <v>1</v>
      </c>
      <c r="O203" s="162" cm="1">
        <f t="array" ref="O203">_xll.BDP(B203&amp;" Equity","OPT_MULTIPLIER")</f>
        <v>100</v>
      </c>
      <c r="P203" s="15">
        <f>IF(G203="Buy",((I203/N203)*H203*O203),((I203/N203)*-H203*O203))</f>
        <v>-18500</v>
      </c>
      <c r="Q203" s="58">
        <f>P203/'Master P&amp;L'!$AD$5*10000</f>
        <v>-8.2367369341536933E-2</v>
      </c>
      <c r="R203" s="37" cm="1">
        <f t="array" ref="R203">_xll.BDP($C203&amp;" Equity","EST_PE_NXT_YR")*(T203/S203)</f>
        <v>23.725098563208313</v>
      </c>
      <c r="S203" s="36" cm="1">
        <f t="array" ref="S203">_xll.BDP(C203&amp;" Equity","LAST_PRICE")</f>
        <v>423.37</v>
      </c>
      <c r="T203" s="53" cm="1">
        <f t="array" ref="T203">_xll.BDP(B203&amp;" Equity","OPT_STRIKE_PX")</f>
        <v>450</v>
      </c>
      <c r="U203" s="40">
        <f>T203/S203-1</f>
        <v>6.2900063774003812E-2</v>
      </c>
      <c r="V203" s="37" cm="1">
        <f t="array" ref="V203">_xll.BDP($B203&amp;" Equity","ivol_mid")</f>
        <v>24.04804</v>
      </c>
      <c r="W203" s="38" cm="1">
        <f t="array" ref="W203">_xll.BDP(B203&amp;" Equity","DELTA_MID_RT")</f>
        <v>0.13651339709758759</v>
      </c>
      <c r="X203" s="48">
        <f>Y203/'Master P&amp;L'!$AE$5</f>
        <v>-3.2165390999810994E-4</v>
      </c>
      <c r="Y203" s="15">
        <f>IF(G203="Sell", S203*W203*-H203*O203/N203, S203*W203*H203*O203/N203)</f>
        <v>-722445.9616150707</v>
      </c>
      <c r="Z203" s="15" cm="1">
        <f t="array" ref="Z203">_xll.BDP($B203&amp;" Equity","opt_theta")*H203*O203/N203</f>
        <v>-1827.0499999999997</v>
      </c>
      <c r="AA203" s="19" cm="1">
        <f t="array" ref="AA203">_xll.BDP($B203&amp;" Equity","opt_theta")/I203</f>
        <v>-9.875945945945945E-2</v>
      </c>
      <c r="AB203" s="36" t="str" cm="1">
        <f t="array" ref="AB203">_xll.BDP($C203&amp;" Equity","EXPECTED_REPORT_DT")</f>
        <v>30/04/2026</v>
      </c>
      <c r="AC203" s="15">
        <f>S203*H203*O203/N203</f>
        <v>5292125</v>
      </c>
      <c r="AD203" s="19">
        <f>AC203/'Master P&amp;L'!$AE$5</f>
        <v>2.3562076458193571E-3</v>
      </c>
      <c r="AE203" t="str">
        <f>B203  &amp; " - Buy to open " &amp;  "-" &amp; H203 &amp;"x"</f>
        <v>MSFT US 02/20/26 C450 - Buy to open -125x</v>
      </c>
      <c r="AK203" s="59" t="s">
        <v>1813</v>
      </c>
    </row>
    <row r="204" spans="1:37">
      <c r="A204" s="237"/>
      <c r="B204" t="s">
        <v>2451</v>
      </c>
      <c r="C204" t="str" cm="1">
        <f t="array" ref="C204">_xll.BDP(B204&amp;" Equity","OPT_UNDL_TICKER")</f>
        <v>MSFT US</v>
      </c>
      <c r="D204" t="str" cm="1">
        <f t="array" ref="D204">_xll.BDP($B204&amp;" Index","mifid_Maturity_date")</f>
        <v>20/02/2026</v>
      </c>
      <c r="E204" cm="1">
        <f t="array" ref="E204">_xll.BDP($B204&amp;" Index","opt_days_expire")</f>
        <v>18</v>
      </c>
      <c r="F204" t="str" cm="1">
        <f t="array" ref="F204">_xll.BDP(B204&amp;" Equity","QUOTED_CURRENCY_REALTIME")</f>
        <v>USD</v>
      </c>
      <c r="G204" s="105" t="s">
        <v>247</v>
      </c>
      <c r="H204" s="131">
        <v>125</v>
      </c>
      <c r="I204" s="97">
        <f>IF(G204="Buy",L204,K204)</f>
        <v>4.45</v>
      </c>
      <c r="J204" s="19">
        <f>I204/S204</f>
        <v>1.0510900630654038E-2</v>
      </c>
      <c r="K204" s="36" cm="1">
        <f t="array" ref="K204">_xll.BDP($B204&amp;" Equity","bid")</f>
        <v>4.3</v>
      </c>
      <c r="L204" s="36" cm="1">
        <f t="array" ref="L204">_xll.BDP($B204&amp;" Equity","ask")</f>
        <v>4.45</v>
      </c>
      <c r="M204" s="40">
        <f>(L204/K204-1)</f>
        <v>3.488372093023262E-2</v>
      </c>
      <c r="N204" s="36" cm="1">
        <f t="array" ref="N204">_xll.BDP(F204&amp;" Curncy","PX_LAST")</f>
        <v>1</v>
      </c>
      <c r="O204" s="162" cm="1">
        <f t="array" ref="O204">_xll.BDP(B204&amp;" Equity","OPT_MULTIPLIER")</f>
        <v>100</v>
      </c>
      <c r="P204" s="15">
        <f>IF(G204="Buy",((I204/N204)*H204*O204),((I204/N204)*-H204*O204))</f>
        <v>55625</v>
      </c>
      <c r="Q204" s="58">
        <f>P204/'Master P&amp;L'!$AD$5*10000</f>
        <v>0.24765864430394549</v>
      </c>
      <c r="R204" s="37" cm="1">
        <f t="array" ref="R204">_xll.BDP($C204&amp;" Equity","EST_PE_NXT_YR")*(T204/S204)</f>
        <v>22.934261944434702</v>
      </c>
      <c r="S204" s="36">
        <f>_xll.BDP(C204&amp;" Equity","LAST_PRICE")</f>
        <v>423.37</v>
      </c>
      <c r="T204" s="53" cm="1">
        <f t="array" ref="T204">_xll.BDP(B204&amp;" Equity","OPT_STRIKE_PX")</f>
        <v>435</v>
      </c>
      <c r="U204" s="40">
        <f>T204/S204-1</f>
        <v>2.7470061648203759E-2</v>
      </c>
      <c r="V204" s="37" cm="1">
        <f t="array" ref="V204">_xll.BDP($B204&amp;" Equity","ivol_mid")</f>
        <v>23.495809999999999</v>
      </c>
      <c r="W204" s="38" cm="1">
        <f t="array" ref="W204">_xll.BDP(B204&amp;" Equity","DELTA_MID_RT")</f>
        <v>0.31655752658843994</v>
      </c>
      <c r="X204" s="48">
        <f>Y204/'Master P&amp;L'!$AE$5</f>
        <v>7.4587526448934667E-4</v>
      </c>
      <c r="Y204" s="15">
        <f>IF(G204="Sell", S204*W204*-H204*O204/N204, S204*W204*H204*O204/N204)</f>
        <v>1675262.0003968477</v>
      </c>
      <c r="Z204" s="15" cm="1">
        <f t="array" ref="Z204">_xll.BDP($B204&amp;" Equity","opt_theta")*H204*O204/N204</f>
        <v>-2806.9875000000002</v>
      </c>
      <c r="AA204" s="19" cm="1">
        <f t="array" ref="AA204">_xll.BDP($B204&amp;" Equity","opt_theta")/I204</f>
        <v>-5.0462696629213481E-2</v>
      </c>
      <c r="AB204" s="36" t="str" cm="1">
        <f t="array" ref="AB204">_xll.BDP($C204&amp;" Equity","EXPECTED_REPORT_DT")</f>
        <v>30/04/2026</v>
      </c>
      <c r="AC204" s="15">
        <f>S204*H204*O204/N204</f>
        <v>5292125</v>
      </c>
      <c r="AD204" s="19">
        <f>AC204/'Master P&amp;L'!$AE$5</f>
        <v>2.3562076458193571E-3</v>
      </c>
      <c r="AE204" t="str">
        <f>B204  &amp; " - Buy to open " &amp;  "-" &amp; H204 &amp;"x"</f>
        <v>MSFT US 02/20/26 C435 - Buy to open -125x</v>
      </c>
      <c r="AK204" s="59" t="s">
        <v>1813</v>
      </c>
    </row>
    <row r="205" spans="1:37">
      <c r="A205" s="237"/>
      <c r="B205" t="s">
        <v>2449</v>
      </c>
      <c r="C205" t="str" cm="1">
        <f t="array" ref="C205">_xll.BDP(B205&amp;" Equity","OPT_UNDL_TICKER")</f>
        <v>MSFT US</v>
      </c>
      <c r="D205" t="str" cm="1">
        <f t="array" ref="D205">_xll.BDP($B205&amp;" Index","mifid_Maturity_date")</f>
        <v>20/02/2026</v>
      </c>
      <c r="E205" cm="1">
        <f t="array" ref="E205">_xll.BDP($B205&amp;" Index","opt_days_expire")</f>
        <v>18</v>
      </c>
      <c r="F205" t="str" cm="1">
        <f t="array" ref="F205">_xll.BDP(B205&amp;" Equity","QUOTED_CURRENCY_REALTIME")</f>
        <v>USD</v>
      </c>
      <c r="G205" s="105" t="s">
        <v>248</v>
      </c>
      <c r="H205" s="131">
        <f>H204</f>
        <v>125</v>
      </c>
      <c r="I205" s="97">
        <f>IF(G205="Buy",L205,K205)</f>
        <v>4</v>
      </c>
      <c r="J205" s="19">
        <f>I205/S205</f>
        <v>9.448000566880034E-3</v>
      </c>
      <c r="K205" s="36" cm="1">
        <f t="array" ref="K205">_xll.BDP($B205&amp;" Equity","bid")</f>
        <v>4</v>
      </c>
      <c r="L205" s="36" cm="1">
        <f t="array" ref="L205">_xll.BDP($B205&amp;" Equity","ask")</f>
        <v>4.0999999999999996</v>
      </c>
      <c r="M205" s="40">
        <f>(L205/K205-1)</f>
        <v>2.4999999999999911E-2</v>
      </c>
      <c r="N205" s="36" cm="1">
        <f t="array" ref="N205">_xll.BDP(F205&amp;" Curncy","PX_LAST")</f>
        <v>1</v>
      </c>
      <c r="O205" s="162" cm="1">
        <f t="array" ref="O205">_xll.BDP(B205&amp;" Equity","OPT_MULTIPLIER")</f>
        <v>100</v>
      </c>
      <c r="P205" s="15">
        <f>IF(G205="Buy",((I205/N205)*H205*O205),((I205/N205)*-H205*O205))</f>
        <v>-50000</v>
      </c>
      <c r="Q205" s="58">
        <f>P205/'Master P&amp;L'!$AD$5*10000</f>
        <v>-0.22261451173388358</v>
      </c>
      <c r="R205" s="37" cm="1">
        <f t="array" ref="R205">_xll.BDP($C205&amp;" Equity","EST_PE_NXT_YR")*(T205/S205)</f>
        <v>21.616200913145352</v>
      </c>
      <c r="S205" s="36" cm="1">
        <f t="array" ref="S205">_xll.BDP(C205&amp;" Equity","LAST_PRICE")</f>
        <v>423.37</v>
      </c>
      <c r="T205" s="53" cm="1">
        <f t="array" ref="T205">_xll.BDP(B205&amp;" Equity","OPT_STRIKE_PX")</f>
        <v>410</v>
      </c>
      <c r="U205" s="40">
        <f>T205/S205-1</f>
        <v>-3.1579941894796515E-2</v>
      </c>
      <c r="V205" s="37" cm="1">
        <f t="array" ref="V205">_xll.BDP($B205&amp;" Equity","ivol_mid")</f>
        <v>24.89453</v>
      </c>
      <c r="W205" s="38" cm="1">
        <f t="array" ref="W205">_xll.BDP(B205&amp;" Equity","DELTA_MID_RT")</f>
        <v>-0.27156153321266174</v>
      </c>
      <c r="X205" s="48">
        <f>Y205/'Master P&amp;L'!$AE$5</f>
        <v>6.3985536086610094E-4</v>
      </c>
      <c r="Y205" s="15">
        <f>IF(G205="Sell", S205*W205*-H205*O205/N205, S205*W205*H205*O205/N205)</f>
        <v>1437137.5789530575</v>
      </c>
      <c r="Z205" s="15" cm="1">
        <f t="array" ref="Z205">_xll.BDP($B205&amp;" Equity","opt_theta")*H205*O205/N205</f>
        <v>-2593.4249999999997</v>
      </c>
      <c r="AA205" s="19" cm="1">
        <f t="array" ref="AA205">_xll.BDP($B205&amp;" Equity","opt_theta")/I205</f>
        <v>-5.1868499999999998E-2</v>
      </c>
      <c r="AB205" s="36" t="str" cm="1">
        <f t="array" ref="AB205">_xll.BDP($C205&amp;" Equity","EXPECTED_REPORT_DT")</f>
        <v>30/04/2026</v>
      </c>
      <c r="AC205" s="15">
        <f>S205*H205*O205/N205</f>
        <v>5292125</v>
      </c>
      <c r="AD205" s="19">
        <f>AC205/'Master P&amp;L'!$AE$5</f>
        <v>2.3562076458193571E-3</v>
      </c>
      <c r="AE205" t="str">
        <f>B205  &amp; " - Buy to open " &amp;  "-" &amp; H205 &amp;"x"</f>
        <v>MSFT US 02/20/26 P410 - Buy to open -125x</v>
      </c>
      <c r="AK205" s="59" t="s">
        <v>1813</v>
      </c>
    </row>
    <row r="206" spans="1:37">
      <c r="H206" s="100" t="s">
        <v>116</v>
      </c>
      <c r="I206" s="102">
        <f>I204-I203-I205</f>
        <v>-1.0299999999999998</v>
      </c>
      <c r="J206" s="100" t="s">
        <v>249</v>
      </c>
      <c r="K206" s="101">
        <f>K205/L204</f>
        <v>0.898876404494382</v>
      </c>
      <c r="P206" s="130">
        <f>P204+P205+P203</f>
        <v>-12875</v>
      </c>
      <c r="Q206" s="58">
        <f>P206/'Master P&amp;L'!$AD$5*10000</f>
        <v>-5.7323236771475015E-2</v>
      </c>
      <c r="S206" s="100" t="s">
        <v>251</v>
      </c>
      <c r="T206" s="102"/>
      <c r="W206" s="100" t="s">
        <v>252</v>
      </c>
      <c r="X206" s="122">
        <f>X204+X205+X203</f>
        <v>1.0640767153573376E-3</v>
      </c>
      <c r="AC206" s="100" t="s">
        <v>229</v>
      </c>
      <c r="AD206" s="122">
        <f>AD204</f>
        <v>2.3562076458193571E-3</v>
      </c>
    </row>
    <row r="207" spans="1:37">
      <c r="H207" s="100" t="s">
        <v>253</v>
      </c>
      <c r="I207" s="102"/>
      <c r="J207" s="100" t="s">
        <v>145</v>
      </c>
      <c r="K207" s="109">
        <f>-AVERAGE(K203:L203)+AVERAGE(K204:L204)-AVERAGE(K205:L205)</f>
        <v>-1.1999999999999997</v>
      </c>
      <c r="P207" s="100"/>
      <c r="Q207" s="108"/>
      <c r="S207" s="100"/>
      <c r="T207" s="102"/>
      <c r="W207" s="100"/>
      <c r="X207" s="122"/>
      <c r="Y207" s="13">
        <f>(Y203+Y204+Y205)/S204</f>
        <v>5645.0707837939262</v>
      </c>
      <c r="AC207" s="100"/>
      <c r="AD207" s="104"/>
    </row>
    <row r="208" spans="1:37">
      <c r="D208" s="64"/>
      <c r="H208" s="96"/>
      <c r="I208" s="64">
        <f>(I204*A204)-(I205*A205)-(I203*A203)</f>
        <v>0</v>
      </c>
      <c r="K208" s="64"/>
      <c r="N208" s="36"/>
      <c r="O208" s="162"/>
      <c r="P208" s="15">
        <v>26250</v>
      </c>
      <c r="Q208" s="58"/>
      <c r="S208">
        <v>51.35</v>
      </c>
      <c r="X208" s="71">
        <f>AD206+X206</f>
        <v>3.4202843611766945E-3</v>
      </c>
    </row>
    <row r="209" spans="1:37">
      <c r="B209" s="59"/>
    </row>
    <row r="210" spans="1:37">
      <c r="A210">
        <v>300</v>
      </c>
      <c r="H210" s="276">
        <v>1</v>
      </c>
      <c r="I210" s="64">
        <f>I212+I214-I211-I213</f>
        <v>1.0899999999999999</v>
      </c>
      <c r="K210" s="129"/>
      <c r="W210" s="50">
        <f>W212-W211+W214-W213</f>
        <v>-0.33866769075393677</v>
      </c>
    </row>
    <row r="211" spans="1:37">
      <c r="A211" s="237">
        <v>9</v>
      </c>
      <c r="B211" t="s">
        <v>2450</v>
      </c>
      <c r="C211" t="str" cm="1">
        <f t="array" ref="C211">_xll.BDP(B211&amp;" Equity","OPT_UNDL_TICKER")</f>
        <v>MSFT US</v>
      </c>
      <c r="D211" s="64"/>
      <c r="E211" cm="1">
        <f t="array" ref="E211">_xll.BDP($B211&amp;" Index","opt_days_expire")</f>
        <v>18</v>
      </c>
      <c r="F211" t="str" cm="1">
        <f t="array" ref="F211">_xll.BDP(B211&amp;" Equity","QUOTED_CURRENCY_REALTIME")</f>
        <v>USD</v>
      </c>
      <c r="G211" s="105" t="s">
        <v>247</v>
      </c>
      <c r="H211" s="131">
        <f>H212</f>
        <v>200</v>
      </c>
      <c r="I211" s="97">
        <f>IF(G211="Buy",L211,K211)</f>
        <v>2.16</v>
      </c>
      <c r="J211" s="19">
        <f>I211/S211</f>
        <v>5.1019203061152185E-3</v>
      </c>
      <c r="K211" s="36" cm="1">
        <f t="array" ref="K211">_xll.BDP($B211&amp;" Equity","bid")</f>
        <v>2.11</v>
      </c>
      <c r="L211" s="36" cm="1">
        <f t="array" ref="L211">_xll.BDP($B211&amp;" Equity","ask")</f>
        <v>2.16</v>
      </c>
      <c r="M211" s="40">
        <f>(L211/K211-1)</f>
        <v>2.369668246445511E-2</v>
      </c>
      <c r="N211" s="36" cm="1">
        <f t="array" ref="N211">_xll.BDP(F211&amp;" Curncy","PX_LAST")</f>
        <v>1</v>
      </c>
      <c r="O211" s="162" cm="1">
        <f t="array" ref="O211">_xll.BDP(B211&amp;" Equity","OPT_MULTIPLIER")</f>
        <v>100</v>
      </c>
      <c r="P211" s="15">
        <f>IF(G211="Buy",((I211/N211)*H211*O211),((I211/N211)*-H211*O211))</f>
        <v>43200</v>
      </c>
      <c r="Q211" s="58">
        <f>P211/'Master P&amp;L'!$AD$5*10000</f>
        <v>0.1923389381380754</v>
      </c>
      <c r="R211" s="37" cm="1">
        <f t="array" ref="R211">_xll.BDP($C211&amp;" Equity","EST_PE_NXT_YR")*(T211/S211)</f>
        <v>23.461486356950445</v>
      </c>
      <c r="S211" s="36" cm="1">
        <f t="array" ref="S211">_xll.BDP(C211&amp;" Equity","LAST_PRICE")</f>
        <v>423.37</v>
      </c>
      <c r="T211" s="53" cm="1">
        <f t="array" ref="T211">_xll.BDP(B211&amp;" Equity","OPT_STRIKE_PX")</f>
        <v>445</v>
      </c>
      <c r="U211" s="40">
        <f>T211/S211-1</f>
        <v>5.1090063065403868E-2</v>
      </c>
      <c r="V211" s="37" cm="1">
        <f t="array" ref="V211">_xll.BDP($B211&amp;" Equity","ivol_mid")</f>
        <v>23.680060000000001</v>
      </c>
      <c r="W211" s="38" cm="1">
        <f t="array" ref="W211">_xll.BDP(B211&amp;" Equity","DELTA_MID_RT")</f>
        <v>0.18177884817123413</v>
      </c>
      <c r="X211" s="48">
        <f>Y211/'Master P&amp;L'!$AE$5</f>
        <v>6.8529393905487684E-4</v>
      </c>
      <c r="Y211" s="15">
        <f>IF(G211="Sell", S211*W211*-H211*O211/N211, S211*W211*H211*O211/N211)</f>
        <v>1539194.2190051081</v>
      </c>
      <c r="Z211" s="15" cm="1">
        <f t="array" ref="Z211">_xll.BDP($B211&amp;" Equity","opt_theta")*H211*O211/N211</f>
        <v>-3472.4400000000005</v>
      </c>
      <c r="AA211" s="19" cm="1">
        <f t="array" ref="AA211">_xll.BDP($B211&amp;" Equity","opt_theta")/I211</f>
        <v>-8.0380555555555552E-2</v>
      </c>
      <c r="AB211" s="36" t="str" cm="1">
        <f t="array" ref="AB211">_xll.BDP($C211&amp;" Equity","EXPECTED_REPORT_DT")</f>
        <v>30/04/2026</v>
      </c>
      <c r="AC211" s="15">
        <f>S211*H211*O211/N211</f>
        <v>8467400</v>
      </c>
      <c r="AD211" s="19">
        <f>AC211/'Master P&amp;L'!$AE$5</f>
        <v>3.7699322333109718E-3</v>
      </c>
      <c r="AE211" t="s">
        <v>1875</v>
      </c>
      <c r="AK211" t="s">
        <v>1791</v>
      </c>
    </row>
    <row r="212" spans="1:37">
      <c r="A212" s="237">
        <v>3</v>
      </c>
      <c r="B212" t="s">
        <v>2447</v>
      </c>
      <c r="C212" t="str" cm="1">
        <f t="array" ref="C212">_xll.BDP(B212&amp;" Equity","OPT_UNDL_TICKER")</f>
        <v>MSFT US</v>
      </c>
      <c r="D212" s="64"/>
      <c r="E212" cm="1">
        <f t="array" ref="E212">_xll.BDP($B212&amp;" Index","opt_days_expire")</f>
        <v>18</v>
      </c>
      <c r="F212" t="str" cm="1">
        <f t="array" ref="F212">_xll.BDP(B212&amp;" Equity","QUOTED_CURRENCY_REALTIME")</f>
        <v>USD</v>
      </c>
      <c r="G212" s="105" t="s">
        <v>248</v>
      </c>
      <c r="H212" s="131">
        <v>200</v>
      </c>
      <c r="I212" s="97">
        <f>IF(G212="Buy",L212,K212)</f>
        <v>7.35</v>
      </c>
      <c r="J212" s="19">
        <f>I212/S212</f>
        <v>1.7360701041642061E-2</v>
      </c>
      <c r="K212" s="36" cm="1">
        <f t="array" ref="K212">_xll.BDP($B212&amp;" Equity","bid")</f>
        <v>7.35</v>
      </c>
      <c r="L212" s="36" cm="1">
        <f t="array" ref="L212">_xll.BDP($B212&amp;" Equity","ask")</f>
        <v>7.5</v>
      </c>
      <c r="M212" s="40">
        <f>(L212/K212-1)</f>
        <v>2.0408163265306145E-2</v>
      </c>
      <c r="N212" s="36" cm="1">
        <f t="array" ref="N212">_xll.BDP(F212&amp;" Curncy","PX_LAST")</f>
        <v>1</v>
      </c>
      <c r="O212" s="162" cm="1">
        <f t="array" ref="O212">_xll.BDP(B212&amp;" Equity","OPT_MULTIPLIER")</f>
        <v>100</v>
      </c>
      <c r="P212" s="15">
        <f>IF(G212="Buy",((I212/N212)*H212*O212),((I212/N212)*-H212*O212))</f>
        <v>-147000</v>
      </c>
      <c r="Q212" s="58">
        <f>P212/'Master P&amp;L'!$AD$5*10000</f>
        <v>-0.65448666449761783</v>
      </c>
      <c r="R212" s="37" cm="1">
        <f t="array" ref="R212">_xll.BDP($C212&amp;" Equity","EST_PE_NXT_YR")*(T212/S212)</f>
        <v>22.143425325661092</v>
      </c>
      <c r="S212" s="36" cm="1">
        <f t="array" ref="S212">_xll.BDP(C212&amp;" Equity","LAST_PRICE")</f>
        <v>423.37</v>
      </c>
      <c r="T212" s="53" cm="1">
        <f t="array" ref="T212">_xll.BDP(B212&amp;" Equity","OPT_STRIKE_PX")</f>
        <v>420</v>
      </c>
      <c r="U212" s="40">
        <f>T212/S212-1</f>
        <v>-7.9599404775964056E-3</v>
      </c>
      <c r="V212" s="37" cm="1">
        <f t="array" ref="V212">_xll.BDP($B212&amp;" Equity","ivol_mid")</f>
        <v>24.041730000000001</v>
      </c>
      <c r="W212" s="38" cm="1">
        <f t="array" ref="W212">_xll.BDP(B212&amp;" Equity","DELTA_MID_RT")</f>
        <v>-0.42845037579536438</v>
      </c>
      <c r="X212" s="48">
        <f>Y212/'Master P&amp;L'!$AE$5</f>
        <v>1.615228882085143E-3</v>
      </c>
      <c r="Y212" s="15">
        <f>IF(G212="Sell", S212*W212*-H212*O212/N212, S212*W212*H212*O212/N212)</f>
        <v>3627860.7120096684</v>
      </c>
      <c r="Z212" s="15" cm="1">
        <f t="array" ref="Z212">_xll.BDP($B212&amp;" Equity","opt_theta")*H212*O212/N212</f>
        <v>-4860.72</v>
      </c>
      <c r="AA212" s="19" cm="1">
        <f t="array" ref="AA212">_xll.BDP($B212&amp;" Equity","opt_theta")/I212</f>
        <v>-3.3066122448979593E-2</v>
      </c>
      <c r="AB212" s="36" t="str" cm="1">
        <f t="array" ref="AB212">_xll.BDP($C212&amp;" Equity","EXPECTED_REPORT_DT")</f>
        <v>30/04/2026</v>
      </c>
      <c r="AC212" s="15">
        <f>S212*H212*O212/N212</f>
        <v>8467400</v>
      </c>
      <c r="AD212" s="48">
        <f>AC212/'Master P&amp;L'!$AE$5</f>
        <v>3.7699322333109718E-3</v>
      </c>
      <c r="AE212" t="s">
        <v>1876</v>
      </c>
      <c r="AK212" t="s">
        <v>1792</v>
      </c>
    </row>
    <row r="213" spans="1:37">
      <c r="A213" s="237">
        <v>20</v>
      </c>
      <c r="B213" t="s">
        <v>2449</v>
      </c>
      <c r="C213" t="str" cm="1">
        <f t="array" ref="C213">_xll.BDP(B213&amp;" Equity","OPT_UNDL_TICKER")</f>
        <v>MSFT US</v>
      </c>
      <c r="D213" s="64"/>
      <c r="E213" cm="1">
        <f t="array" ref="E213">_xll.BDP($B213&amp;" Index","opt_days_expire")</f>
        <v>18</v>
      </c>
      <c r="F213" t="str" cm="1">
        <f t="array" ref="F213">_xll.BDP(B213&amp;" Equity","QUOTED_CURRENCY_REALTIME")</f>
        <v>USD</v>
      </c>
      <c r="G213" s="105" t="s">
        <v>247</v>
      </c>
      <c r="H213" s="131">
        <v>200</v>
      </c>
      <c r="I213" s="97">
        <f>IF(G213="Buy",L213,K213)</f>
        <v>4.0999999999999996</v>
      </c>
      <c r="J213" s="19">
        <f>I213/S213</f>
        <v>9.6842005810520333E-3</v>
      </c>
      <c r="K213" s="36" cm="1">
        <f t="array" ref="K213">_xll.BDP($B213&amp;" Equity","bid")</f>
        <v>4</v>
      </c>
      <c r="L213" s="36" cm="1">
        <f t="array" ref="L213">_xll.BDP($B213&amp;" Equity","ask")</f>
        <v>4.0999999999999996</v>
      </c>
      <c r="M213" s="40">
        <f>(L213/K213-1)</f>
        <v>2.4999999999999911E-2</v>
      </c>
      <c r="N213" s="36" cm="1">
        <f t="array" ref="N213">_xll.BDP(F213&amp;" Curncy","PX_LAST")</f>
        <v>1</v>
      </c>
      <c r="O213" s="162" cm="1">
        <f t="array" ref="O213">_xll.BDP(B213&amp;" Equity","OPT_MULTIPLIER")</f>
        <v>100</v>
      </c>
      <c r="P213" s="15">
        <f>IF(G213="Buy",((I213/N213)*H213*O213),((I213/N213)*-H213*O213))</f>
        <v>81999.999999999985</v>
      </c>
      <c r="Q213" s="58">
        <f>P213/'Master P&amp;L'!$AD$5*10000</f>
        <v>0.36508779924356899</v>
      </c>
      <c r="R213" s="37" cm="1">
        <f t="array" ref="R213">_xll.BDP($C213&amp;" Equity","EST_PE_NXT_YR")*(T213/S213)</f>
        <v>21.616200913145352</v>
      </c>
      <c r="S213" s="36" cm="1">
        <f t="array" ref="S213">_xll.BDP(C213&amp;" Equity","LAST_PRICE")</f>
        <v>423.37</v>
      </c>
      <c r="T213" s="53" cm="1">
        <f t="array" ref="T213">_xll.BDP(B213&amp;" Equity","OPT_STRIKE_PX")</f>
        <v>410</v>
      </c>
      <c r="U213" s="40">
        <f>T213/S213-1</f>
        <v>-3.1579941894796515E-2</v>
      </c>
      <c r="V213" s="37" cm="1">
        <f t="array" ref="V213">_xll.BDP(B213&amp;" Equity","ivol_mid")</f>
        <v>24.89453</v>
      </c>
      <c r="W213" s="38" cm="1">
        <f t="array" ref="W213">_xll.BDP(B213&amp;" Equity","DELTA_MID_RT")</f>
        <v>-0.27156153321266174</v>
      </c>
      <c r="X213" s="48">
        <f>Y213/'Master P&amp;L'!$AE$5</f>
        <v>-1.0237685773857616E-3</v>
      </c>
      <c r="Y213" s="15">
        <f>IF(G213="Sell", S213*W213*-H213*O213/N213, S213*W213*H213*O213/N213)</f>
        <v>-2299420.126324892</v>
      </c>
      <c r="Z213" s="15" cm="1">
        <f t="array" ref="Z213">_xll.BDP($B213&amp;" Equity","opt_theta")*H213*O213/N213</f>
        <v>-4149.4799999999996</v>
      </c>
      <c r="AA213" s="19" cm="1">
        <f t="array" ref="AA213">_xll.BDP($B213&amp;" Equity","opt_theta")/I213</f>
        <v>-5.0603414634146346E-2</v>
      </c>
      <c r="AB213" s="36" t="str" cm="1">
        <f t="array" ref="AB213">_xll.BDP($C213&amp;" Equity","EXPECTED_REPORT_DT")</f>
        <v>30/04/2026</v>
      </c>
      <c r="AC213" s="15">
        <f>S213*H213*O213/N213</f>
        <v>8467400</v>
      </c>
      <c r="AD213" s="19">
        <f>AC213/'Master P&amp;L'!$AE$5</f>
        <v>3.7699322333109718E-3</v>
      </c>
      <c r="AE213" t="s">
        <v>1877</v>
      </c>
      <c r="AK213" t="s">
        <v>1793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>
        <f>I212+I214-I213-I211</f>
        <v>1.0899999999999999</v>
      </c>
      <c r="J215" s="100" t="s">
        <v>249</v>
      </c>
      <c r="K215" s="101">
        <f>K214/L212</f>
        <v>0</v>
      </c>
      <c r="P215" s="130">
        <f>P212+P214+P211+P213</f>
        <v>-21800.000000000015</v>
      </c>
      <c r="Q215" s="58">
        <f>P215/'Master P&amp;L'!$AD$5*10000</f>
        <v>-9.7059927115973305E-2</v>
      </c>
      <c r="S215" s="100" t="s">
        <v>251</v>
      </c>
      <c r="T215" s="102"/>
      <c r="W215" s="100" t="s">
        <v>252</v>
      </c>
      <c r="X215" s="122">
        <f>X212+X214+X211+X213</f>
        <v>1.2767542437542583E-3</v>
      </c>
      <c r="AC215" s="100" t="s">
        <v>229</v>
      </c>
      <c r="AD215" s="122">
        <f>AD212</f>
        <v>3.7699322333109718E-3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>
        <f>(Y211+Y212+Y214)/S212</f>
        <v>12204.58447933197</v>
      </c>
      <c r="AC216" s="100"/>
      <c r="AD216" s="104"/>
    </row>
    <row r="217" spans="1:37">
      <c r="C217">
        <f>H211*(T211-T212)*100+P215</f>
        <v>478200</v>
      </c>
      <c r="D217" s="64"/>
      <c r="H217" s="96"/>
      <c r="I217" s="64">
        <f>I212-I211</f>
        <v>5.1899999999999995</v>
      </c>
      <c r="K217" s="64">
        <f>(I211/25*A211)+(I212/25*A212)-(I214/25*A214)</f>
        <v>1.6596</v>
      </c>
      <c r="N217" s="36"/>
      <c r="O217" s="162"/>
      <c r="P217" s="15"/>
      <c r="Q217" s="58"/>
    </row>
    <row r="218" spans="1:37">
      <c r="C218">
        <f>C217/'Master P&amp;L'!$AD$5*10000</f>
        <v>2.1290851902228627</v>
      </c>
      <c r="I218" s="64">
        <f>I213-I214</f>
        <v>4.0999999999999996</v>
      </c>
      <c r="K218">
        <v>11.59</v>
      </c>
      <c r="M218" s="267" t="e">
        <f>(I215-K216)*500*100</f>
        <v>#DIV/0!</v>
      </c>
      <c r="P218">
        <v>-7500</v>
      </c>
      <c r="S218">
        <v>521.79999999999995</v>
      </c>
    </row>
    <row r="219" spans="1:37">
      <c r="I219" s="40">
        <f>I218/I217</f>
        <v>0.78998073217726394</v>
      </c>
    </row>
    <row r="220" spans="1:37">
      <c r="I220" s="64"/>
    </row>
    <row r="221" spans="1:37">
      <c r="A221">
        <v>300</v>
      </c>
      <c r="H221" s="276">
        <v>1</v>
      </c>
      <c r="I221" s="64">
        <f>I223-I222</f>
        <v>18.150000000000002</v>
      </c>
      <c r="J221" s="64">
        <f>I224-I225</f>
        <v>9.1999999999999993</v>
      </c>
      <c r="K221" s="129"/>
      <c r="W221" s="50">
        <f>W223-W222+W225-W224</f>
        <v>0.30514039099216461</v>
      </c>
    </row>
    <row r="222" spans="1:37">
      <c r="A222" s="237">
        <v>9</v>
      </c>
      <c r="B222" s="59" t="s">
        <v>2104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136</v>
      </c>
      <c r="F222" t="str" cm="1">
        <f t="array" ref="F222">_xll.BDP(B222&amp;" Equity","QUOTED_CURRENCY_REALTIME")</f>
        <v>USD</v>
      </c>
      <c r="G222" s="105" t="s">
        <v>248</v>
      </c>
      <c r="H222" s="131">
        <f>H223</f>
        <v>50</v>
      </c>
      <c r="I222" s="97">
        <f>IF(G222="Buy",L222,K222)</f>
        <v>16.2</v>
      </c>
      <c r="J222" s="19">
        <f>I222/S222</f>
        <v>4.8926338678988851E-2</v>
      </c>
      <c r="K222" s="36" cm="1">
        <f t="array" ref="K222">_xll.BDP($B222&amp;" Equity","bid")</f>
        <v>16.2</v>
      </c>
      <c r="L222" s="36" cm="1">
        <f t="array" ref="L222">_xll.BDP($B222&amp;" Equity","ask")</f>
        <v>16.649999999999999</v>
      </c>
      <c r="M222" s="40">
        <f>(L222/K222-1)</f>
        <v>2.7777777777777679E-2</v>
      </c>
      <c r="N222" s="36" cm="1">
        <f t="array" ref="N222">_xll.BDP(F222&amp;" Curncy","PX_LAST")</f>
        <v>1</v>
      </c>
      <c r="O222" s="162" cm="1">
        <f t="array" ref="O222">_xll.BDP(B222&amp;" Equity","OPT_MULTIPLIER")</f>
        <v>100</v>
      </c>
      <c r="P222" s="15">
        <f>IF(G222="Buy",((I222/N222)*H222*O222),((I222/N222)*-H222*O222))</f>
        <v>-81000</v>
      </c>
      <c r="Q222" s="58">
        <f>P222/'Master P&amp;L'!$AD$5*10000</f>
        <v>-0.36063550900889141</v>
      </c>
      <c r="R222" s="37" cm="1">
        <f t="array" ref="R222">_xll.BDP($C222&amp;" Equity","EST_PE_NXT_YR")*(T222/S222)</f>
        <v>29.217656993384814</v>
      </c>
      <c r="S222" s="36" cm="1">
        <f t="array" ref="S222">_xll.BDP(C222&amp;" Equity","LAST_PRICE")</f>
        <v>331.11</v>
      </c>
      <c r="T222" s="53" cm="1">
        <f t="array" ref="T222">_xll.BDP(B222&amp;" Equity","OPT_STRIKE_PX")</f>
        <v>410</v>
      </c>
      <c r="U222" s="40">
        <f>T222/S222-1</f>
        <v>0.23825918878922403</v>
      </c>
      <c r="V222" s="37" cm="1">
        <f t="array" ref="V222">_xll.BDP($B222&amp;" Equity","ivol_mid")</f>
        <v>49.075749999999999</v>
      </c>
      <c r="W222" s="38" cm="1">
        <f t="array" ref="W222">_xll.BDP(B222&amp;" Equity","DELTA_MID_RT")</f>
        <v>0.30240985751152039</v>
      </c>
      <c r="X222" s="48">
        <f>Y222/'Master P&amp;L'!$AE$5</f>
        <v>-2.2290597628513856E-4</v>
      </c>
      <c r="Y222" s="15">
        <f>IF(G222="Sell", S222*W222*-H222*O222/N222, S222*W222*H222*O222/N222)</f>
        <v>-500654.63960319757</v>
      </c>
      <c r="Z222" s="15" cm="1">
        <f t="array" ref="Z222">_xll.BDP($B222&amp;" Equity","opt_theta")*H222*O222/N222</f>
        <v>-646.10500000000002</v>
      </c>
      <c r="AA222" s="19" cm="1">
        <f t="array" ref="AA222">_xll.BDP($B222&amp;" Equity","opt_theta")/I222</f>
        <v>-7.9766049382716062E-3</v>
      </c>
      <c r="AB222" s="36" t="str" cm="1">
        <f t="array" ref="AB222">_xll.BDP($C222&amp;" Equity","EXPECTED_REPORT_DT")</f>
        <v>06/03/2026</v>
      </c>
      <c r="AC222" s="15">
        <f>S222*H222*O222/N222</f>
        <v>1655550</v>
      </c>
      <c r="AD222" s="19">
        <f>AC222/'Master P&amp;L'!$AE$5</f>
        <v>7.3709890980206186E-4</v>
      </c>
      <c r="AE222" t="s">
        <v>1875</v>
      </c>
      <c r="AK222" t="s">
        <v>1791</v>
      </c>
    </row>
    <row r="223" spans="1:37">
      <c r="A223" s="237">
        <v>3</v>
      </c>
      <c r="B223" s="59" t="s">
        <v>2102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136</v>
      </c>
      <c r="F223" t="str" cm="1">
        <f t="array" ref="F223">_xll.BDP(B223&amp;" Equity","QUOTED_CURRENCY_REALTIME")</f>
        <v>USD</v>
      </c>
      <c r="G223" s="105" t="s">
        <v>247</v>
      </c>
      <c r="H223" s="131">
        <v>50</v>
      </c>
      <c r="I223" s="97">
        <f>IF(G223="Buy",L223,K223)</f>
        <v>34.35</v>
      </c>
      <c r="J223" s="19">
        <f>I223/S223</f>
        <v>0.10374195886563378</v>
      </c>
      <c r="K223" s="36" cm="1">
        <f t="array" ref="K223">_xll.BDP($B223&amp;" Equity","bid")</f>
        <v>33.799999999999997</v>
      </c>
      <c r="L223" s="36" cm="1">
        <f t="array" ref="L223">_xll.BDP($B223&amp;" Equity","ask")</f>
        <v>34.35</v>
      </c>
      <c r="M223" s="40">
        <f>(L223/K223-1)</f>
        <v>1.6272189349112454E-2</v>
      </c>
      <c r="N223" s="36" cm="1">
        <f t="array" ref="N223">_xll.BDP(F223&amp;" Curncy","PX_LAST")</f>
        <v>1</v>
      </c>
      <c r="O223" s="162" cm="1">
        <f t="array" ref="O223">_xll.BDP(B223&amp;" Equity","OPT_MULTIPLIER")</f>
        <v>100</v>
      </c>
      <c r="P223" s="15">
        <f>IF(G223="Buy",((I223/N223)*H223*O223),((I223/N223)*-H223*O223))</f>
        <v>171750</v>
      </c>
      <c r="Q223" s="58">
        <f>P223/'Master P&amp;L'!$AD$5*10000</f>
        <v>0.76468084780589007</v>
      </c>
      <c r="R223" s="37" cm="1">
        <f t="array" ref="R223">_xll.BDP($C223&amp;" Equity","EST_PE_NXT_YR")*(T223/S223)</f>
        <v>24.941902311426063</v>
      </c>
      <c r="S223" s="36" cm="1">
        <f t="array" ref="S223">_xll.BDP(C223&amp;" Equity","LAST_PRICE")</f>
        <v>331.11</v>
      </c>
      <c r="T223" s="53" cm="1">
        <f t="array" ref="T223">_xll.BDP(B223&amp;" Equity","OPT_STRIKE_PX")</f>
        <v>350</v>
      </c>
      <c r="U223" s="40">
        <f>T223/S223-1</f>
        <v>5.705052701519131E-2</v>
      </c>
      <c r="V223" s="37" cm="1">
        <f t="array" ref="V223">_xll.BDP($B223&amp;" Equity","ivol_mid")</f>
        <v>49.935740000000003</v>
      </c>
      <c r="W223" s="38" cm="1">
        <f t="array" ref="W223">_xll.BDP(B223&amp;" Equity","DELTA_MID_RT")</f>
        <v>0.50494861602783203</v>
      </c>
      <c r="X223" s="48">
        <f>Y223/'Master P&amp;L'!$AE$5</f>
        <v>3.7219707438017498E-4</v>
      </c>
      <c r="Y223" s="15">
        <f>IF(G223="Sell", S223*W223*-H223*O223/N223, S223*W223*H223*O223/N223)</f>
        <v>835967.68126487732</v>
      </c>
      <c r="Z223" s="15" cm="1">
        <f t="array" ref="Z223">_xll.BDP($B223&amp;" Equity","opt_theta")*H223*O223/N223</f>
        <v>-728.54</v>
      </c>
      <c r="AA223" s="19" cm="1">
        <f t="array" ref="AA223">_xll.BDP($B223&amp;" Equity","opt_theta")/I223</f>
        <v>-4.2418631732168846E-3</v>
      </c>
      <c r="AB223" s="36" t="str" cm="1">
        <f t="array" ref="AB223">_xll.BDP($C223&amp;" Equity","EXPECTED_REPORT_DT")</f>
        <v>06/03/2026</v>
      </c>
      <c r="AC223" s="15">
        <f>S223*H223*O223/N223</f>
        <v>1655550</v>
      </c>
      <c r="AD223" s="48">
        <f>AC223/'Master P&amp;L'!$AE$5</f>
        <v>7.3709890980206186E-4</v>
      </c>
      <c r="AE223" t="s">
        <v>1876</v>
      </c>
      <c r="AK223" t="s">
        <v>1792</v>
      </c>
    </row>
    <row r="224" spans="1:37">
      <c r="A224" s="237"/>
      <c r="B224" s="59" t="s">
        <v>2101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136</v>
      </c>
      <c r="F224" t="str" cm="1">
        <f t="array" ref="F224">_xll.BDP(B224&amp;" Equity","QUOTED_CURRENCY_REALTIME")</f>
        <v>USD</v>
      </c>
      <c r="G224" s="105" t="s">
        <v>248</v>
      </c>
      <c r="H224" s="131">
        <f>H223</f>
        <v>50</v>
      </c>
      <c r="I224" s="97">
        <f>IF(G224="Buy",L224,K224)</f>
        <v>23.7</v>
      </c>
      <c r="J224" s="19">
        <f>I224/S224</f>
        <v>7.1577421400742955E-2</v>
      </c>
      <c r="K224" s="36" cm="1">
        <f t="array" ref="K224">_xll.BDP($B224&amp;" Equity","bid")</f>
        <v>23.7</v>
      </c>
      <c r="L224" s="36" cm="1">
        <f t="array" ref="L224">_xll.BDP($B224&amp;" Equity","ask")</f>
        <v>24.2</v>
      </c>
      <c r="M224" s="40">
        <f>(L224/K224-1)</f>
        <v>2.1097046413502074E-2</v>
      </c>
      <c r="N224" s="36" cm="1">
        <f t="array" ref="N224">_xll.BDP(F224&amp;" Curncy","PX_LAST")</f>
        <v>1</v>
      </c>
      <c r="O224" s="162" cm="1">
        <f t="array" ref="O224">_xll.BDP(B224&amp;" Equity","OPT_MULTIPLIER")</f>
        <v>100</v>
      </c>
      <c r="P224" s="15">
        <f>IF(G224="Buy",((I224/N224)*H224*O224),((I224/N224)*-H224*O224))</f>
        <v>-118500</v>
      </c>
      <c r="Q224" s="58">
        <f>P224/'Master P&amp;L'!$AD$5*10000</f>
        <v>-0.52759639280930404</v>
      </c>
      <c r="R224" s="37" cm="1">
        <f t="array" ref="R224">_xll.BDP($C224&amp;" Equity","EST_PE_NXT_YR")*(T224/S224)</f>
        <v>21.378773409793766</v>
      </c>
      <c r="S224" s="36" cm="1">
        <f t="array" ref="S224">_xll.BDP(C224&amp;" Equity","LAST_PRICE")</f>
        <v>331.11</v>
      </c>
      <c r="T224" s="53" cm="1">
        <f t="array" ref="T224">_xll.BDP(B224&amp;" Equity","OPT_STRIKE_PX")</f>
        <v>300</v>
      </c>
      <c r="U224" s="40">
        <f>T224/S224-1</f>
        <v>-9.3956691129836067E-2</v>
      </c>
      <c r="V224" s="37" cm="1">
        <f t="array" ref="V224">_xll.BDP(B224&amp;" Equity","ivol_mid")</f>
        <v>51.294759999999997</v>
      </c>
      <c r="W224" s="38" cm="1">
        <f t="array" ref="W224">_xll.BDP(B224&amp;" Equity","DELTA_MID_RT")</f>
        <v>-0.30605641007423401</v>
      </c>
      <c r="X224" s="48">
        <f>Y224/'Master P&amp;L'!$AE$5</f>
        <v>2.2559384620365075E-4</v>
      </c>
      <c r="Y224" s="15">
        <f>IF(G224="Sell", S224*W224*-H224*O224/N224, S224*W224*H224*O224/N224)</f>
        <v>506691.68969839823</v>
      </c>
      <c r="Z224" s="15" cm="1">
        <f t="array" ref="Z224">_xll.BDP($B224&amp;" Equity","opt_theta")*H224*O224/N224</f>
        <v>-661.06999999999994</v>
      </c>
      <c r="AA224" s="19" cm="1">
        <f t="array" ref="AA224">_xll.BDP($B224&amp;" Equity","opt_theta")/I224</f>
        <v>-5.5786497890295359E-3</v>
      </c>
      <c r="AB224" s="36" t="str" cm="1">
        <f t="array" ref="AB224">_xll.BDP($C224&amp;" Equity","EXPECTED_REPORT_DT")</f>
        <v>06/03/2026</v>
      </c>
      <c r="AC224" s="15">
        <f>S224*H224*O224/N224</f>
        <v>1655550</v>
      </c>
      <c r="AD224" s="19">
        <f>AC224/'Master P&amp;L'!$AE$5</f>
        <v>7.3709890980206186E-4</v>
      </c>
      <c r="AE224" t="s">
        <v>1877</v>
      </c>
      <c r="AK224" t="s">
        <v>1793</v>
      </c>
    </row>
    <row r="225" spans="1:37">
      <c r="A225" s="237"/>
      <c r="B225" s="59" t="s">
        <v>2103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136</v>
      </c>
      <c r="F225" t="str" cm="1">
        <f t="array" ref="F225">_xll.BDP(B225&amp;" Equity","QUOTED_CURRENCY_REALTIME")</f>
        <v>USD</v>
      </c>
      <c r="G225" s="105" t="s">
        <v>247</v>
      </c>
      <c r="H225" s="131">
        <f>H224</f>
        <v>50</v>
      </c>
      <c r="I225" s="97">
        <f>IF(G225="Buy",L225,K225)</f>
        <v>14.5</v>
      </c>
      <c r="J225" s="19">
        <f>I225/S225</f>
        <v>4.3792093262057921E-2</v>
      </c>
      <c r="K225" s="36" cm="1">
        <f t="array" ref="K225">_xll.BDP($B225&amp;" Equity","bid")</f>
        <v>14.05</v>
      </c>
      <c r="L225" s="36" cm="1">
        <f t="array" ref="L225">_xll.BDP($B225&amp;" Equity","ask")</f>
        <v>14.5</v>
      </c>
      <c r="M225" s="40">
        <f>(L225/K225-1)</f>
        <v>3.2028469750889688E-2</v>
      </c>
      <c r="N225" s="36" cm="1">
        <f t="array" ref="N225">_xll.BDP(F225&amp;" Curncy","PX_LAST")</f>
        <v>1</v>
      </c>
      <c r="O225" s="162" cm="1">
        <f t="array" ref="O225">_xll.BDP(B225&amp;" Equity","OPT_MULTIPLIER")</f>
        <v>100</v>
      </c>
      <c r="P225" s="15">
        <f>IF(G225="Buy",((I225/N225)*H225*O225),((I225/N225)*-H225*O225))</f>
        <v>72500</v>
      </c>
      <c r="Q225" s="58">
        <f>P225/'Master P&amp;L'!$AD$5*10000</f>
        <v>0.32279104201413117</v>
      </c>
      <c r="R225" s="37" cm="1">
        <f t="array" ref="R225">_xll.BDP($C225&amp;" Equity","EST_PE_NXT_YR")*(T225/S225)</f>
        <v>19.24089606881439</v>
      </c>
      <c r="S225" s="36" cm="1">
        <f t="array" ref="S225">_xll.BDP(C225&amp;" Equity","LAST_PRICE")</f>
        <v>331.11</v>
      </c>
      <c r="T225" s="53" cm="1">
        <f t="array" ref="T225">_xll.BDP(B225&amp;" Equity","OPT_STRIKE_PX")</f>
        <v>270</v>
      </c>
      <c r="U225" s="40">
        <f>T225/S225-1</f>
        <v>-0.18456102201685243</v>
      </c>
      <c r="V225" s="37" cm="1">
        <f t="array" ref="V225">_xll.BDP(B225&amp;" Equity","ivol_mid")</f>
        <v>53.09205</v>
      </c>
      <c r="W225" s="38" cm="1">
        <f t="array" ref="W225">_xll.BDP(B225&amp;" Equity","DELTA_MID_RT")</f>
        <v>-0.20345477759838104</v>
      </c>
      <c r="X225" s="48">
        <f>Y225/'Master P&amp;L'!$AE$5</f>
        <v>-1.4996629476178764E-4</v>
      </c>
      <c r="Y225" s="15">
        <f>IF(G225="Sell", S225*W225*-H225*O225/N225, S225*W225*H225*O225/N225)</f>
        <v>-336829.55705299973</v>
      </c>
      <c r="Z225" s="15" cm="1">
        <f t="array" ref="Z225">_xll.BDP($B225&amp;" Equity","opt_theta")*H225*O225/N225</f>
        <v>-549.11500000000001</v>
      </c>
      <c r="AA225" s="19" cm="1">
        <f t="array" ref="AA225">_xll.BDP($B225&amp;" Equity","opt_theta")/I225</f>
        <v>-7.574E-3</v>
      </c>
      <c r="AB225" s="36" t="str" cm="1">
        <f t="array" ref="AB225">_xll.BDP($C225&amp;" Equity","EXPECTED_REPORT_DT")</f>
        <v>06/03/2026</v>
      </c>
      <c r="AC225" s="15">
        <f>S225*H225*O225/N225</f>
        <v>1655550</v>
      </c>
      <c r="AD225" s="19">
        <f>AC225/'Master P&amp;L'!$AE$5</f>
        <v>7.3709890980206186E-4</v>
      </c>
      <c r="AE225" t="s">
        <v>1877</v>
      </c>
      <c r="AK225" t="s">
        <v>1793</v>
      </c>
    </row>
    <row r="226" spans="1:37">
      <c r="H226" s="100" t="s">
        <v>116</v>
      </c>
      <c r="I226" s="102">
        <f>I223+I225-I224-I222</f>
        <v>8.9500000000000028</v>
      </c>
      <c r="J226" s="100" t="s">
        <v>249</v>
      </c>
      <c r="K226" s="101">
        <f>K225/L223</f>
        <v>0.40902474526928678</v>
      </c>
      <c r="P226" s="130">
        <f>P223+P225+P222+P224</f>
        <v>44750</v>
      </c>
      <c r="Q226" s="58">
        <f>P226/'Master P&amp;L'!$AD$5*10000</f>
        <v>0.19923998800182582</v>
      </c>
      <c r="S226" s="100" t="s">
        <v>251</v>
      </c>
      <c r="T226" s="102"/>
      <c r="W226" s="100" t="s">
        <v>252</v>
      </c>
      <c r="X226" s="122">
        <f>X223+X225+X222+X224</f>
        <v>2.2491864953689953E-4</v>
      </c>
      <c r="AC226" s="100" t="s">
        <v>229</v>
      </c>
      <c r="AD226" s="122">
        <f>AD223</f>
        <v>7.3709890980206186E-4</v>
      </c>
    </row>
    <row r="227" spans="1:37">
      <c r="H227" s="100" t="s">
        <v>253</v>
      </c>
      <c r="I227" s="102"/>
      <c r="J227" s="100" t="s">
        <v>145</v>
      </c>
      <c r="K227" s="109">
        <f>-AVERAGE(K222:L222)+AVERAGE(K223:L223)+AVERAGE(K225:L225)-AVERAGE(K224:L224)</f>
        <v>7.975000000000005</v>
      </c>
      <c r="P227" s="100"/>
      <c r="Q227" s="108"/>
      <c r="S227" s="100"/>
      <c r="T227" s="102"/>
      <c r="W227" s="100"/>
      <c r="X227" s="122"/>
      <c r="Y227" s="13">
        <f>(Y222+Y223+Y224)/S223</f>
        <v>2542.9758429527287</v>
      </c>
      <c r="AC227" s="100"/>
      <c r="AD227" s="104"/>
    </row>
    <row r="228" spans="1:37">
      <c r="D228" s="64"/>
      <c r="H228" s="96"/>
      <c r="I228" s="64">
        <f>I223-I222</f>
        <v>18.150000000000002</v>
      </c>
      <c r="K228" s="64">
        <f>(I222/25*A222)+(I223/25*A223)-(I225/25*A225)</f>
        <v>9.9540000000000006</v>
      </c>
      <c r="N228" s="36"/>
      <c r="O228" s="162"/>
      <c r="P228" s="15"/>
      <c r="Q228" s="58"/>
    </row>
    <row r="229" spans="1:37">
      <c r="I229" s="64">
        <f>I224-I225</f>
        <v>9.1999999999999993</v>
      </c>
      <c r="K229">
        <v>11.59</v>
      </c>
      <c r="M229" s="267">
        <f>(I226-K227)*500*100</f>
        <v>48749.999999999891</v>
      </c>
      <c r="P229">
        <v>-7500</v>
      </c>
      <c r="S229">
        <v>521.79999999999995</v>
      </c>
    </row>
    <row r="230" spans="1:37">
      <c r="I230" s="40">
        <f>I229/I228</f>
        <v>0.5068870523415977</v>
      </c>
    </row>
    <row r="231" spans="1:37">
      <c r="I231" s="64"/>
    </row>
    <row r="232" spans="1:37">
      <c r="I232" s="64"/>
    </row>
    <row r="233" spans="1:37">
      <c r="A233" s="439">
        <f>P233/Y233</f>
        <v>0.18613612954003977</v>
      </c>
      <c r="B233" s="59" t="s">
        <v>2291</v>
      </c>
      <c r="C233" t="str" cm="1">
        <f t="array" ref="C233">_xll.BDP(B233&amp;" Equity","OPT_UNDL_TICKER")</f>
        <v>META US</v>
      </c>
      <c r="D233" s="43">
        <f>J233+U233</f>
        <v>8.1383332625529103E-2</v>
      </c>
      <c r="E233" cm="1">
        <f t="array" ref="E233">_xll.BDP($B233&amp;" Index","opt_days_expire")</f>
        <v>165</v>
      </c>
      <c r="F233" t="str" cm="1">
        <f t="array" ref="F233">_xll.BDP(B233&amp;" Equity","QUOTED_CURRENCY_REALTIME")</f>
        <v>USD</v>
      </c>
      <c r="G233" s="105" t="s">
        <v>247</v>
      </c>
      <c r="H233" s="131">
        <v>40</v>
      </c>
      <c r="I233" s="97">
        <f>IF(G233="Buy",L233,K233)</f>
        <v>83.9</v>
      </c>
      <c r="J233" s="19">
        <f>I233/S233</f>
        <v>0.11876955309239678</v>
      </c>
      <c r="K233" s="36" cm="1">
        <f t="array" ref="K233">_xll.BDP($B233&amp;" Equity","bid")</f>
        <v>82.05</v>
      </c>
      <c r="L233" s="36" cm="1">
        <f t="array" ref="L233">_xll.BDP($B233&amp;" Equity","ask")</f>
        <v>83.9</v>
      </c>
      <c r="M233" s="40">
        <f>(L233/K233-1)</f>
        <v>2.2547227300426576E-2</v>
      </c>
      <c r="N233" s="36" cm="1">
        <f t="array" ref="N233">_xll.BDP(F233&amp;" Curncy","PX_LAST")</f>
        <v>1</v>
      </c>
      <c r="O233" s="162" cm="1">
        <f t="array" ref="O233">_xll.BDP(B233&amp;" Equity","OPT_MULTIPLIER")</f>
        <v>100</v>
      </c>
      <c r="P233" s="15">
        <f>IF(G233="Buy",((I233/N233)*H233*O233),((I233/N233)*-H233*O233))</f>
        <v>335600</v>
      </c>
      <c r="Q233" s="58">
        <f>P233/'Master P&amp;L'!$AD$5*10000</f>
        <v>1.4941886027578266</v>
      </c>
      <c r="R233" s="37" cm="1">
        <f t="array" ref="R233">_xll.BDP($C233&amp;" Equity","EST_PE_NXT_YR")*(T233/S233)</f>
        <v>18.253817764456102</v>
      </c>
      <c r="S233" s="36" cm="1">
        <f t="array" ref="S233">_xll.BDP(C233&amp;" Equity","LAST_PRICE")</f>
        <v>706.41</v>
      </c>
      <c r="T233" s="53" cm="1">
        <f t="array" ref="T233">_xll.BDP(B233&amp;" Equity","OPT_STRIKE_PX")</f>
        <v>680</v>
      </c>
      <c r="U233" s="40">
        <f>T233/S233-1</f>
        <v>-3.7386220466867681E-2</v>
      </c>
      <c r="V233" s="37" cm="1">
        <f t="array" ref="V233">_xll.BDP($B233&amp;" Equity","ivol_mid")</f>
        <v>33.85398</v>
      </c>
      <c r="W233" s="38" cm="1">
        <f t="array" ref="W233">_xll.BDP(B233&amp;" Equity","DELTA_MID_RT")</f>
        <v>0.63807898759841919</v>
      </c>
      <c r="X233" s="48">
        <f>Y233/'Master P&amp;L'!$AE$5</f>
        <v>8.0273969725818946E-4</v>
      </c>
      <c r="Y233" s="15">
        <f>IF(G233="Sell", S233*W233*-H233*O233/N233, S233*W233*H233*O233/N233)</f>
        <v>1802981.510517597</v>
      </c>
      <c r="Z233" s="15" cm="1">
        <f t="array" ref="Z233">_xll.BDP($B233&amp;" Equity","opt_theta")*H233*O233/N233</f>
        <v>-721.72800000000007</v>
      </c>
      <c r="AA233" s="19" cm="1">
        <f t="array" ref="AA233">_xll.BDP($B233&amp;" Equity","opt_theta")/I233</f>
        <v>-2.1505601907032181E-3</v>
      </c>
      <c r="AB233" s="36" t="str" cm="1">
        <f t="array" ref="AB233">_xll.BDP($C233&amp;" Equity","EXPECTED_REPORT_DT")</f>
        <v>30/04/2026</v>
      </c>
      <c r="AC233" s="15">
        <f>S233*H233*O233/N233</f>
        <v>2825640</v>
      </c>
      <c r="AD233" s="48">
        <f>AC233/'Master P&amp;L'!$AE$5</f>
        <v>1.2580569378714615E-3</v>
      </c>
      <c r="AE233" t="str">
        <f>B233&amp;" -&gt; Buy to open "&amp;H233&amp;"x"</f>
        <v>META US 07/17/26 C680 -&gt; Buy to open 40x</v>
      </c>
    </row>
    <row r="234" spans="1:37">
      <c r="A234" s="439">
        <f t="shared" ref="A234:A235" si="0">P234/Y234</f>
        <v>0.16927510956589897</v>
      </c>
      <c r="B234" s="59" t="s">
        <v>2284</v>
      </c>
      <c r="C234" t="str" cm="1">
        <f t="array" ref="C234">_xll.BDP(B234&amp;" Equity","OPT_UNDL_TICKER")</f>
        <v>AMZN US</v>
      </c>
      <c r="D234" s="43">
        <f>J234+U234</f>
        <v>0.11808528152782344</v>
      </c>
      <c r="E234" cm="1">
        <f t="array" ref="E234">_xll.BDP($B234&amp;" Index","opt_days_expire")</f>
        <v>165</v>
      </c>
      <c r="F234" t="str" cm="1">
        <f t="array" ref="F234">_xll.BDP(B234&amp;" Equity","QUOTED_CURRENCY_REALTIME")</f>
        <v>USD</v>
      </c>
      <c r="G234" s="105" t="s">
        <v>247</v>
      </c>
      <c r="H234" s="131">
        <v>105</v>
      </c>
      <c r="I234" s="97">
        <f>IF(G234="Buy",L234,K234)</f>
        <v>21.65</v>
      </c>
      <c r="J234" s="19">
        <f>I234/S234</f>
        <v>8.9109318406322024E-2</v>
      </c>
      <c r="K234" s="36" cm="1">
        <f t="array" ref="K234">_xll.BDP($B234&amp;" Equity","bid")</f>
        <v>21.4</v>
      </c>
      <c r="L234" s="36" cm="1">
        <f t="array" ref="L234">_xll.BDP($B234&amp;" Equity","ask")</f>
        <v>21.65</v>
      </c>
      <c r="M234" s="40">
        <f>(L234/K234-1)</f>
        <v>1.1682242990654235E-2</v>
      </c>
      <c r="N234" s="36" cm="1">
        <f t="array" ref="N234">_xll.BDP(F234&amp;" Curncy","PX_LAST")</f>
        <v>1</v>
      </c>
      <c r="O234" s="162" cm="1">
        <f t="array" ref="O234">_xll.BDP(B234&amp;" Equity","OPT_MULTIPLIER")</f>
        <v>100</v>
      </c>
      <c r="P234" s="15">
        <f>IF(G234="Buy",((I234/N234)*H234*O234),((I234/N234)*-H234*O234))</f>
        <v>227325</v>
      </c>
      <c r="Q234" s="58">
        <f>P234/'Master P&amp;L'!$AD$5*10000</f>
        <v>1.0121168775981018</v>
      </c>
      <c r="R234" s="37" cm="1">
        <f t="array" ref="R234">_xll.BDP($C234&amp;" Equity","EST_PE_NXT_YR")*(T234/S234)</f>
        <v>26.30881170720221</v>
      </c>
      <c r="S234" s="36" cm="1">
        <f t="array" ref="S234">_xll.BDP(C234&amp;" Equity","LAST_PRICE")</f>
        <v>242.96</v>
      </c>
      <c r="T234" s="53" cm="1">
        <f t="array" ref="T234">_xll.BDP(B234&amp;" Equity","OPT_STRIKE_PX")</f>
        <v>250</v>
      </c>
      <c r="U234" s="40">
        <f>T234/S234-1</f>
        <v>2.8975963121501414E-2</v>
      </c>
      <c r="V234" s="37" cm="1">
        <f t="array" ref="V234">_xll.BDP(B234&amp;" Equity","ivol_mid")</f>
        <v>35.157110000000003</v>
      </c>
      <c r="W234" s="38" cm="1">
        <f t="array" ref="W234">_xll.BDP(B234&amp;" Equity","DELTA_MID_RT")</f>
        <v>0.52641713619232178</v>
      </c>
      <c r="X234" s="48">
        <f>Y234/'Master P&amp;L'!$AE$5</f>
        <v>5.9791240436567758E-4</v>
      </c>
      <c r="Y234" s="15">
        <f>IF(G234="Sell", S234*W234*-H234*O234/N234, S234*W234*H234*O234/N234)</f>
        <v>1342932.2277975082</v>
      </c>
      <c r="Z234" s="15" cm="1">
        <f t="array" ref="Z234">_xll.BDP($B234&amp;" Equity","opt_theta")*H234*O234/N234</f>
        <v>-706.90199999999993</v>
      </c>
      <c r="AA234" s="19" cm="1">
        <f t="array" ref="AA234">_xll.BDP($B234&amp;" Equity","opt_theta")/I234</f>
        <v>-3.1096535796766743E-3</v>
      </c>
      <c r="AB234" s="36" t="str" cm="1">
        <f t="array" ref="AB234">_xll.BDP($C234&amp;" Equity","EXPECTED_REPORT_DT")</f>
        <v>05/02/2026</v>
      </c>
      <c r="AC234" s="15">
        <f>S234*H234*O234/N234</f>
        <v>2551080</v>
      </c>
      <c r="AD234" s="19">
        <f>AC234/'Master P&amp;L'!$AE$5</f>
        <v>1.1358148571881514E-3</v>
      </c>
      <c r="AE234" t="str">
        <f>B234  &amp; " -&gt; Sell to open " &amp;   H234 &amp;"x"</f>
        <v>AMZN US 07/17/26 C250 -&gt; Sell to open 105x</v>
      </c>
    </row>
    <row r="235" spans="1:37">
      <c r="A235" s="439">
        <f t="shared" si="0"/>
        <v>0.10775736946429136</v>
      </c>
      <c r="B235" s="59" t="s">
        <v>2287</v>
      </c>
      <c r="C235" t="str" cm="1">
        <f t="array" ref="C235">_xll.BDP(B235&amp;" Equity","OPT_UNDL_TICKER")</f>
        <v>MSFT US</v>
      </c>
      <c r="D235" s="43">
        <f>J235+U235</f>
        <v>0.14663296879797816</v>
      </c>
      <c r="E235" cm="1">
        <f t="array" ref="E235">_xll.BDP($B235&amp;" Index","opt_days_expire")</f>
        <v>165</v>
      </c>
      <c r="F235" t="str" cm="1">
        <f t="array" ref="F235">_xll.BDP(B235&amp;" Equity","QUOTED_CURRENCY_REALTIME")</f>
        <v>USD</v>
      </c>
      <c r="G235" s="105" t="s">
        <v>247</v>
      </c>
      <c r="H235" s="131">
        <v>55</v>
      </c>
      <c r="I235" s="97">
        <f t="shared" ref="I235" si="1">IF(G235="Buy",L235,K235)</f>
        <v>15.45</v>
      </c>
      <c r="J235" s="19">
        <f t="shared" ref="J235" si="2">I235/S235</f>
        <v>3.6492902189574128E-2</v>
      </c>
      <c r="K235" s="36" cm="1">
        <f t="array" ref="K235">_xll.BDP($B235&amp;" Equity","bid")</f>
        <v>15.25</v>
      </c>
      <c r="L235" s="36" cm="1">
        <f t="array" ref="L235">_xll.BDP($B235&amp;" Equity","ask")</f>
        <v>15.45</v>
      </c>
      <c r="M235" s="40">
        <f t="shared" ref="M235" si="3">(L235/K235-1)</f>
        <v>1.3114754098360715E-2</v>
      </c>
      <c r="N235" s="36" cm="1">
        <f t="array" ref="N235">_xll.BDP(F235&amp;" Curncy","PX_LAST")</f>
        <v>1</v>
      </c>
      <c r="O235" s="162" cm="1">
        <f t="array" ref="O235">_xll.BDP(B235&amp;" Equity","OPT_MULTIPLIER")</f>
        <v>100</v>
      </c>
      <c r="P235" s="15">
        <f t="shared" ref="P235" si="4">IF(G235="Buy",((I235/N235)*H235*O235),((I235/N235)*-H235*O235))</f>
        <v>84975</v>
      </c>
      <c r="Q235" s="58">
        <f>P235/'Master P&amp;L'!$AD$5*10000</f>
        <v>0.37833336269173512</v>
      </c>
      <c r="R235" s="37" cm="1">
        <f t="array" ref="R235">_xll.BDP($C235&amp;" Equity","EST_PE_NXT_YR")*(T235/S235)</f>
        <v>24.779547388239795</v>
      </c>
      <c r="S235" s="36" cm="1">
        <f t="array" ref="S235">_xll.BDP(C235&amp;" Equity","LAST_PRICE")</f>
        <v>423.37</v>
      </c>
      <c r="T235" s="53" cm="1">
        <f t="array" ref="T235">_xll.BDP(B235&amp;" Equity","OPT_STRIKE_PX")</f>
        <v>470</v>
      </c>
      <c r="U235" s="40">
        <f t="shared" ref="U235" si="5">T235/S235-1</f>
        <v>0.11014006660840403</v>
      </c>
      <c r="V235" s="37" cm="1">
        <f t="array" ref="V235">_xll.BDP(B235&amp;" Equity","ivol_mid")</f>
        <v>26.664650000000002</v>
      </c>
      <c r="W235" s="38" cm="1">
        <f t="array" ref="W235">_xll.BDP(B235&amp;" Equity","DELTA_MID_RT")</f>
        <v>0.33865806460380554</v>
      </c>
      <c r="X235" s="48">
        <f>Y235/'Master P&amp;L'!$AE$5</f>
        <v>3.5109743730066392E-4</v>
      </c>
      <c r="Y235" s="15">
        <f t="shared" ref="Y235" si="6">IF(G235="Sell", S235*W235*-H235*O235/N235, S235*W235*H235*O235/N235)</f>
        <v>788577.15646222245</v>
      </c>
      <c r="Z235" s="15" cm="1">
        <f t="array" ref="Z235">_xll.BDP($B235&amp;" Equity","opt_theta")*H235*O235/N235</f>
        <v>-474.45749999999992</v>
      </c>
      <c r="AA235" s="19" cm="1">
        <f t="array" ref="AA235">_xll.BDP($B235&amp;" Equity","opt_theta")/I235</f>
        <v>-5.5834951456310679E-3</v>
      </c>
      <c r="AB235" s="36" t="str" cm="1">
        <f t="array" ref="AB235">_xll.BDP($C235&amp;" Equity","EXPECTED_REPORT_DT")</f>
        <v>30/04/2026</v>
      </c>
      <c r="AC235" s="15">
        <f t="shared" ref="AC235" si="7">S235*H235*O235/N235</f>
        <v>2328535</v>
      </c>
      <c r="AD235" s="19">
        <f>AC235/'Master P&amp;L'!$AE$5</f>
        <v>1.0367313641605172E-3</v>
      </c>
      <c r="AE235" t="str">
        <f t="shared" ref="AE235" si="8">B235  &amp; " -&gt; Sell to open " &amp;   H235 &amp;"x"</f>
        <v>MSFT US 07/17/26 C470 -&gt; Sell to open 55x</v>
      </c>
    </row>
    <row r="236" spans="1:37">
      <c r="A236" s="439">
        <f t="shared" ref="A236" si="9">P236/Y236</f>
        <v>0.17482527580400706</v>
      </c>
      <c r="B236" s="59" t="s">
        <v>2289</v>
      </c>
      <c r="C236" t="str" cm="1">
        <f t="array" ref="C236">_xll.BDP(B236&amp;" Equity","OPT_UNDL_TICKER")</f>
        <v>GOOG US</v>
      </c>
      <c r="D236" s="43">
        <f>J236+U236</f>
        <v>0.1110466801971587</v>
      </c>
      <c r="E236" cm="1">
        <f t="array" ref="E236">_xll.BDP($B236&amp;" Index","opt_days_expire")</f>
        <v>165</v>
      </c>
      <c r="F236" t="str" cm="1">
        <f t="array" ref="F236">_xll.BDP(B236&amp;" Equity","QUOTED_CURRENCY_REALTIME")</f>
        <v>USD</v>
      </c>
      <c r="G236" s="105" t="s">
        <v>247</v>
      </c>
      <c r="H236" s="131">
        <v>70</v>
      </c>
      <c r="I236" s="97">
        <f t="shared" ref="I236" si="10">IF(G236="Buy",L236,K236)</f>
        <v>33.200000000000003</v>
      </c>
      <c r="J236" s="19">
        <f t="shared" ref="J236" si="11">I236/S236</f>
        <v>9.6259785445056548E-2</v>
      </c>
      <c r="K236" s="36" cm="1">
        <f t="array" ref="K236">_xll.BDP($B236&amp;" Equity","bid")</f>
        <v>33</v>
      </c>
      <c r="L236" s="36" cm="1">
        <f t="array" ref="L236">_xll.BDP($B236&amp;" Equity","ask")</f>
        <v>33.200000000000003</v>
      </c>
      <c r="M236" s="40">
        <f t="shared" ref="M236" si="12">(L236/K236-1)</f>
        <v>6.0606060606060996E-3</v>
      </c>
      <c r="N236" s="36" cm="1">
        <f t="array" ref="N236">_xll.BDP(F236&amp;" Curncy","PX_LAST")</f>
        <v>1</v>
      </c>
      <c r="O236" s="162" cm="1">
        <f t="array" ref="O236">_xll.BDP(B236&amp;" Equity","OPT_MULTIPLIER")</f>
        <v>100</v>
      </c>
      <c r="P236" s="15">
        <f t="shared" ref="P236" si="13">IF(G236="Buy",((I236/N236)*H236*O236),((I236/N236)*-H236*O236))</f>
        <v>232400</v>
      </c>
      <c r="Q236" s="58">
        <f>P236/'Master P&amp;L'!$AD$5*10000</f>
        <v>1.0347122505390909</v>
      </c>
      <c r="R236" s="37" cm="1">
        <f t="array" ref="R236">_xll.BDP($C236&amp;" Equity","EST_PE_NXT_YR")*(T236/S236)</f>
        <v>29.530298637286169</v>
      </c>
      <c r="S236" s="36" cm="1">
        <f t="array" ref="S236">_xll.BDP(C236&amp;" Equity","LAST_PRICE")</f>
        <v>344.9</v>
      </c>
      <c r="T236" s="53" cm="1">
        <f t="array" ref="T236">_xll.BDP(B236&amp;" Equity","OPT_STRIKE_PX")</f>
        <v>350</v>
      </c>
      <c r="U236" s="40">
        <f t="shared" ref="U236" si="14">T236/S236-1</f>
        <v>1.4786894752102153E-2</v>
      </c>
      <c r="V236" s="37" cm="1">
        <f t="array" ref="V236">_xll.BDP(B236&amp;" Equity","ivol_mid")</f>
        <v>35.427460000000004</v>
      </c>
      <c r="W236" s="38" cm="1">
        <f t="array" ref="W236">_xll.BDP(B236&amp;" Equity","DELTA_MID_RT")</f>
        <v>0.5506056547164917</v>
      </c>
      <c r="X236" s="48">
        <f>Y236/'Master P&amp;L'!$AE$5</f>
        <v>5.9185506545351312E-4</v>
      </c>
      <c r="Y236" s="15">
        <f t="shared" ref="Y236" si="15">IF(G236="Sell", S236*W236*-H236*O236/N236, S236*W236*H236*O236/N236)</f>
        <v>1329327.2321820259</v>
      </c>
      <c r="Z236" s="15" cm="1">
        <f t="array" ref="Z236">_xll.BDP($B236&amp;" Equity","opt_theta")*H236*O236/N236</f>
        <v>-663.34100000000001</v>
      </c>
      <c r="AA236" s="19" cm="1">
        <f t="array" ref="AA236">_xll.BDP($B236&amp;" Equity","opt_theta")/I236</f>
        <v>-2.8543072289156624E-3</v>
      </c>
      <c r="AB236" s="36" t="str" cm="1">
        <f t="array" ref="AB236">_xll.BDP($C236&amp;" Equity","EXPECTED_REPORT_DT")</f>
        <v>04/02/2026</v>
      </c>
      <c r="AC236" s="15">
        <f t="shared" ref="AC236" si="16">S236*H236*O236/N236</f>
        <v>2414300</v>
      </c>
      <c r="AD236" s="19">
        <f>AC236/'Master P&amp;L'!$AE$5</f>
        <v>1.0749164313582301E-3</v>
      </c>
      <c r="AE236" t="str">
        <f t="shared" ref="AE236" si="17">B236  &amp; " -&gt; Sell to open " &amp;   H236 &amp;"x"</f>
        <v>GOOG US 07/17/26 C350 -&gt; Sell to open 70x</v>
      </c>
    </row>
    <row r="237" spans="1:37">
      <c r="A237" s="439">
        <f t="shared" ref="A237" si="18">P237/Y237</f>
        <v>0.2054111265669358</v>
      </c>
      <c r="B237" s="59" t="s">
        <v>2290</v>
      </c>
      <c r="C237" t="str" cm="1">
        <f t="array" ref="C237">_xll.BDP(B237&amp;" Equity","OPT_UNDL_TICKER")</f>
        <v>NVDA US</v>
      </c>
      <c r="D237" s="43">
        <f t="shared" ref="D237" si="19">J237+U237</f>
        <v>0.15672646947901508</v>
      </c>
      <c r="E237" cm="1">
        <f t="array" ref="E237">_xll.BDP($B237&amp;" Index","opt_days_expire")</f>
        <v>165</v>
      </c>
      <c r="F237" t="str" cm="1">
        <f t="array" ref="F237">_xll.BDP(B237&amp;" Equity","QUOTED_CURRENCY_REALTIME")</f>
        <v>USD</v>
      </c>
      <c r="G237" s="105" t="s">
        <v>247</v>
      </c>
      <c r="H237" s="131">
        <v>135</v>
      </c>
      <c r="I237" s="97">
        <f t="shared" ref="I237" si="20">IF(G237="Buy",L237,K237)</f>
        <v>19.7</v>
      </c>
      <c r="J237" s="19">
        <f t="shared" ref="J237" si="21">I237/S237</f>
        <v>0.10613652281665857</v>
      </c>
      <c r="K237" s="36" cm="1">
        <f t="array" ref="K237">_xll.BDP($B237&amp;" Equity","bid")</f>
        <v>19.600000000000001</v>
      </c>
      <c r="L237" s="36" cm="1">
        <f t="array" ref="L237">_xll.BDP($B237&amp;" Equity","ask")</f>
        <v>19.7</v>
      </c>
      <c r="M237" s="40">
        <f t="shared" ref="M237" si="22">(L237/K237-1)</f>
        <v>5.1020408163264808E-3</v>
      </c>
      <c r="N237" s="36" cm="1">
        <f t="array" ref="N237">_xll.BDP(F237&amp;" Curncy","PX_LAST")</f>
        <v>1</v>
      </c>
      <c r="O237" s="162" cm="1">
        <f t="array" ref="O237">_xll.BDP(B237&amp;" Equity","OPT_MULTIPLIER")</f>
        <v>100</v>
      </c>
      <c r="P237" s="15">
        <f t="shared" ref="P237" si="23">IF(G237="Buy",((I237/N237)*H237*O237),((I237/N237)*-H237*O237))</f>
        <v>265950</v>
      </c>
      <c r="Q237" s="58">
        <f>P237/'Master P&amp;L'!$AD$5*10000</f>
        <v>1.1840865879125269</v>
      </c>
      <c r="R237" s="37" cm="1">
        <f t="array" ref="R237">_xll.BDP($C237&amp;" Equity","EST_PE_NXT_YR")*(T237/S237)</f>
        <v>25.786590325176512</v>
      </c>
      <c r="S237" s="36" cm="1">
        <f t="array" ref="S237">_xll.BDP(C237&amp;" Equity","LAST_PRICE")</f>
        <v>185.61</v>
      </c>
      <c r="T237" s="53" cm="1">
        <f t="array" ref="T237">_xll.BDP(B237&amp;" Equity","OPT_STRIKE_PX")</f>
        <v>195</v>
      </c>
      <c r="U237" s="40">
        <f t="shared" ref="U237" si="24">T237/S237-1</f>
        <v>5.05899466623565E-2</v>
      </c>
      <c r="V237" s="37" cm="1">
        <f t="array" ref="V237">_xll.BDP(B237&amp;" Equity","ivol_mid")</f>
        <v>44.714370000000002</v>
      </c>
      <c r="W237" s="38" cm="1">
        <f t="array" ref="W237">_xll.BDP(B237&amp;" Equity","DELTA_MID_RT")</f>
        <v>0.51670289039611816</v>
      </c>
      <c r="X237" s="48">
        <f>Y237/'Master P&amp;L'!$AE$5</f>
        <v>5.7644715147729707E-4</v>
      </c>
      <c r="Y237" s="15">
        <f t="shared" ref="Y237" si="25">IF(G237="Sell", S237*W237*-H237*O237/N237, S237*W237*H237*O237/N237)</f>
        <v>1294720.5170667171</v>
      </c>
      <c r="Z237" s="15" cm="1">
        <f t="array" ref="Z237">_xll.BDP($B237&amp;" Equity","opt_theta")*H237*O237/N237</f>
        <v>-893.60550000000001</v>
      </c>
      <c r="AA237" s="19" cm="1">
        <f t="array" ref="AA237">_xll.BDP($B237&amp;" Equity","opt_theta")/I237</f>
        <v>-3.3600507614213199E-3</v>
      </c>
      <c r="AB237" s="36" t="str" cm="1">
        <f t="array" ref="AB237">_xll.BDP($C237&amp;" Equity","EXPECTED_REPORT_DT")</f>
        <v>25/02/2026</v>
      </c>
      <c r="AC237" s="15">
        <f t="shared" ref="AC237" si="26">S237*H237*O237/N237</f>
        <v>2505735</v>
      </c>
      <c r="AD237" s="19">
        <f>AC237/'Master P&amp;L'!$AE$5</f>
        <v>1.1156259471190055E-3</v>
      </c>
      <c r="AE237" t="str">
        <f t="shared" ref="AE237" si="27">B237  &amp; " -&gt; Sell to open " &amp;   H237 &amp;"x"</f>
        <v>NVDA US 07/17/26 C195 -&gt; Sell to open 135x</v>
      </c>
    </row>
    <row r="239" spans="1:37">
      <c r="A239" s="237"/>
      <c r="B239" s="73"/>
      <c r="D239" s="64"/>
      <c r="G239" s="105"/>
      <c r="H239" s="131"/>
      <c r="I239" s="97">
        <f>I234-I233</f>
        <v>-62.250000000000007</v>
      </c>
      <c r="J239" s="19"/>
      <c r="K239" s="109">
        <f>AVERAGE(K233:L233)-AVERAGE(K234:L234)</f>
        <v>61.449999999999996</v>
      </c>
      <c r="L239" s="36"/>
      <c r="M239" s="40"/>
      <c r="N239" s="36"/>
      <c r="O239" s="162"/>
      <c r="P239" s="15"/>
      <c r="Q239" s="58"/>
      <c r="R239" s="37"/>
      <c r="S239" s="36"/>
      <c r="T239" s="53"/>
      <c r="U239" s="40"/>
      <c r="V239" s="37"/>
      <c r="W239" s="38"/>
      <c r="X239" s="48"/>
      <c r="Y239" s="15"/>
      <c r="Z239" s="15"/>
      <c r="AA239" s="19"/>
      <c r="AB239" s="36"/>
      <c r="AC239" s="15"/>
      <c r="AD239" s="48"/>
    </row>
    <row r="240" spans="1:37">
      <c r="A240" s="237"/>
      <c r="B240" s="73"/>
      <c r="D240" s="64"/>
      <c r="G240" s="105"/>
      <c r="H240" s="131"/>
      <c r="I240" s="97"/>
      <c r="J240" s="19"/>
      <c r="K240" s="36"/>
      <c r="L240" s="36"/>
      <c r="M240" s="40"/>
      <c r="N240" s="36"/>
      <c r="O240" s="162"/>
      <c r="P240" s="15"/>
      <c r="Q240" s="58"/>
      <c r="R240" s="37"/>
      <c r="S240" s="36"/>
      <c r="T240" s="53"/>
      <c r="U240" s="40"/>
      <c r="V240" s="37"/>
      <c r="W240" s="38"/>
      <c r="X240" s="48"/>
      <c r="Y240" s="15"/>
      <c r="Z240" s="15"/>
      <c r="AA240" s="19"/>
      <c r="AB240" s="36"/>
      <c r="AC240" s="15"/>
      <c r="AD240" s="19"/>
    </row>
    <row r="244" spans="4:6">
      <c r="D244">
        <v>1</v>
      </c>
      <c r="E244">
        <v>1.45</v>
      </c>
      <c r="F244">
        <f>E244</f>
        <v>1.45</v>
      </c>
    </row>
    <row r="245" spans="4:6">
      <c r="D245">
        <v>1</v>
      </c>
      <c r="E245">
        <v>1.17</v>
      </c>
      <c r="F245">
        <f>F244*E245</f>
        <v>1.6964999999999999</v>
      </c>
    </row>
    <row r="246" spans="4:6">
      <c r="D246">
        <v>1</v>
      </c>
      <c r="E246">
        <v>1.07</v>
      </c>
      <c r="F246">
        <f>F245*E246</f>
        <v>1.8152550000000001</v>
      </c>
    </row>
    <row r="247" spans="4:6">
      <c r="D247">
        <v>1</v>
      </c>
      <c r="E247">
        <v>1.03</v>
      </c>
      <c r="F247">
        <f>F246*E247</f>
        <v>1.8697126500000001</v>
      </c>
    </row>
    <row r="248" spans="4:6">
      <c r="E248">
        <f>SUM(E244:E247)/4</f>
        <v>1.1800000000000002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E9" sqref="E9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5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1749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IF(B5="","",IF(LEN(B5)&gt;9,SUMIFS(Options!$H$3:$H$25,Options!$B$3:$B$25,Check!B5),SUMIFS('Master P&amp;L'!$H$11:$H$100,'Master P&amp;L'!$B$11:$B$100,Check!B5)))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79</v>
      </c>
      <c r="P5" s="217">
        <f>IF(O5="","",IF(OR(LEFT(O5,4)="Cash",LEFT(O5,4)="Prov"),0,SUMIFS(Input_APM!N:N,Input_APM!L:L,Check!O5)))</f>
        <v>0</v>
      </c>
      <c r="Q5" s="22">
        <f>IF(O5="","",IF(LEN(O5)&gt;9,SUMIFS(Options!$H$3:$H$25,Options!$B$3:$B$25,Check!O5),SUMIFS('Master P&amp;L'!$H$11:$H$100,'Master P&amp;L'!$B$11:$B$100,Check!O5)))</f>
        <v>3000</v>
      </c>
      <c r="R5" s="217">
        <f>IF(O5="","",P5-Q5)</f>
        <v>-3000</v>
      </c>
      <c r="S5" s="361" t="str">
        <f>IF(O5="","",IF((P5+Q5)=0,"Ok",IF(OR(P5=0,Q5=0),"Erro",P5/Q5)))</f>
        <v>Erro</v>
      </c>
      <c r="V5" s="13"/>
    </row>
    <row r="6" spans="2:22">
      <c r="B6" t="s">
        <v>461</v>
      </c>
      <c r="C6" s="233">
        <f>IF(B6="","",IF(LEN(B6)&gt;9,SUMIFS(Options!$H$3:$H$25,Options!$B$3:$B$25,Check!B6),SUMIFS('Master P&amp;L'!$H$11:$H$100,'Master P&amp;L'!$B$11:$B$100,Check!B6)))</f>
        <v>3378</v>
      </c>
      <c r="D6" s="233">
        <f>IF(B6="","",SUMIFS(Input_APM!N:N,Input_APM!L:L,Check!B6,Input_APM!M:M,Check!$F$1))</f>
        <v>3163</v>
      </c>
      <c r="E6" s="219">
        <f>IF(B6="","",C6-M6)</f>
        <v>0</v>
      </c>
      <c r="F6" s="233">
        <f>IF(B6="","",SUMIFS(Input_APM!N:N,Input_APM!M:M,Check!$F$1,Input_APM!L:L,Check!B6))</f>
        <v>3163</v>
      </c>
      <c r="G6" s="233">
        <f>IF(B6="","",SUMIFS(Input_APM!N:N,Input_APM!M:M,Check!$G$1,Input_APM!L:L,Check!B6))</f>
        <v>0</v>
      </c>
      <c r="H6" s="217">
        <f t="shared" ref="H6:H69" si="0">IF(B6="","",F6-G6)</f>
        <v>3163</v>
      </c>
      <c r="I6" s="217">
        <f>SUMIFS(Input_APM!N:N,Input_APM!L:L,Check!B6)</f>
        <v>3163</v>
      </c>
      <c r="J6" s="219">
        <f>IF(B6="","",(F6+G6)-I6)</f>
        <v>0</v>
      </c>
      <c r="K6" s="22">
        <f>IF(B6="","",SUMIFS('Input_APM (Zenith)'!N:N,'Input_APM (Zenith)'!L:L,Check!B6,'Input_APM (Zenith)'!M:M,Check!$F$1))</f>
        <v>215</v>
      </c>
      <c r="L6" s="22">
        <f>IF(B6="","",SUMIFS('Input_APM (Zenith)'!N:N,'Input_APM (Zenith)'!L:L,Check!B6,'Input_APM (Zenith)'!M:M,Check!$G$1))</f>
        <v>0</v>
      </c>
      <c r="M6" s="240">
        <f>IF(B6="","",F6+G6+K6+L6)</f>
        <v>3378</v>
      </c>
      <c r="O6" t="s">
        <v>2457</v>
      </c>
      <c r="P6" s="217">
        <f>IF(O6="","",IF(OR(LEFT(O6,4)="Cash",LEFT(O6,4)="Prov"),0,SUMIFS(Input_APM!N:N,Input_APM!L:L,Check!O6)))</f>
        <v>329</v>
      </c>
      <c r="Q6" s="22">
        <f>IF(O6="","",IF(LEN(O6)&gt;9,SUMIFS(Options!$H$3:$H$25,Options!$B$3:$B$25,Check!O6),SUMIFS('Master P&amp;L'!$H$11:$H$100,'Master P&amp;L'!$B$11:$B$100,Check!O6)))</f>
        <v>350</v>
      </c>
      <c r="R6" s="217">
        <f t="shared" ref="R6:R69" si="1">IF(O6="","",P6-Q6)</f>
        <v>-21</v>
      </c>
      <c r="S6" s="361">
        <f t="shared" ref="S6:S69" si="2">IF(O6="","",IF((P6+Q6)=0,"Ok",IF(OR(P6=0,Q6=0),"Erro",P6/Q6)))</f>
        <v>0.94</v>
      </c>
      <c r="V6" s="13"/>
    </row>
    <row r="7" spans="2:22">
      <c r="B7" t="s">
        <v>2138</v>
      </c>
      <c r="C7" s="233">
        <f>IF(B7="","",IF(LEN(B7)&gt;9,SUMIFS(Options!$H$3:$H$25,Options!$B$3:$B$25,Check!B7),SUMIFS('Master P&amp;L'!$H$11:$H$100,'Master P&amp;L'!$B$11:$B$100,Check!B7)))</f>
        <v>3510</v>
      </c>
      <c r="D7" s="233">
        <f>IF(B7="","",SUMIFS(Input_APM!N:N,Input_APM!L:L,Check!B7,Input_APM!M:M,Check!$F$1))</f>
        <v>3285</v>
      </c>
      <c r="E7" s="219">
        <f>IF(B7="","",C7-M7)</f>
        <v>0</v>
      </c>
      <c r="F7" s="233">
        <f>IF(B7="","",SUMIFS(Input_APM!N:N,Input_APM!M:M,Check!$F$1,Input_APM!L:L,Check!B7))</f>
        <v>3285</v>
      </c>
      <c r="G7" s="233">
        <f>IF(B7="","",SUMIFS(Input_APM!N:N,Input_APM!M:M,Check!$G$1,Input_APM!L:L,Check!B7))</f>
        <v>0</v>
      </c>
      <c r="H7" s="217">
        <f>IF(B7="","",F7-G7)</f>
        <v>3285</v>
      </c>
      <c r="I7" s="217">
        <f>SUMIFS(Input_APM!N:N,Input_APM!L:L,Check!B7)</f>
        <v>3285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225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3510</v>
      </c>
      <c r="O7" t="s">
        <v>2458</v>
      </c>
      <c r="P7" s="217">
        <f>IF(O7="","",IF(OR(LEFT(O7,4)="Cash",LEFT(O7,4)="Prov"),0,SUMIFS(Input_APM!N:N,Input_APM!L:L,Check!O7)))</f>
        <v>-329</v>
      </c>
      <c r="Q7" s="22">
        <f>IF(O7="","",IF(LEN(O7)&gt;9,SUMIFS(Options!$H$3:$H$25,Options!$B$3:$B$25,Check!O7),SUMIFS('Master P&amp;L'!$H$11:$H$100,'Master P&amp;L'!$B$11:$B$100,Check!O7)))</f>
        <v>-350</v>
      </c>
      <c r="R7" s="217">
        <f t="shared" si="1"/>
        <v>21</v>
      </c>
      <c r="S7" s="361">
        <f t="shared" si="2"/>
        <v>0.94</v>
      </c>
      <c r="V7" s="13"/>
    </row>
    <row r="8" spans="2:22">
      <c r="B8" t="s">
        <v>38</v>
      </c>
      <c r="C8" s="233">
        <f>IF(B8="","",IF(LEN(B8)&gt;9,SUMIFS(Options!$H$3:$H$25,Options!$B$3:$B$25,Check!B8),SUMIFS('Master P&amp;L'!$H$11:$H$100,'Master P&amp;L'!$B$11:$B$100,Check!B8)))</f>
        <v>21000</v>
      </c>
      <c r="D8" s="233">
        <f>IF(B8="","",SUMIFS(Input_APM!N:N,Input_APM!L:L,Check!B8,Input_APM!M:M,Check!$F$1))</f>
        <v>19706</v>
      </c>
      <c r="E8" s="219">
        <f>IF(B8="","",C8-M8)</f>
        <v>0</v>
      </c>
      <c r="F8" s="233">
        <f>IF(B8="","",SUMIFS(Input_APM!N:N,Input_APM!M:M,Check!$F$1,Input_APM!L:L,Check!B8))</f>
        <v>19706</v>
      </c>
      <c r="G8" s="233">
        <f>IF(B8="","",SUMIFS(Input_APM!N:N,Input_APM!M:M,Check!$G$1,Input_APM!L:L,Check!B8))</f>
        <v>0</v>
      </c>
      <c r="H8" s="217">
        <f t="shared" si="0"/>
        <v>19706</v>
      </c>
      <c r="I8" s="217">
        <f>SUMIFS(Input_APM!N:N,Input_APM!L:L,Check!B8)</f>
        <v>19706</v>
      </c>
      <c r="J8" s="219">
        <f t="shared" si="3"/>
        <v>0</v>
      </c>
      <c r="K8" s="22">
        <f>IF(B8="","",SUMIFS('Input_APM (Zenith)'!N:N,'Input_APM (Zenith)'!L:L,Check!B8,'Input_APM (Zenith)'!M:M,Check!$F$1))</f>
        <v>1294</v>
      </c>
      <c r="L8" s="22">
        <f>IF(B8="","",SUMIFS('Input_APM (Zenith)'!N:N,'Input_APM (Zenith)'!L:L,Check!B8,'Input_APM (Zenith)'!M:M,Check!$G$1))</f>
        <v>0</v>
      </c>
      <c r="M8" s="240">
        <f t="shared" si="4"/>
        <v>21000</v>
      </c>
      <c r="O8" t="s">
        <v>2354</v>
      </c>
      <c r="P8" s="217">
        <f>IF(O8="","",IF(OR(LEFT(O8,4)="Cash",LEFT(O8,4)="Prov"),0,SUMIFS(Input_APM!N:N,Input_APM!L:L,Check!O8)))</f>
        <v>7129</v>
      </c>
      <c r="Q8" s="22">
        <f>IF(O8="","",IF(LEN(O8)&gt;9,SUMIFS(Options!$H$3:$H$25,Options!$B$3:$B$25,Check!O8),SUMIFS('Master P&amp;L'!$H$11:$H$100,'Master P&amp;L'!$B$11:$B$100,Check!O8)))</f>
        <v>7716</v>
      </c>
      <c r="R8" s="217">
        <f t="shared" si="1"/>
        <v>-587</v>
      </c>
      <c r="S8" s="361">
        <f t="shared" si="2"/>
        <v>0.92392431311560397</v>
      </c>
      <c r="V8" s="13"/>
    </row>
    <row r="9" spans="2:22">
      <c r="B9" t="s">
        <v>1908</v>
      </c>
      <c r="C9" s="233">
        <f>IF(B9="","",IF(LEN(B9)&gt;9,SUMIFS(Options!$H$3:$H$25,Options!$B$3:$B$25,Check!B9),SUMIFS('Master P&amp;L'!$H$11:$H$100,'Master P&amp;L'!$B$11:$B$100,Check!B9)))</f>
        <v>0</v>
      </c>
      <c r="D9" s="233">
        <f>IF(B9="","",SUMIFS(Input_APM!N:N,Input_APM!L:L,Check!B9,Input_APM!M:M,Check!$F$1))</f>
        <v>0</v>
      </c>
      <c r="E9" s="219">
        <f>IF(B9="","",C9-M9)</f>
        <v>0</v>
      </c>
      <c r="F9" s="233">
        <f>IF(B9="","",SUMIFS(Input_APM!N:N,Input_APM!M:M,Check!$F$1,Input_APM!L:L,Check!B9))</f>
        <v>0</v>
      </c>
      <c r="G9" s="233">
        <f>IF(B9="","",SUMIFS(Input_APM!N:N,Input_APM!M:M,Check!$G$1,Input_APM!L:L,Check!B9))</f>
        <v>0</v>
      </c>
      <c r="H9" s="217">
        <f t="shared" si="0"/>
        <v>0</v>
      </c>
      <c r="I9" s="217">
        <f>SUMIFS(Input_APM!N:N,Input_APM!L:L,Check!B9)</f>
        <v>0</v>
      </c>
      <c r="J9" s="219">
        <f t="shared" si="3"/>
        <v>0</v>
      </c>
      <c r="K9" s="22">
        <f>IF(B9="","",SUMIFS('Input_APM (Zenith)'!N:N,'Input_APM (Zenith)'!L:L,Check!B9,'Input_APM (Zenith)'!M:M,Check!$F$1))</f>
        <v>0</v>
      </c>
      <c r="L9" s="22">
        <f>IF(B9="","",SUMIFS('Input_APM (Zenith)'!N:N,'Input_APM (Zenith)'!L:L,Check!B9,'Input_APM (Zenith)'!M:M,Check!$G$1))</f>
        <v>0</v>
      </c>
      <c r="M9" s="240">
        <f t="shared" si="4"/>
        <v>0</v>
      </c>
      <c r="O9" t="s">
        <v>399</v>
      </c>
      <c r="P9" s="217">
        <f>IF(O9="","",IF(OR(LEFT(O9,4)="Cash",LEFT(O9,4)="Prov"),0,SUMIFS(Input_APM!N:N,Input_APM!L:L,Check!O9)))</f>
        <v>15307</v>
      </c>
      <c r="Q9" s="22">
        <f>IF(O9="","",IF(LEN(O9)&gt;9,SUMIFS(Options!$H$3:$H$25,Options!$B$3:$B$25,Check!O9),SUMIFS('Master P&amp;L'!$H$11:$H$100,'Master P&amp;L'!$B$11:$B$100,Check!O9)))</f>
        <v>14700</v>
      </c>
      <c r="R9" s="217">
        <f t="shared" si="1"/>
        <v>607</v>
      </c>
      <c r="S9" s="361">
        <f t="shared" si="2"/>
        <v>1.0412925170068028</v>
      </c>
      <c r="V9" s="13"/>
    </row>
    <row r="10" spans="2:22">
      <c r="B10" t="s">
        <v>2463</v>
      </c>
      <c r="C10" s="233">
        <f>IF(B10="","",IF(LEN(B10)&gt;9,SUMIFS(Options!$H$3:$H$25,Options!$B$3:$B$25,Check!B10),SUMIFS('Master P&amp;L'!$H$11:$H$100,'Master P&amp;L'!$B$11:$B$100,Check!B10)))</f>
        <v>0</v>
      </c>
      <c r="D10" s="233">
        <f>IF(B10="","",SUMIFS(Input_APM!N:N,Input_APM!L:L,Check!B10,Input_APM!M:M,Check!$F$1))</f>
        <v>0</v>
      </c>
      <c r="E10" s="217">
        <f t="shared" ref="E10:E65" si="5">IF(B10="","",C10-M10)</f>
        <v>0</v>
      </c>
      <c r="F10" s="233">
        <f>IF(B10="","",SUMIFS(Input_APM!N:N,Input_APM!M:M,Check!$F$1,Input_APM!L:L,Check!B10))</f>
        <v>0</v>
      </c>
      <c r="G10" s="233">
        <f>IF(B10="","",SUMIFS(Input_APM!N:N,Input_APM!M:M,Check!$G$1,Input_APM!L:L,Check!B10))</f>
        <v>0</v>
      </c>
      <c r="H10" s="217">
        <f t="shared" si="0"/>
        <v>0</v>
      </c>
      <c r="I10" s="217">
        <f>SUMIFS(Input_APM!N:N,Input_APM!L:L,Check!B10)</f>
        <v>0</v>
      </c>
      <c r="J10" s="219">
        <f t="shared" si="3"/>
        <v>0</v>
      </c>
      <c r="K10" s="22">
        <f>IF(B10="","",SUMIFS('Input_APM (Zenith)'!N:N,'Input_APM (Zenith)'!L:L,Check!B10,'Input_APM (Zenith)'!M:M,Check!$F$1))</f>
        <v>0</v>
      </c>
      <c r="L10" s="22">
        <f>IF(B10="","",SUMIFS('Input_APM (Zenith)'!N:N,'Input_APM (Zenith)'!L:L,Check!B10,'Input_APM (Zenith)'!M:M,Check!$G$1))</f>
        <v>0</v>
      </c>
      <c r="M10" s="240">
        <f t="shared" si="4"/>
        <v>0</v>
      </c>
      <c r="O10" t="s">
        <v>38</v>
      </c>
      <c r="P10" s="217">
        <f>IF(O10="","",IF(OR(LEFT(O10,4)="Cash",LEFT(O10,4)="Prov"),0,SUMIFS(Input_APM!N:N,Input_APM!L:L,Check!O10)))</f>
        <v>19706</v>
      </c>
      <c r="Q10" s="22">
        <f>IF(O10="","",IF(LEN(O10)&gt;9,SUMIFS(Options!$H$3:$H$25,Options!$B$3:$B$25,Check!O10),SUMIFS('Master P&amp;L'!$H$11:$H$100,'Master P&amp;L'!$B$11:$B$100,Check!O10)))</f>
        <v>21000</v>
      </c>
      <c r="R10" s="217">
        <f t="shared" si="1"/>
        <v>-1294</v>
      </c>
      <c r="S10" s="361">
        <f t="shared" si="2"/>
        <v>0.93838095238095243</v>
      </c>
      <c r="V10" s="13"/>
    </row>
    <row r="11" spans="2:22">
      <c r="B11" t="s">
        <v>3</v>
      </c>
      <c r="C11" s="233">
        <f>IF(B11="","",IF(LEN(B11)&gt;9,SUMIFS(Options!$H$3:$H$25,Options!$B$3:$B$25,Check!B11),SUMIFS('Master P&amp;L'!$H$11:$H$100,'Master P&amp;L'!$B$11:$B$100,Check!B11)))</f>
        <v>0</v>
      </c>
      <c r="D11" s="233">
        <f>IF(B11="","",SUMIFS(Input_APM!N:N,Input_APM!L:L,Check!B11,Input_APM!M:M,Check!$F$1))</f>
        <v>-44983</v>
      </c>
      <c r="E11" s="217">
        <f t="shared" si="5"/>
        <v>47900</v>
      </c>
      <c r="F11" s="233">
        <f>IF(B11="","",SUMIFS(Input_APM!N:N,Input_APM!M:M,Check!$F$1,Input_APM!L:L,Check!B11))</f>
        <v>-44983</v>
      </c>
      <c r="G11" s="233">
        <f>IF(B11="","",SUMIFS(Input_APM!N:N,Input_APM!M:M,Check!$G$1,Input_APM!L:L,Check!B11))</f>
        <v>0</v>
      </c>
      <c r="H11" s="217">
        <f t="shared" si="0"/>
        <v>-44983</v>
      </c>
      <c r="I11" s="217">
        <f>SUMIFS(Input_APM!N:N,Input_APM!L:L,Check!B11)</f>
        <v>-44983</v>
      </c>
      <c r="J11" s="219">
        <f t="shared" si="3"/>
        <v>0</v>
      </c>
      <c r="K11" s="22">
        <f>IF(B11="","",SUMIFS('Input_APM (Zenith)'!N:N,'Input_APM (Zenith)'!L:L,Check!B11,'Input_APM (Zenith)'!M:M,Check!$F$1))</f>
        <v>-2917</v>
      </c>
      <c r="L11" s="22">
        <f>IF(B11="","",SUMIFS('Input_APM (Zenith)'!N:N,'Input_APM (Zenith)'!L:L,Check!B11,'Input_APM (Zenith)'!M:M,Check!$G$1))</f>
        <v>0</v>
      </c>
      <c r="M11" s="240">
        <f t="shared" si="4"/>
        <v>-47900</v>
      </c>
      <c r="O11" t="s">
        <v>2224</v>
      </c>
      <c r="P11" s="217">
        <f>IF(O11="","",IF(OR(LEFT(O11,4)="Cash",LEFT(O11,4)="Prov"),0,SUMIFS(Input_APM!N:N,Input_APM!L:L,Check!O11)))</f>
        <v>935</v>
      </c>
      <c r="Q11" s="22">
        <f>IF(O11="","",IF(LEN(O11)&gt;9,SUMIFS(Options!$H$3:$H$25,Options!$B$3:$B$25,Check!O11),SUMIFS('Master P&amp;L'!$H$11:$H$100,'Master P&amp;L'!$B$11:$B$100,Check!O11)))</f>
        <v>1000</v>
      </c>
      <c r="R11" s="217">
        <f t="shared" si="1"/>
        <v>-65</v>
      </c>
      <c r="S11" s="361">
        <f t="shared" si="2"/>
        <v>0.93500000000000005</v>
      </c>
      <c r="V11" s="13"/>
    </row>
    <row r="12" spans="2:22">
      <c r="B12" t="s">
        <v>131</v>
      </c>
      <c r="C12" s="233">
        <f>IF(B12="","",IF(LEN(B12)&gt;9,SUMIFS(Options!$H$3:$H$25,Options!$B$3:$B$25,Check!B12),SUMIFS('Master P&amp;L'!$H$11:$H$100,'Master P&amp;L'!$B$11:$B$100,Check!B12)))</f>
        <v>0</v>
      </c>
      <c r="D12" s="233">
        <f>IF(B12="","",SUMIFS(Input_APM!N:N,Input_APM!L:L,Check!B12,Input_APM!M:M,Check!$F$1))</f>
        <v>0</v>
      </c>
      <c r="E12" s="217">
        <f t="shared" si="5"/>
        <v>0</v>
      </c>
      <c r="F12" s="233">
        <f>IF(B12="","",SUMIFS(Input_APM!N:N,Input_APM!M:M,Check!$F$1,Input_APM!L:L,Check!B12))</f>
        <v>0</v>
      </c>
      <c r="G12" s="233">
        <f>IF(B12="","",SUMIFS(Input_APM!N:N,Input_APM!M:M,Check!$G$1,Input_APM!L:L,Check!B12))</f>
        <v>0</v>
      </c>
      <c r="H12" s="217">
        <f t="shared" si="0"/>
        <v>0</v>
      </c>
      <c r="I12" s="217">
        <f>SUMIFS(Input_APM!N:N,Input_APM!L:L,Check!B12)</f>
        <v>0</v>
      </c>
      <c r="J12" s="219">
        <f t="shared" si="3"/>
        <v>0</v>
      </c>
      <c r="K12" s="22">
        <f>IF(B12="","",SUMIFS('Input_APM (Zenith)'!N:N,'Input_APM (Zenith)'!L:L,Check!B12,'Input_APM (Zenith)'!M:M,Check!$F$1))</f>
        <v>0</v>
      </c>
      <c r="L12" s="22">
        <f>IF(B12="","",SUMIFS('Input_APM (Zenith)'!N:N,'Input_APM (Zenith)'!L:L,Check!B12,'Input_APM (Zenith)'!M:M,Check!$G$1))</f>
        <v>0</v>
      </c>
      <c r="M12" s="240">
        <f t="shared" si="4"/>
        <v>0</v>
      </c>
      <c r="O12" t="s">
        <v>137</v>
      </c>
      <c r="P12" s="217">
        <f>IF(O12="","",IF(OR(LEFT(O12,4)="Cash",LEFT(O12,4)="Prov"),0,SUMIFS(Input_APM!N:N,Input_APM!L:L,Check!O12)))</f>
        <v>1409</v>
      </c>
      <c r="Q12" s="22">
        <f>IF(O12="","",IF(LEN(O12)&gt;9,SUMIFS(Options!$H$3:$H$25,Options!$B$3:$B$25,Check!O12),SUMIFS('Master P&amp;L'!$H$11:$H$100,'Master P&amp;L'!$B$11:$B$100,Check!O12)))</f>
        <v>0</v>
      </c>
      <c r="R12" s="217">
        <f t="shared" si="1"/>
        <v>1409</v>
      </c>
      <c r="S12" s="361" t="str">
        <f t="shared" si="2"/>
        <v>Erro</v>
      </c>
      <c r="V12" s="13"/>
    </row>
    <row r="13" spans="2:22">
      <c r="B13" t="s">
        <v>2145</v>
      </c>
      <c r="C13" s="233">
        <f>IF(B13="","",IF(LEN(B13)&gt;9,SUMIFS(Options!$H$3:$H$25,Options!$B$3:$B$25,Check!B13),SUMIFS('Master P&amp;L'!$H$11:$H$100,'Master P&amp;L'!$B$11:$B$100,Check!B13)))</f>
        <v>14500</v>
      </c>
      <c r="D13" s="233">
        <f>IF(B13="","",SUMIFS(Input_APM!N:N,Input_APM!L:L,Check!B13,Input_APM!M:M,Check!$F$1))</f>
        <v>13594</v>
      </c>
      <c r="E13" s="219">
        <f t="shared" si="5"/>
        <v>0</v>
      </c>
      <c r="F13" s="233">
        <f>IF(B13="","",SUMIFS(Input_APM!N:N,Input_APM!M:M,Check!$F$1,Input_APM!L:L,Check!B13))</f>
        <v>13594</v>
      </c>
      <c r="G13" s="233">
        <f>IF(B13="","",SUMIFS(Input_APM!N:N,Input_APM!M:M,Check!$G$1,Input_APM!L:L,Check!B13))</f>
        <v>0</v>
      </c>
      <c r="H13" s="217">
        <f t="shared" si="0"/>
        <v>13594</v>
      </c>
      <c r="I13" s="217">
        <f>SUMIFS(Input_APM!N:N,Input_APM!L:L,Check!B13)</f>
        <v>13594</v>
      </c>
      <c r="J13" s="219">
        <f t="shared" si="3"/>
        <v>0</v>
      </c>
      <c r="K13" s="22">
        <f>IF(B13="","",SUMIFS('Input_APM (Zenith)'!N:N,'Input_APM (Zenith)'!L:L,Check!B13,'Input_APM (Zenith)'!M:M,Check!$F$1))</f>
        <v>906</v>
      </c>
      <c r="L13" s="22">
        <f>IF(B13="","",SUMIFS('Input_APM (Zenith)'!N:N,'Input_APM (Zenith)'!L:L,Check!B13,'Input_APM (Zenith)'!M:M,Check!$G$1))</f>
        <v>0</v>
      </c>
      <c r="M13" s="240">
        <f t="shared" si="4"/>
        <v>14500</v>
      </c>
      <c r="O13" t="s">
        <v>2102</v>
      </c>
      <c r="P13" s="217">
        <f>IF(O13="","",IF(OR(LEFT(O13,4)="Cash",LEFT(O13,4)="Prov"),0,SUMIFS(Input_APM!N:N,Input_APM!L:L,Check!O13)))</f>
        <v>114</v>
      </c>
      <c r="Q13" s="22">
        <f>IF(O13="","",IF(LEN(O13)&gt;9,SUMIFS(Options!$H$3:$H$25,Options!$B$3:$B$25,Check!O13),SUMIFS('Master P&amp;L'!$H$11:$H$100,'Master P&amp;L'!$B$11:$B$100,Check!O13)))</f>
        <v>120</v>
      </c>
      <c r="R13" s="217">
        <f t="shared" si="1"/>
        <v>-6</v>
      </c>
      <c r="S13" s="361">
        <f t="shared" si="2"/>
        <v>0.95</v>
      </c>
      <c r="V13" s="13"/>
    </row>
    <row r="14" spans="2:22">
      <c r="B14" t="s">
        <v>79</v>
      </c>
      <c r="C14" s="233">
        <f>IF(B14="","",IF(LEN(B14)&gt;9,SUMIFS(Options!$H$3:$H$25,Options!$B$3:$B$25,Check!B14),SUMIFS('Master P&amp;L'!$H$11:$H$100,'Master P&amp;L'!$B$11:$B$100,Check!B14)))</f>
        <v>3000</v>
      </c>
      <c r="D14" s="233">
        <f>IF(B14="","",SUMIFS(Input_APM!N:N,Input_APM!L:L,Check!B14,Input_APM!M:M,Check!$F$1))</f>
        <v>0</v>
      </c>
      <c r="E14" s="217">
        <f t="shared" si="5"/>
        <v>3000</v>
      </c>
      <c r="F14" s="233">
        <f>IF(B14="","",SUMIFS(Input_APM!N:N,Input_APM!M:M,Check!$F$1,Input_APM!L:L,Check!B14))</f>
        <v>0</v>
      </c>
      <c r="G14" s="233">
        <f>IF(B14="","",SUMIFS(Input_APM!N:N,Input_APM!M:M,Check!$G$1,Input_APM!L:L,Check!B14))</f>
        <v>0</v>
      </c>
      <c r="H14" s="217">
        <f t="shared" si="0"/>
        <v>0</v>
      </c>
      <c r="I14" s="217">
        <f>SUMIFS(Input_APM!N:N,Input_APM!L:L,Check!B14)</f>
        <v>0</v>
      </c>
      <c r="J14" s="219">
        <f t="shared" si="3"/>
        <v>0</v>
      </c>
      <c r="K14" s="22">
        <f>IF(B14="","",SUMIFS('Input_APM (Zenith)'!N:N,'Input_APM (Zenith)'!L:L,Check!B14,'Input_APM (Zenith)'!M:M,Check!$F$1))</f>
        <v>0</v>
      </c>
      <c r="L14" s="22">
        <f>IF(B14="","",SUMIFS('Input_APM (Zenith)'!N:N,'Input_APM (Zenith)'!L:L,Check!B14,'Input_APM (Zenith)'!M:M,Check!$G$1))</f>
        <v>0</v>
      </c>
      <c r="M14" s="240">
        <f t="shared" si="4"/>
        <v>0</v>
      </c>
      <c r="O14" t="s">
        <v>461</v>
      </c>
      <c r="P14" s="217">
        <f>IF(O14="","",IF(OR(LEFT(O14,4)="Cash",LEFT(O14,4)="Prov"),0,SUMIFS(Input_APM!N:N,Input_APM!L:L,Check!O14)))</f>
        <v>3163</v>
      </c>
      <c r="Q14" s="22">
        <f>IF(O14="","",IF(LEN(O14)&gt;9,SUMIFS(Options!$H$3:$H$25,Options!$B$3:$B$25,Check!O14),SUMIFS('Master P&amp;L'!$H$11:$H$100,'Master P&amp;L'!$B$11:$B$100,Check!O14)))</f>
        <v>3378</v>
      </c>
      <c r="R14" s="217">
        <f t="shared" si="1"/>
        <v>-215</v>
      </c>
      <c r="S14" s="361">
        <f t="shared" si="2"/>
        <v>0.9363528715216104</v>
      </c>
      <c r="V14" s="13"/>
    </row>
    <row r="15" spans="2:22">
      <c r="B15" t="s">
        <v>399</v>
      </c>
      <c r="C15" s="233">
        <f>IF(B15="","",IF(LEN(B15)&gt;9,SUMIFS(Options!$H$3:$H$25,Options!$B$3:$B$25,Check!B15),SUMIFS('Master P&amp;L'!$H$11:$H$100,'Master P&amp;L'!$B$11:$B$100,Check!B15)))</f>
        <v>14700</v>
      </c>
      <c r="D15" s="233">
        <f>IF(B15="","",SUMIFS(Input_APM!N:N,Input_APM!L:L,Check!B15,Input_APM!M:M,Check!$F$1))</f>
        <v>15307</v>
      </c>
      <c r="E15" s="219">
        <f t="shared" si="5"/>
        <v>-1635</v>
      </c>
      <c r="F15" s="233">
        <f>IF(B15="","",SUMIFS(Input_APM!N:N,Input_APM!M:M,Check!$F$1,Input_APM!L:L,Check!B15))</f>
        <v>15307</v>
      </c>
      <c r="G15" s="233">
        <f>IF(B15="","",SUMIFS(Input_APM!N:N,Input_APM!M:M,Check!$G$1,Input_APM!L:L,Check!B15))</f>
        <v>0</v>
      </c>
      <c r="H15" s="217">
        <f t="shared" si="0"/>
        <v>15307</v>
      </c>
      <c r="I15" s="217">
        <f>SUMIFS(Input_APM!N:N,Input_APM!L:L,Check!B15)</f>
        <v>15307</v>
      </c>
      <c r="J15" s="219">
        <f t="shared" si="3"/>
        <v>0</v>
      </c>
      <c r="K15" s="22">
        <f>IF(B15="","",SUMIFS('Input_APM (Zenith)'!N:N,'Input_APM (Zenith)'!L:L,Check!B15,'Input_APM (Zenith)'!M:M,Check!$F$1))</f>
        <v>1028</v>
      </c>
      <c r="L15" s="22">
        <f>IF(B15="","",SUMIFS('Input_APM (Zenith)'!N:N,'Input_APM (Zenith)'!L:L,Check!B15,'Input_APM (Zenith)'!M:M,Check!$G$1))</f>
        <v>0</v>
      </c>
      <c r="M15" s="240">
        <f t="shared" si="4"/>
        <v>16335</v>
      </c>
      <c r="O15" t="s">
        <v>2138</v>
      </c>
      <c r="P15" s="217">
        <f>IF(O15="","",IF(OR(LEFT(O15,4)="Cash",LEFT(O15,4)="Prov"),0,SUMIFS(Input_APM!N:N,Input_APM!L:L,Check!O15)))</f>
        <v>3285</v>
      </c>
      <c r="Q15" s="22">
        <f>IF(O15="","",IF(LEN(O15)&gt;9,SUMIFS(Options!$H$3:$H$25,Options!$B$3:$B$25,Check!O15),SUMIFS('Master P&amp;L'!$H$11:$H$100,'Master P&amp;L'!$B$11:$B$100,Check!O15)))</f>
        <v>3510</v>
      </c>
      <c r="R15" s="217">
        <f t="shared" si="1"/>
        <v>-225</v>
      </c>
      <c r="S15" s="361">
        <f t="shared" si="2"/>
        <v>0.9358974358974359</v>
      </c>
      <c r="V15" s="13"/>
    </row>
    <row r="16" spans="2:22">
      <c r="B16" t="s">
        <v>81</v>
      </c>
      <c r="C16" s="233">
        <f>IF(B16="","",IF(LEN(B16)&gt;9,SUMIFS(Options!$H$3:$H$25,Options!$B$3:$B$25,Check!B16),SUMIFS('Master P&amp;L'!$H$11:$H$100,'Master P&amp;L'!$B$11:$B$100,Check!B16)))</f>
        <v>5750</v>
      </c>
      <c r="D16" s="233">
        <f>IF(B16="","",SUMIFS(Input_APM!N:N,Input_APM!L:L,Check!B16,Input_APM!M:M,Check!$F$1))</f>
        <v>5403</v>
      </c>
      <c r="E16" s="217">
        <f t="shared" si="5"/>
        <v>0</v>
      </c>
      <c r="F16" s="233">
        <f>IF(B16="","",SUMIFS(Input_APM!N:N,Input_APM!M:M,Check!$F$1,Input_APM!L:L,Check!B16))</f>
        <v>5403</v>
      </c>
      <c r="G16" s="233">
        <f>IF(B16="","",SUMIFS(Input_APM!N:N,Input_APM!M:M,Check!$G$1,Input_APM!L:L,Check!B16))</f>
        <v>0</v>
      </c>
      <c r="H16" s="217">
        <f t="shared" si="0"/>
        <v>5403</v>
      </c>
      <c r="I16" s="217">
        <f>SUMIFS(Input_APM!N:N,Input_APM!L:L,Check!B16)</f>
        <v>5403</v>
      </c>
      <c r="J16" s="219">
        <f t="shared" si="3"/>
        <v>0</v>
      </c>
      <c r="K16" s="22">
        <f>IF(B16="","",SUMIFS('Input_APM (Zenith)'!N:N,'Input_APM (Zenith)'!L:L,Check!B16,'Input_APM (Zenith)'!M:M,Check!$F$1))</f>
        <v>347</v>
      </c>
      <c r="L16" s="22">
        <f>IF(B16="","",SUMIFS('Input_APM (Zenith)'!N:N,'Input_APM (Zenith)'!L:L,Check!B16,'Input_APM (Zenith)'!M:M,Check!$G$1))</f>
        <v>0</v>
      </c>
      <c r="M16" s="240">
        <f t="shared" si="4"/>
        <v>5750</v>
      </c>
      <c r="O16" t="s">
        <v>295</v>
      </c>
      <c r="P16" s="217">
        <f>IF(O16="","",IF(OR(LEFT(O16,4)="Cash",LEFT(O16,4)="Prov"),0,SUMIFS(Input_APM!N:N,Input_APM!L:L,Check!O16)))</f>
        <v>0</v>
      </c>
      <c r="Q16" s="22">
        <f>IF(O16="","",IF(LEN(O16)&gt;9,SUMIFS(Options!$H$3:$H$25,Options!$B$3:$B$25,Check!O16),SUMIFS('Master P&amp;L'!$H$11:$H$100,'Master P&amp;L'!$B$11:$B$100,Check!O16)))</f>
        <v>0</v>
      </c>
      <c r="R16" s="217">
        <f t="shared" si="1"/>
        <v>0</v>
      </c>
      <c r="S16" s="361" t="str">
        <f t="shared" si="2"/>
        <v>Ok</v>
      </c>
      <c r="V16" s="13"/>
    </row>
    <row r="17" spans="2:22">
      <c r="B17" t="s">
        <v>90</v>
      </c>
      <c r="C17" s="233">
        <f>IF(B17="","",IF(LEN(B17)&gt;9,SUMIFS(Options!$H$3:$H$25,Options!$B$3:$B$25,Check!B17),SUMIFS('Master P&amp;L'!$H$11:$H$100,'Master P&amp;L'!$B$11:$B$100,Check!B17)))</f>
        <v>4180</v>
      </c>
      <c r="D17" s="233">
        <f>IF(B17="","",SUMIFS(Input_APM!N:N,Input_APM!L:L,Check!B17,Input_APM!M:M,Check!$F$1))</f>
        <v>3910</v>
      </c>
      <c r="E17" s="219">
        <f t="shared" si="5"/>
        <v>0</v>
      </c>
      <c r="F17" s="233">
        <f>IF(B17="","",SUMIFS(Input_APM!N:N,Input_APM!M:M,Check!$F$1,Input_APM!L:L,Check!B17))</f>
        <v>3910</v>
      </c>
      <c r="G17" s="233">
        <f>IF(B17="","",SUMIFS(Input_APM!N:N,Input_APM!M:M,Check!$G$1,Input_APM!L:L,Check!B17))</f>
        <v>0</v>
      </c>
      <c r="H17" s="217">
        <f t="shared" si="0"/>
        <v>3910</v>
      </c>
      <c r="I17" s="217">
        <f>SUMIFS(Input_APM!N:N,Input_APM!L:L,Check!B17)</f>
        <v>3910</v>
      </c>
      <c r="J17" s="219">
        <f t="shared" si="3"/>
        <v>0</v>
      </c>
      <c r="K17" s="22">
        <f>IF(B17="","",SUMIFS('Input_APM (Zenith)'!N:N,'Input_APM (Zenith)'!L:L,Check!B17,'Input_APM (Zenith)'!M:M,Check!$F$1))</f>
        <v>270</v>
      </c>
      <c r="L17" s="22">
        <f>IF(B17="","",SUMIFS('Input_APM (Zenith)'!N:N,'Input_APM (Zenith)'!L:L,Check!B17,'Input_APM (Zenith)'!M:M,Check!$G$1))</f>
        <v>0</v>
      </c>
      <c r="M17" s="240">
        <f t="shared" si="4"/>
        <v>4180</v>
      </c>
      <c r="O17" t="s">
        <v>296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IF(O17="","",IF(LEN(O17)&gt;9,SUMIFS(Options!$H$3:$H$25,Options!$B$3:$B$25,Check!O17),SUMIFS('Master P&amp;L'!$H$11:$H$100,'Master P&amp;L'!$B$11:$B$100,Check!O17)))</f>
        <v>0</v>
      </c>
      <c r="R17" s="217">
        <f t="shared" si="1"/>
        <v>0</v>
      </c>
      <c r="S17" s="361" t="str">
        <f t="shared" si="2"/>
        <v>Ok</v>
      </c>
      <c r="V17" s="13"/>
    </row>
    <row r="18" spans="2:22">
      <c r="B18" t="s">
        <v>89</v>
      </c>
      <c r="C18" s="233">
        <f>IF(B18="","",IF(LEN(B18)&gt;9,SUMIFS(Options!$H$3:$H$25,Options!$B$3:$B$25,Check!B18),SUMIFS('Master P&amp;L'!$H$11:$H$100,'Master P&amp;L'!$B$11:$B$100,Check!B18)))</f>
        <v>-7500</v>
      </c>
      <c r="D18" s="233">
        <f>IF(B18="","",SUMIFS(Input_APM!N:N,Input_APM!L:L,Check!B18,Input_APM!M:M,Check!$F$1))</f>
        <v>-24420</v>
      </c>
      <c r="E18" s="219">
        <f t="shared" si="5"/>
        <v>18500</v>
      </c>
      <c r="F18" s="233">
        <f>IF(B18="","",SUMIFS(Input_APM!N:N,Input_APM!M:M,Check!$F$1,Input_APM!L:L,Check!B18))</f>
        <v>-24420</v>
      </c>
      <c r="G18" s="233">
        <f>IF(B18="","",SUMIFS(Input_APM!N:N,Input_APM!M:M,Check!$G$1,Input_APM!L:L,Check!B18))</f>
        <v>0</v>
      </c>
      <c r="H18" s="217">
        <f t="shared" si="0"/>
        <v>-24420</v>
      </c>
      <c r="I18" s="217">
        <f>SUMIFS(Input_APM!N:N,Input_APM!L:L,Check!B18)</f>
        <v>-24420</v>
      </c>
      <c r="J18" s="219">
        <f t="shared" si="3"/>
        <v>0</v>
      </c>
      <c r="K18" s="22">
        <f>IF(B18="","",SUMIFS('Input_APM (Zenith)'!N:N,'Input_APM (Zenith)'!L:L,Check!B18,'Input_APM (Zenith)'!M:M,Check!$F$1))</f>
        <v>-1580</v>
      </c>
      <c r="L18" s="22">
        <f>IF(B18="","",SUMIFS('Input_APM (Zenith)'!N:N,'Input_APM (Zenith)'!L:L,Check!B18,'Input_APM (Zenith)'!M:M,Check!$G$1))</f>
        <v>0</v>
      </c>
      <c r="M18" s="240">
        <f t="shared" si="4"/>
        <v>-26000</v>
      </c>
      <c r="O18" t="s">
        <v>297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IF(O18="","",IF(LEN(O18)&gt;9,SUMIFS(Options!$H$3:$H$25,Options!$B$3:$B$25,Check!O18),SUMIFS('Master P&amp;L'!$H$11:$H$100,'Master P&amp;L'!$B$11:$B$100,Check!O18)))</f>
        <v>0</v>
      </c>
      <c r="R18" s="217">
        <f t="shared" si="1"/>
        <v>0</v>
      </c>
      <c r="S18" s="361" t="str">
        <f t="shared" si="2"/>
        <v>Ok</v>
      </c>
      <c r="V18" s="13"/>
    </row>
    <row r="19" spans="2:22">
      <c r="B19" t="s">
        <v>2269</v>
      </c>
      <c r="C19" s="233">
        <f>IF(B19="","",IF(LEN(B19)&gt;9,SUMIFS(Options!$H$3:$H$25,Options!$B$3:$B$25,Check!B19),SUMIFS('Master P&amp;L'!$H$11:$H$100,'Master P&amp;L'!$B$11:$B$100,Check!B19)))</f>
        <v>1393</v>
      </c>
      <c r="D19" s="233">
        <f>IF(B19="","",SUMIFS(Input_APM!N:N,Input_APM!L:L,Check!B19,Input_APM!M:M,Check!$F$1))</f>
        <v>0</v>
      </c>
      <c r="E19" s="219">
        <f t="shared" si="5"/>
        <v>1393</v>
      </c>
      <c r="F19" s="233">
        <f>IF(B19="","",SUMIFS(Input_APM!N:N,Input_APM!M:M,Check!$F$1,Input_APM!L:L,Check!B19))</f>
        <v>0</v>
      </c>
      <c r="G19" s="233">
        <f>IF(B19="","",SUMIFS(Input_APM!N:N,Input_APM!M:M,Check!$G$1,Input_APM!L:L,Check!B19))</f>
        <v>0</v>
      </c>
      <c r="H19" s="217">
        <f t="shared" si="0"/>
        <v>0</v>
      </c>
      <c r="I19" s="217">
        <f>SUMIFS(Input_APM!N:N,Input_APM!L:L,Check!B19)</f>
        <v>0</v>
      </c>
      <c r="J19" s="219">
        <f t="shared" si="3"/>
        <v>0</v>
      </c>
      <c r="K19" s="22">
        <f>IF(B19="","",SUMIFS('Input_APM (Zenith)'!N:N,'Input_APM (Zenith)'!L:L,Check!B19,'Input_APM (Zenith)'!M:M,Check!$F$1))</f>
        <v>0</v>
      </c>
      <c r="L19" s="22">
        <f>IF(B19="","",SUMIFS('Input_APM (Zenith)'!N:N,'Input_APM (Zenith)'!L:L,Check!B19,'Input_APM (Zenith)'!M:M,Check!$G$1))</f>
        <v>0</v>
      </c>
      <c r="M19" s="240">
        <f t="shared" si="4"/>
        <v>0</v>
      </c>
      <c r="O19" t="s">
        <v>2123</v>
      </c>
      <c r="P19" s="217">
        <f>IF(O19="","",IF(OR(LEFT(O19,4)="Cash",LEFT(O19,4)="Prov"),0,SUMIFS(Input_APM!N:N,Input_APM!L:L,Check!O19)))</f>
        <v>0</v>
      </c>
      <c r="Q19" s="22">
        <f>IF(O19="","",IF(LEN(O19)&gt;9,SUMIFS(Options!$H$3:$H$25,Options!$B$3:$B$25,Check!O19),SUMIFS('Master P&amp;L'!$H$11:$H$100,'Master P&amp;L'!$B$11:$B$100,Check!O19)))</f>
        <v>0</v>
      </c>
      <c r="R19" s="217">
        <f t="shared" si="1"/>
        <v>0</v>
      </c>
      <c r="S19" s="361" t="str">
        <f t="shared" si="2"/>
        <v>Ok</v>
      </c>
      <c r="V19" s="13"/>
    </row>
    <row r="20" spans="2:22">
      <c r="B20" t="s">
        <v>1855</v>
      </c>
      <c r="C20" s="233">
        <f>IF(B20="","",IF(LEN(B20)&gt;9,SUMIFS(Options!$H$3:$H$25,Options!$B$3:$B$25,Check!B20),SUMIFS('Master P&amp;L'!$H$11:$H$100,'Master P&amp;L'!$B$11:$B$100,Check!B20)))</f>
        <v>285</v>
      </c>
      <c r="D20" s="233">
        <f>IF(B20="","",SUMIFS(Input_APM!N:N,Input_APM!L:L,Check!B20,Input_APM!M:M,Check!$F$1))</f>
        <v>0</v>
      </c>
      <c r="E20" s="219">
        <f>IF(B20="","",C20-M20)</f>
        <v>285</v>
      </c>
      <c r="F20" s="233">
        <f>IF(B20="","",SUMIFS(Input_APM!N:N,Input_APM!M:M,Check!$F$1,Input_APM!L:L,Check!B20))</f>
        <v>0</v>
      </c>
      <c r="G20" s="233">
        <f>IF(B20="","",SUMIFS(Input_APM!N:N,Input_APM!M:M,Check!$G$1,Input_APM!L:L,Check!B20))</f>
        <v>0</v>
      </c>
      <c r="H20" s="217">
        <f t="shared" si="0"/>
        <v>0</v>
      </c>
      <c r="I20" s="217">
        <f>SUMIFS(Input_APM!N:N,Input_APM!L:L,Check!B20)</f>
        <v>0</v>
      </c>
      <c r="J20" s="219">
        <f t="shared" si="3"/>
        <v>0</v>
      </c>
      <c r="K20" s="22">
        <f>IF(B20="","",SUMIFS('Input_APM (Zenith)'!N:N,'Input_APM (Zenith)'!L:L,Check!B20,'Input_APM (Zenith)'!M:M,Check!$F$1))</f>
        <v>0</v>
      </c>
      <c r="L20" s="22">
        <f>IF(B20="","",SUMIFS('Input_APM (Zenith)'!N:N,'Input_APM (Zenith)'!L:L,Check!B20,'Input_APM (Zenith)'!M:M,Check!$G$1))</f>
        <v>0</v>
      </c>
      <c r="M20" s="240">
        <f t="shared" si="4"/>
        <v>0</v>
      </c>
      <c r="O20" t="s">
        <v>298</v>
      </c>
      <c r="P20" s="217">
        <f>IF(O20="","",IF(OR(LEFT(O20,4)="Cash",LEFT(O20,4)="Prov"),0,SUMIFS(Input_APM!N:N,Input_APM!L:L,Check!O20)))</f>
        <v>0</v>
      </c>
      <c r="Q20" s="22">
        <f>IF(O20="","",IF(LEN(O20)&gt;9,SUMIFS(Options!$H$3:$H$25,Options!$B$3:$B$25,Check!O20),SUMIFS('Master P&amp;L'!$H$11:$H$100,'Master P&amp;L'!$B$11:$B$100,Check!O20)))</f>
        <v>0</v>
      </c>
      <c r="R20" s="217">
        <f t="shared" si="1"/>
        <v>0</v>
      </c>
      <c r="S20" s="361" t="str">
        <f t="shared" si="2"/>
        <v>Ok</v>
      </c>
      <c r="V20" s="13"/>
    </row>
    <row r="21" spans="2:22">
      <c r="B21" t="s">
        <v>2452</v>
      </c>
      <c r="C21" s="233">
        <f>IF(B21="","",IF(LEN(B21)&gt;9,SUMIFS(Options!$H$3:$H$25,Options!$B$3:$B$25,Check!B21),SUMIFS('Master P&amp;L'!$H$11:$H$100,'Master P&amp;L'!$B$11:$B$100,Check!B21)))</f>
        <v>6180</v>
      </c>
      <c r="D21" s="233">
        <f>IF(B21="","",SUMIFS(Input_APM!N:N,Input_APM!L:L,Check!B21,Input_APM!M:M,Check!$F$1))</f>
        <v>0</v>
      </c>
      <c r="E21" s="217">
        <f t="shared" si="5"/>
        <v>6180</v>
      </c>
      <c r="F21" s="233">
        <f>IF(B21="","",SUMIFS(Input_APM!N:N,Input_APM!M:M,Check!$F$1,Input_APM!L:L,Check!B21))</f>
        <v>0</v>
      </c>
      <c r="G21" s="233">
        <f>IF(B21="","",SUMIFS(Input_APM!N:N,Input_APM!M:M,Check!$G$1,Input_APM!L:L,Check!B21))</f>
        <v>0</v>
      </c>
      <c r="H21" s="217">
        <f t="shared" si="0"/>
        <v>0</v>
      </c>
      <c r="I21" s="217">
        <f>SUMIFS(Input_APM!N:N,Input_APM!L:L,Check!B21)</f>
        <v>0</v>
      </c>
      <c r="J21" s="219">
        <f t="shared" si="3"/>
        <v>0</v>
      </c>
      <c r="K21" s="22">
        <f>IF(B21="","",SUMIFS('Input_APM (Zenith)'!N:N,'Input_APM (Zenith)'!L:L,Check!B21,'Input_APM (Zenith)'!M:M,Check!$F$1))</f>
        <v>0</v>
      </c>
      <c r="L21" s="22">
        <f>IF(B21="","",SUMIFS('Input_APM (Zenith)'!N:N,'Input_APM (Zenith)'!L:L,Check!B21,'Input_APM (Zenith)'!M:M,Check!$G$1))</f>
        <v>0</v>
      </c>
      <c r="M21" s="240">
        <f t="shared" si="4"/>
        <v>0</v>
      </c>
      <c r="O21" t="s">
        <v>299</v>
      </c>
      <c r="P21" s="217">
        <f>IF(O21="","",IF(OR(LEFT(O21,4)="Cash",LEFT(O21,4)="Prov"),0,SUMIFS(Input_APM!N:N,Input_APM!L:L,Check!O21)))</f>
        <v>0</v>
      </c>
      <c r="Q21" s="22">
        <f>IF(O21="","",IF(LEN(O21)&gt;9,SUMIFS(Options!$H$3:$H$25,Options!$B$3:$B$25,Check!O21),SUMIFS('Master P&amp;L'!$H$11:$H$100,'Master P&amp;L'!$B$11:$B$100,Check!O21)))</f>
        <v>0</v>
      </c>
      <c r="R21" s="217">
        <f t="shared" si="1"/>
        <v>0</v>
      </c>
      <c r="S21" s="361" t="str">
        <f t="shared" si="2"/>
        <v>Ok</v>
      </c>
      <c r="V21" s="13"/>
    </row>
    <row r="22" spans="2:22">
      <c r="B22" t="s">
        <v>1754</v>
      </c>
      <c r="C22" s="233">
        <f>IF(B22="","",IF(LEN(B22)&gt;9,SUMIFS(Options!$H$3:$H$25,Options!$B$3:$B$25,Check!B22),SUMIFS('Master P&amp;L'!$H$11:$H$100,'Master P&amp;L'!$B$11:$B$100,Check!B22)))</f>
        <v>64300</v>
      </c>
      <c r="D22" s="233">
        <f>IF(B22="","",SUMIFS(Input_APM!N:N,Input_APM!L:L,Check!B22,Input_APM!M:M,Check!$F$1))</f>
        <v>44211</v>
      </c>
      <c r="E22" s="217">
        <f t="shared" si="5"/>
        <v>17084</v>
      </c>
      <c r="F22" s="233">
        <f>IF(B22="","",SUMIFS(Input_APM!N:N,Input_APM!M:M,Check!$F$1,Input_APM!L:L,Check!B22))</f>
        <v>44211</v>
      </c>
      <c r="G22" s="233">
        <f>IF(B22="","",SUMIFS(Input_APM!N:N,Input_APM!M:M,Check!$G$1,Input_APM!L:L,Check!B22))</f>
        <v>0</v>
      </c>
      <c r="H22" s="217">
        <f t="shared" si="0"/>
        <v>44211</v>
      </c>
      <c r="I22" s="217">
        <f>SUMIFS(Input_APM!N:N,Input_APM!L:L,Check!B22)</f>
        <v>44211</v>
      </c>
      <c r="J22" s="219">
        <f t="shared" si="3"/>
        <v>0</v>
      </c>
      <c r="K22" s="22">
        <f>IF(B22="","",SUMIFS('Input_APM (Zenith)'!N:N,'Input_APM (Zenith)'!L:L,Check!B22,'Input_APM (Zenith)'!M:M,Check!$F$1))</f>
        <v>3005</v>
      </c>
      <c r="L22" s="22">
        <f>IF(B22="","",SUMIFS('Input_APM (Zenith)'!N:N,'Input_APM (Zenith)'!L:L,Check!B22,'Input_APM (Zenith)'!M:M,Check!$G$1))</f>
        <v>0</v>
      </c>
      <c r="M22" s="240">
        <f t="shared" si="4"/>
        <v>47216</v>
      </c>
      <c r="O22" t="s">
        <v>300</v>
      </c>
      <c r="P22" s="217">
        <f>IF(O22="","",IF(OR(LEFT(O22,4)="Cash",LEFT(O22,4)="Prov"),0,SUMIFS(Input_APM!N:N,Input_APM!L:L,Check!O22)))</f>
        <v>0</v>
      </c>
      <c r="Q22" s="22">
        <f>IF(O22="","",IF(LEN(O22)&gt;9,SUMIFS(Options!$H$3:$H$25,Options!$B$3:$B$25,Check!O22),SUMIFS('Master P&amp;L'!$H$11:$H$100,'Master P&amp;L'!$B$11:$B$100,Check!O22)))</f>
        <v>0</v>
      </c>
      <c r="R22" s="217">
        <f t="shared" si="1"/>
        <v>0</v>
      </c>
      <c r="S22" s="361" t="str">
        <f t="shared" si="2"/>
        <v>Ok</v>
      </c>
      <c r="V22" s="13"/>
    </row>
    <row r="23" spans="2:22">
      <c r="B23" t="s">
        <v>2063</v>
      </c>
      <c r="C23" s="233">
        <f>IF(B23="","",IF(LEN(B23)&gt;9,SUMIFS(Options!$H$3:$H$25,Options!$B$3:$B$25,Check!B23),SUMIFS('Master P&amp;L'!$H$11:$H$100,'Master P&amp;L'!$B$11:$B$100,Check!B23)))</f>
        <v>0</v>
      </c>
      <c r="D23" s="233">
        <f>IF(B23="","",SUMIFS(Input_APM!N:N,Input_APM!L:L,Check!B23,Input_APM!M:M,Check!$F$1))</f>
        <v>841</v>
      </c>
      <c r="E23" s="217">
        <f t="shared" si="5"/>
        <v>-900</v>
      </c>
      <c r="F23" s="233">
        <f>IF(B23="","",SUMIFS(Input_APM!N:N,Input_APM!M:M,Check!$F$1,Input_APM!L:L,Check!B23))</f>
        <v>841</v>
      </c>
      <c r="G23" s="233">
        <f>IF(B23="","",SUMIFS(Input_APM!N:N,Input_APM!M:M,Check!$G$1,Input_APM!L:L,Check!B23))</f>
        <v>0</v>
      </c>
      <c r="H23" s="217">
        <f t="shared" si="0"/>
        <v>841</v>
      </c>
      <c r="I23" s="217">
        <f>SUMIFS(Input_APM!N:N,Input_APM!L:L,Check!B23)</f>
        <v>841</v>
      </c>
      <c r="J23" s="219">
        <f t="shared" si="3"/>
        <v>0</v>
      </c>
      <c r="K23" s="22">
        <f>IF(B23="","",SUMIFS('Input_APM (Zenith)'!N:N,'Input_APM (Zenith)'!L:L,Check!B23,'Input_APM (Zenith)'!M:M,Check!$F$1))</f>
        <v>59</v>
      </c>
      <c r="L23" s="22">
        <f>IF(B23="","",SUMIFS('Input_APM (Zenith)'!N:N,'Input_APM (Zenith)'!L:L,Check!B23,'Input_APM (Zenith)'!M:M,Check!$G$1))</f>
        <v>0</v>
      </c>
      <c r="M23" s="240">
        <f t="shared" si="4"/>
        <v>900</v>
      </c>
      <c r="O23" t="s">
        <v>301</v>
      </c>
      <c r="P23" s="217">
        <f>IF(O23="","",IF(OR(LEFT(O23,4)="Cash",LEFT(O23,4)="Prov"),0,SUMIFS(Input_APM!N:N,Input_APM!L:L,Check!O23)))</f>
        <v>0</v>
      </c>
      <c r="Q23" s="22">
        <f>IF(O23="","",IF(LEN(O23)&gt;9,SUMIFS(Options!$H$3:$H$25,Options!$B$3:$B$25,Check!O23),SUMIFS('Master P&amp;L'!$H$11:$H$100,'Master P&amp;L'!$B$11:$B$100,Check!O23)))</f>
        <v>0</v>
      </c>
      <c r="R23" s="217">
        <f t="shared" si="1"/>
        <v>0</v>
      </c>
      <c r="S23" s="361" t="str">
        <f t="shared" si="2"/>
        <v>Ok</v>
      </c>
      <c r="V23" s="13"/>
    </row>
    <row r="24" spans="2:22">
      <c r="B24" t="s">
        <v>2345</v>
      </c>
      <c r="C24" s="233">
        <f>IF(B24="","",IF(LEN(B24)&gt;9,SUMIFS(Options!$H$3:$H$25,Options!$B$3:$B$25,Check!B24),SUMIFS('Master P&amp;L'!$H$11:$H$100,'Master P&amp;L'!$B$11:$B$100,Check!B24)))</f>
        <v>31721</v>
      </c>
      <c r="D24" s="233">
        <f>IF(B24="","",SUMIFS(Input_APM!N:N,Input_APM!L:L,Check!B24,Input_APM!M:M,Check!$F$1))</f>
        <v>28536</v>
      </c>
      <c r="E24" s="217">
        <f t="shared" si="5"/>
        <v>1311</v>
      </c>
      <c r="F24" s="233">
        <f>IF(B24="","",SUMIFS(Input_APM!N:N,Input_APM!M:M,Check!$F$1,Input_APM!L:L,Check!B24))</f>
        <v>28536</v>
      </c>
      <c r="G24" s="233">
        <f>IF(B24="","",SUMIFS(Input_APM!N:N,Input_APM!M:M,Check!$G$1,Input_APM!L:L,Check!B24))</f>
        <v>0</v>
      </c>
      <c r="H24" s="217">
        <f t="shared" si="0"/>
        <v>28536</v>
      </c>
      <c r="I24" s="217">
        <f>SUMIFS(Input_APM!N:N,Input_APM!L:L,Check!B24)</f>
        <v>28536</v>
      </c>
      <c r="J24" s="219">
        <f t="shared" si="3"/>
        <v>0</v>
      </c>
      <c r="K24" s="22">
        <f>IF(B24="","",SUMIFS('Input_APM (Zenith)'!N:N,'Input_APM (Zenith)'!L:L,Check!B24,'Input_APM (Zenith)'!M:M,Check!$F$1))</f>
        <v>1874</v>
      </c>
      <c r="L24" s="22">
        <f>IF(B24="","",SUMIFS('Input_APM (Zenith)'!N:N,'Input_APM (Zenith)'!L:L,Check!B24,'Input_APM (Zenith)'!M:M,Check!$G$1))</f>
        <v>0</v>
      </c>
      <c r="M24" s="240">
        <f t="shared" si="4"/>
        <v>30410</v>
      </c>
      <c r="O24" t="s">
        <v>302</v>
      </c>
      <c r="P24" s="217">
        <f>IF(O24="","",IF(OR(LEFT(O24,4)="Cash",LEFT(O24,4)="Prov"),0,SUMIFS(Input_APM!N:N,Input_APM!L:L,Check!O24)))</f>
        <v>0</v>
      </c>
      <c r="Q24" s="22">
        <f>IF(O24="","",IF(LEN(O24)&gt;9,SUMIFS(Options!$H$3:$H$25,Options!$B$3:$B$25,Check!O24),SUMIFS('Master P&amp;L'!$H$11:$H$100,'Master P&amp;L'!$B$11:$B$100,Check!O24)))</f>
        <v>0</v>
      </c>
      <c r="R24" s="217">
        <f t="shared" si="1"/>
        <v>0</v>
      </c>
      <c r="S24" s="361" t="str">
        <f t="shared" si="2"/>
        <v>Ok</v>
      </c>
      <c r="V24" s="13"/>
    </row>
    <row r="25" spans="2:22">
      <c r="B25" t="s">
        <v>2354</v>
      </c>
      <c r="C25" s="233">
        <f>IF(B25="","",IF(LEN(B25)&gt;9,SUMIFS(Options!$H$3:$H$25,Options!$B$3:$B$25,Check!B25),SUMIFS('Master P&amp;L'!$H$11:$H$100,'Master P&amp;L'!$B$11:$B$100,Check!B25)))</f>
        <v>7716</v>
      </c>
      <c r="D25" s="233">
        <f>IF(B25="","",SUMIFS(Input_APM!N:N,Input_APM!L:L,Check!B25,Input_APM!M:M,Check!$F$1))</f>
        <v>7129</v>
      </c>
      <c r="E25" s="217">
        <f t="shared" si="5"/>
        <v>116</v>
      </c>
      <c r="F25" s="233">
        <f>IF(B25="","",SUMIFS(Input_APM!N:N,Input_APM!M:M,Check!$F$1,Input_APM!L:L,Check!B25))</f>
        <v>7129</v>
      </c>
      <c r="G25" s="233">
        <f>IF(B25="","",SUMIFS(Input_APM!N:N,Input_APM!M:M,Check!$G$1,Input_APM!L:L,Check!B25))</f>
        <v>0</v>
      </c>
      <c r="H25" s="217">
        <f t="shared" si="0"/>
        <v>7129</v>
      </c>
      <c r="I25" s="217">
        <f>SUMIFS(Input_APM!N:N,Input_APM!L:L,Check!B25)</f>
        <v>7129</v>
      </c>
      <c r="J25" s="219">
        <f t="shared" si="3"/>
        <v>0</v>
      </c>
      <c r="K25" s="22">
        <f>IF(B25="","",SUMIFS('Input_APM (Zenith)'!N:N,'Input_APM (Zenith)'!L:L,Check!B25,'Input_APM (Zenith)'!M:M,Check!$F$1))</f>
        <v>471</v>
      </c>
      <c r="L25" s="22">
        <f>IF(B25="","",SUMIFS('Input_APM (Zenith)'!N:N,'Input_APM (Zenith)'!L:L,Check!B25,'Input_APM (Zenith)'!M:M,Check!$G$1))</f>
        <v>0</v>
      </c>
      <c r="M25" s="240">
        <f t="shared" si="4"/>
        <v>7600</v>
      </c>
      <c r="O25" t="s">
        <v>1906</v>
      </c>
      <c r="P25" s="217">
        <f>IF(O25="","",IF(OR(LEFT(O25,4)="Cash",LEFT(O25,4)="Prov"),0,SUMIFS(Input_APM!N:N,Input_APM!L:L,Check!O25)))</f>
        <v>4625000</v>
      </c>
      <c r="Q25" s="22">
        <f>IF(O25="","",IF(LEN(O25)&gt;9,SUMIFS(Options!$H$3:$H$25,Options!$B$3:$B$25,Check!O25),SUMIFS('Master P&amp;L'!$H$11:$H$100,'Master P&amp;L'!$B$11:$B$100,Check!O25)))</f>
        <v>0</v>
      </c>
      <c r="R25" s="217">
        <f t="shared" si="1"/>
        <v>4625000</v>
      </c>
      <c r="S25" s="361" t="str">
        <f t="shared" si="2"/>
        <v>Erro</v>
      </c>
      <c r="V25" s="13"/>
    </row>
    <row r="26" spans="2:22">
      <c r="B26" t="s">
        <v>2369</v>
      </c>
      <c r="C26" s="233">
        <f>IF(B26="","",IF(LEN(B26)&gt;9,SUMIFS(Options!$H$3:$H$25,Options!$B$3:$B$25,Check!B26),SUMIFS('Master P&amp;L'!$H$11:$H$100,'Master P&amp;L'!$B$11:$B$100,Check!B26)))</f>
        <v>0</v>
      </c>
      <c r="D26" s="233">
        <f>IF(B26="","",SUMIFS(Input_APM!N:N,Input_APM!L:L,Check!B26,Input_APM!M:M,Check!$F$1))</f>
        <v>0</v>
      </c>
      <c r="E26" s="219">
        <f>IF(B26="","",C26-M26)</f>
        <v>0</v>
      </c>
      <c r="F26" s="233">
        <f>IF(B26="","",SUMIFS(Input_APM!N:N,Input_APM!M:M,Check!$F$1,Input_APM!L:L,Check!B26))</f>
        <v>0</v>
      </c>
      <c r="G26" s="233">
        <f>IF(B26="","",SUMIFS(Input_APM!N:N,Input_APM!M:M,Check!$G$1,Input_APM!L:L,Check!B26))</f>
        <v>0</v>
      </c>
      <c r="H26" s="217">
        <f t="shared" si="0"/>
        <v>0</v>
      </c>
      <c r="I26" s="217">
        <f>SUMIFS(Input_APM!N:N,Input_APM!L:L,Check!B26)</f>
        <v>0</v>
      </c>
      <c r="J26" s="219">
        <f t="shared" si="3"/>
        <v>0</v>
      </c>
      <c r="K26" s="22">
        <f>IF(B26="","",SUMIFS('Input_APM (Zenith)'!N:N,'Input_APM (Zenith)'!L:L,Check!B26,'Input_APM (Zenith)'!M:M,Check!$F$1))</f>
        <v>0</v>
      </c>
      <c r="L26" s="22">
        <f>IF(B26="","",SUMIFS('Input_APM (Zenith)'!N:N,'Input_APM (Zenith)'!L:L,Check!B26,'Input_APM (Zenith)'!M:M,Check!$G$1))</f>
        <v>0</v>
      </c>
      <c r="M26" s="240">
        <f t="shared" si="4"/>
        <v>0</v>
      </c>
      <c r="O26" t="s">
        <v>2345</v>
      </c>
      <c r="P26" s="217">
        <f>IF(O26="","",IF(OR(LEFT(O26,4)="Cash",LEFT(O26,4)="Prov"),0,SUMIFS(Input_APM!N:N,Input_APM!L:L,Check!O26)))</f>
        <v>28536</v>
      </c>
      <c r="Q26" s="22">
        <f>IF(O26="","",IF(LEN(O26)&gt;9,SUMIFS(Options!$H$3:$H$25,Options!$B$3:$B$25,Check!O26),SUMIFS('Master P&amp;L'!$H$11:$H$100,'Master P&amp;L'!$B$11:$B$100,Check!O26)))</f>
        <v>31721</v>
      </c>
      <c r="R26" s="217">
        <f t="shared" si="1"/>
        <v>-3185</v>
      </c>
      <c r="S26" s="361">
        <f t="shared" si="2"/>
        <v>0.89959332934018477</v>
      </c>
      <c r="V26" s="13"/>
    </row>
    <row r="27" spans="2:22">
      <c r="B27" t="s">
        <v>137</v>
      </c>
      <c r="C27" s="233">
        <f>IF(B27="","",IF(LEN(B27)&gt;9,SUMIFS(Options!$H$3:$H$25,Options!$B$3:$B$25,Check!B27),SUMIFS('Master P&amp;L'!$H$11:$H$100,'Master P&amp;L'!$B$11:$B$100,Check!B27)))</f>
        <v>0</v>
      </c>
      <c r="D27" s="233">
        <f>IF(B27="","",SUMIFS(Input_APM!N:N,Input_APM!L:L,Check!B27,Input_APM!M:M,Check!$F$1))</f>
        <v>1409</v>
      </c>
      <c r="E27" s="219">
        <f t="shared" si="5"/>
        <v>-1500</v>
      </c>
      <c r="F27" s="233">
        <f>IF(B27="","",SUMIFS(Input_APM!N:N,Input_APM!M:M,Check!$F$1,Input_APM!L:L,Check!B27))</f>
        <v>1409</v>
      </c>
      <c r="G27" s="233">
        <f>IF(B27="","",SUMIFS(Input_APM!N:N,Input_APM!M:M,Check!$G$1,Input_APM!L:L,Check!B27))</f>
        <v>0</v>
      </c>
      <c r="H27" s="217">
        <f t="shared" si="0"/>
        <v>1409</v>
      </c>
      <c r="I27" s="217">
        <f>SUMIFS(Input_APM!N:N,Input_APM!L:L,Check!B27)</f>
        <v>1409</v>
      </c>
      <c r="J27" s="219">
        <f t="shared" si="3"/>
        <v>0</v>
      </c>
      <c r="K27" s="22">
        <f>IF(B27="","",SUMIFS('Input_APM (Zenith)'!N:N,'Input_APM (Zenith)'!L:L,Check!B27,'Input_APM (Zenith)'!M:M,Check!$F$1))</f>
        <v>91</v>
      </c>
      <c r="L27" s="22">
        <f>IF(B27="","",SUMIFS('Input_APM (Zenith)'!N:N,'Input_APM (Zenith)'!L:L,Check!B27,'Input_APM (Zenith)'!M:M,Check!$G$1))</f>
        <v>0</v>
      </c>
      <c r="M27" s="240">
        <f t="shared" si="4"/>
        <v>1500</v>
      </c>
      <c r="O27" t="s">
        <v>1754</v>
      </c>
      <c r="P27" s="217">
        <f>IF(O27="","",IF(OR(LEFT(O27,4)="Cash",LEFT(O27,4)="Prov"),0,SUMIFS(Input_APM!N:N,Input_APM!L:L,Check!O27)))</f>
        <v>44211</v>
      </c>
      <c r="Q27" s="22">
        <f>IF(O27="","",IF(LEN(O27)&gt;9,SUMIFS(Options!$H$3:$H$25,Options!$B$3:$B$25,Check!O27),SUMIFS('Master P&amp;L'!$H$11:$H$100,'Master P&amp;L'!$B$11:$B$100,Check!O27)))</f>
        <v>64300</v>
      </c>
      <c r="R27" s="217">
        <f t="shared" si="1"/>
        <v>-20089</v>
      </c>
      <c r="S27" s="361">
        <f t="shared" si="2"/>
        <v>0.68757387247278379</v>
      </c>
      <c r="V27" s="13"/>
    </row>
    <row r="28" spans="2:22">
      <c r="B28" t="s">
        <v>96</v>
      </c>
      <c r="C28" s="233">
        <f>IF(B28="","",IF(LEN(B28)&gt;9,SUMIFS(Options!$H$3:$H$25,Options!$B$3:$B$25,Check!B28),SUMIFS('Master P&amp;L'!$H$11:$H$100,'Master P&amp;L'!$B$11:$B$100,Check!B28)))</f>
        <v>798</v>
      </c>
      <c r="D28" s="233">
        <f>IF(B28="","",SUMIFS(Input_APM!N:N,Input_APM!L:L,Check!B28,Input_APM!M:M,Check!$F$1))</f>
        <v>4838</v>
      </c>
      <c r="E28" s="219">
        <f>IF(B28="","",C28-M28)</f>
        <v>-4400</v>
      </c>
      <c r="F28" s="233">
        <f>IF(B28="","",SUMIFS(Input_APM!N:N,Input_APM!M:M,Check!$F$1,Input_APM!L:L,Check!B28))</f>
        <v>4838</v>
      </c>
      <c r="G28" s="233">
        <f>IF(B28="","",SUMIFS(Input_APM!N:N,Input_APM!M:M,Check!$G$1,Input_APM!L:L,Check!B28))</f>
        <v>0</v>
      </c>
      <c r="H28" s="217">
        <f t="shared" si="0"/>
        <v>4838</v>
      </c>
      <c r="I28" s="217">
        <f>SUMIFS(Input_APM!N:N,Input_APM!L:L,Check!B28)</f>
        <v>4838</v>
      </c>
      <c r="J28" s="219">
        <f t="shared" si="3"/>
        <v>0</v>
      </c>
      <c r="K28" s="22">
        <f>IF(B28="","",SUMIFS('Input_APM (Zenith)'!N:N,'Input_APM (Zenith)'!L:L,Check!B28,'Input_APM (Zenith)'!M:M,Check!$F$1))</f>
        <v>360</v>
      </c>
      <c r="L28" s="22">
        <f>IF(B28="","",SUMIFS('Input_APM (Zenith)'!N:N,'Input_APM (Zenith)'!L:L,Check!B28,'Input_APM (Zenith)'!M:M,Check!$G$1))</f>
        <v>0</v>
      </c>
      <c r="M28" s="240">
        <f t="shared" si="4"/>
        <v>5198</v>
      </c>
      <c r="O28" t="s">
        <v>2136</v>
      </c>
      <c r="P28" s="217">
        <f>IF(O28="","",IF(OR(LEFT(O28,4)="Cash",LEFT(O28,4)="Prov"),0,SUMIFS(Input_APM!N:N,Input_APM!L:L,Check!O28)))</f>
        <v>18727</v>
      </c>
      <c r="Q28" s="22">
        <f>IF(O28="","",IF(LEN(O28)&gt;9,SUMIFS(Options!$H$3:$H$25,Options!$B$3:$B$25,Check!O28),SUMIFS('Master P&amp;L'!$H$11:$H$100,'Master P&amp;L'!$B$11:$B$100,Check!O28)))</f>
        <v>0</v>
      </c>
      <c r="R28" s="217">
        <f t="shared" si="1"/>
        <v>18727</v>
      </c>
      <c r="S28" s="361" t="str">
        <f t="shared" si="2"/>
        <v>Erro</v>
      </c>
      <c r="V28" s="13"/>
    </row>
    <row r="29" spans="2:22">
      <c r="B29" t="s">
        <v>708</v>
      </c>
      <c r="C29" s="233">
        <f>IF(B29="","",IF(LEN(B29)&gt;9,SUMIFS(Options!$H$3:$H$25,Options!$B$3:$B$25,Check!B29),SUMIFS('Master P&amp;L'!$H$11:$H$100,'Master P&amp;L'!$B$11:$B$100,Check!B29)))</f>
        <v>0</v>
      </c>
      <c r="D29" s="233">
        <f>IF(B29="","",SUMIFS(Input_APM!N:N,Input_APM!L:L,Check!B29,Input_APM!M:M,Check!$F$1))</f>
        <v>0</v>
      </c>
      <c r="E29" s="219">
        <f t="shared" si="5"/>
        <v>0</v>
      </c>
      <c r="F29" s="233">
        <f>IF(B29="","",SUMIFS(Input_APM!N:N,Input_APM!M:M,Check!$F$1,Input_APM!L:L,Check!B29))</f>
        <v>0</v>
      </c>
      <c r="G29" s="233">
        <f>IF(B29="","",SUMIFS(Input_APM!N:N,Input_APM!M:M,Check!$G$1,Input_APM!L:L,Check!B29))</f>
        <v>0</v>
      </c>
      <c r="H29" s="217">
        <f t="shared" si="0"/>
        <v>0</v>
      </c>
      <c r="I29" s="217">
        <f>SUMIFS(Input_APM!N:N,Input_APM!L:L,Check!B29)</f>
        <v>0</v>
      </c>
      <c r="J29" s="219">
        <f t="shared" si="3"/>
        <v>0</v>
      </c>
      <c r="K29" s="22">
        <f>IF(B29="","",SUMIFS('Input_APM (Zenith)'!N:N,'Input_APM (Zenith)'!L:L,Check!B29,'Input_APM (Zenith)'!M:M,Check!$F$1))</f>
        <v>0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0</v>
      </c>
      <c r="O29" t="s">
        <v>2259</v>
      </c>
      <c r="P29" s="217">
        <f>IF(O29="","",IF(OR(LEFT(O29,4)="Cash",LEFT(O29,4)="Prov"),0,SUMIFS(Input_APM!N:N,Input_APM!L:L,Check!O29)))</f>
        <v>797</v>
      </c>
      <c r="Q29" s="22">
        <f>IF(O29="","",IF(LEN(O29)&gt;9,SUMIFS(Options!$H$3:$H$25,Options!$B$3:$B$25,Check!O29),SUMIFS('Master P&amp;L'!$H$11:$H$100,'Master P&amp;L'!$B$11:$B$100,Check!O29)))</f>
        <v>0</v>
      </c>
      <c r="R29" s="217">
        <f t="shared" si="1"/>
        <v>797</v>
      </c>
      <c r="S29" s="361" t="str">
        <f t="shared" si="2"/>
        <v>Erro</v>
      </c>
      <c r="V29" s="13"/>
    </row>
    <row r="30" spans="2:22">
      <c r="B30" t="s">
        <v>94</v>
      </c>
      <c r="C30" s="233">
        <f>IF(B30="","",IF(LEN(B30)&gt;9,SUMIFS(Options!$H$3:$H$25,Options!$B$3:$B$25,Check!B30),SUMIFS('Master P&amp;L'!$H$11:$H$100,'Master P&amp;L'!$B$11:$B$100,Check!B30)))</f>
        <v>20008</v>
      </c>
      <c r="D30" s="233">
        <f>IF(B30="","",SUMIFS(Input_APM!N:N,Input_APM!L:L,Check!B30,Input_APM!M:M,Check!$F$1))</f>
        <v>18703</v>
      </c>
      <c r="E30" s="219">
        <f t="shared" si="5"/>
        <v>0</v>
      </c>
      <c r="F30" s="233">
        <f>IF(B30="","",SUMIFS(Input_APM!N:N,Input_APM!M:M,Check!$F$1,Input_APM!L:L,Check!B30))</f>
        <v>18703</v>
      </c>
      <c r="G30" s="233">
        <f>IF(B30="","",SUMIFS(Input_APM!N:N,Input_APM!M:M,Check!$G$1,Input_APM!L:L,Check!B30))</f>
        <v>0</v>
      </c>
      <c r="H30" s="217">
        <f t="shared" si="0"/>
        <v>18703</v>
      </c>
      <c r="I30" s="217">
        <f>SUMIFS(Input_APM!N:N,Input_APM!L:L,Check!B30)</f>
        <v>18703</v>
      </c>
      <c r="J30" s="219">
        <f t="shared" si="3"/>
        <v>0</v>
      </c>
      <c r="K30" s="22">
        <f>IF(B30="","",SUMIFS('Input_APM (Zenith)'!N:N,'Input_APM (Zenith)'!L:L,Check!B30,'Input_APM (Zenith)'!M:M,Check!$F$1))</f>
        <v>1305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20008</v>
      </c>
      <c r="O30" t="s">
        <v>2260</v>
      </c>
      <c r="P30" s="217">
        <f>IF(O30="","",IF(OR(LEFT(O30,4)="Cash",LEFT(O30,4)="Prov"),0,SUMIFS(Input_APM!N:N,Input_APM!L:L,Check!O30)))</f>
        <v>-797</v>
      </c>
      <c r="Q30" s="22">
        <f>IF(O30="","",IF(LEN(O30)&gt;9,SUMIFS(Options!$H$3:$H$25,Options!$B$3:$B$25,Check!O30),SUMIFS('Master P&amp;L'!$H$11:$H$100,'Master P&amp;L'!$B$11:$B$100,Check!O30)))</f>
        <v>0</v>
      </c>
      <c r="R30" s="217">
        <f t="shared" si="1"/>
        <v>-797</v>
      </c>
      <c r="S30" s="361" t="str">
        <f t="shared" si="2"/>
        <v>Erro</v>
      </c>
      <c r="V30" s="13"/>
    </row>
    <row r="31" spans="2:22">
      <c r="B31" t="s">
        <v>138</v>
      </c>
      <c r="C31" s="233">
        <f>IF(B31="","",IF(LEN(B31)&gt;9,SUMIFS(Options!$H$3:$H$25,Options!$B$3:$B$25,Check!B31),SUMIFS('Master P&amp;L'!$H$11:$H$100,'Master P&amp;L'!$B$11:$B$100,Check!B31)))</f>
        <v>2951</v>
      </c>
      <c r="D31" s="233">
        <f>IF(B31="","",SUMIFS(Input_APM!N:N,Input_APM!L:L,Check!B31,Input_APM!M:M,Check!$F$1))</f>
        <v>2771</v>
      </c>
      <c r="E31" s="219">
        <f>IF(B31="","",C31-M31)</f>
        <v>0</v>
      </c>
      <c r="F31" s="233">
        <f>IF(B31="","",SUMIFS(Input_APM!N:N,Input_APM!M:M,Check!$F$1,Input_APM!L:L,Check!B31))</f>
        <v>2771</v>
      </c>
      <c r="G31" s="233">
        <f>IF(B31="","",SUMIFS(Input_APM!N:N,Input_APM!M:M,Check!$G$1,Input_APM!L:L,Check!B31))</f>
        <v>0</v>
      </c>
      <c r="H31" s="217">
        <f t="shared" si="0"/>
        <v>2771</v>
      </c>
      <c r="I31" s="217">
        <f>SUMIFS(Input_APM!N:N,Input_APM!L:L,Check!B31)</f>
        <v>2771</v>
      </c>
      <c r="J31" s="219">
        <f t="shared" si="3"/>
        <v>0</v>
      </c>
      <c r="K31" s="22">
        <f>IF(B31="","",SUMIFS('Input_APM (Zenith)'!N:N,'Input_APM (Zenith)'!L:L,Check!B31,'Input_APM (Zenith)'!M:M,Check!$F$1))</f>
        <v>180</v>
      </c>
      <c r="L31" s="22">
        <f>IF(B31="","",SUMIFS('Input_APM (Zenith)'!N:N,'Input_APM (Zenith)'!L:L,Check!B31,'Input_APM (Zenith)'!M:M,Check!$G$1))</f>
        <v>0</v>
      </c>
      <c r="M31" s="240">
        <f t="shared" si="4"/>
        <v>2951</v>
      </c>
      <c r="O31" t="s">
        <v>2145</v>
      </c>
      <c r="P31" s="217">
        <f>IF(O31="","",IF(OR(LEFT(O31,4)="Cash",LEFT(O31,4)="Prov"),0,SUMIFS(Input_APM!N:N,Input_APM!L:L,Check!O31)))</f>
        <v>13594</v>
      </c>
      <c r="Q31" s="22">
        <f>IF(O31="","",IF(LEN(O31)&gt;9,SUMIFS(Options!$H$3:$H$25,Options!$B$3:$B$25,Check!O31),SUMIFS('Master P&amp;L'!$H$11:$H$100,'Master P&amp;L'!$B$11:$B$100,Check!O31)))</f>
        <v>14500</v>
      </c>
      <c r="R31" s="217">
        <f t="shared" si="1"/>
        <v>-906</v>
      </c>
      <c r="S31" s="361">
        <f t="shared" si="2"/>
        <v>0.93751724137931036</v>
      </c>
      <c r="V31" s="13"/>
    </row>
    <row r="32" spans="2:22">
      <c r="B32" t="s">
        <v>2128</v>
      </c>
      <c r="C32" s="233">
        <f>IF(B32="","",IF(LEN(B32)&gt;9,SUMIFS(Options!$H$3:$H$25,Options!$B$3:$B$25,Check!B32),SUMIFS('Master P&amp;L'!$H$11:$H$100,'Master P&amp;L'!$B$11:$B$100,Check!B32)))</f>
        <v>35500</v>
      </c>
      <c r="D32" s="233">
        <f>IF(B32="","",SUMIFS(Input_APM!N:N,Input_APM!L:L,Check!B32,Input_APM!M:M,Check!$F$1))</f>
        <v>33235</v>
      </c>
      <c r="E32" s="219">
        <f t="shared" si="5"/>
        <v>0</v>
      </c>
      <c r="F32" s="233">
        <f>IF(B32="","",SUMIFS(Input_APM!N:N,Input_APM!M:M,Check!$F$1,Input_APM!L:L,Check!B32))</f>
        <v>33235</v>
      </c>
      <c r="G32" s="233">
        <f>IF(B32="","",SUMIFS(Input_APM!N:N,Input_APM!M:M,Check!$G$1,Input_APM!L:L,Check!B32))</f>
        <v>0</v>
      </c>
      <c r="H32" s="217">
        <f t="shared" si="0"/>
        <v>33235</v>
      </c>
      <c r="I32" s="217">
        <f>SUMIFS(Input_APM!N:N,Input_APM!L:L,Check!B32)</f>
        <v>33235</v>
      </c>
      <c r="J32" s="219">
        <f t="shared" si="3"/>
        <v>0</v>
      </c>
      <c r="K32" s="22">
        <f>IF(B32="","",SUMIFS('Input_APM (Zenith)'!N:N,'Input_APM (Zenith)'!L:L,Check!B32,'Input_APM (Zenith)'!M:M,Check!$F$1))</f>
        <v>2265</v>
      </c>
      <c r="L32" s="22">
        <f>IF(B32="","",SUMIFS('Input_APM (Zenith)'!N:N,'Input_APM (Zenith)'!L:L,Check!B32,'Input_APM (Zenith)'!M:M,Check!$G$1))</f>
        <v>0</v>
      </c>
      <c r="M32" s="240">
        <f t="shared" si="4"/>
        <v>35500</v>
      </c>
      <c r="O32" t="s">
        <v>1896</v>
      </c>
      <c r="P32" s="217">
        <f>IF(O32="","",IF(OR(LEFT(O32,4)="Cash",LEFT(O32,4)="Prov"),0,SUMIFS(Input_APM!N:N,Input_APM!L:L,Check!O32)))</f>
        <v>276451</v>
      </c>
      <c r="Q32" s="22">
        <f>IF(O32="","",IF(LEN(O32)&gt;9,SUMIFS(Options!$H$3:$H$25,Options!$B$3:$B$25,Check!O32),SUMIFS('Master P&amp;L'!$H$11:$H$100,'Master P&amp;L'!$B$11:$B$100,Check!O32)))</f>
        <v>0</v>
      </c>
      <c r="R32" s="217">
        <f t="shared" si="1"/>
        <v>276451</v>
      </c>
      <c r="S32" s="361" t="str">
        <f t="shared" si="2"/>
        <v>Erro</v>
      </c>
      <c r="V32" s="13"/>
    </row>
    <row r="33" spans="1:22">
      <c r="B33" t="s">
        <v>88</v>
      </c>
      <c r="C33" s="233">
        <f>IF(B33="","",IF(LEN(B33)&gt;9,SUMIFS(Options!$H$3:$H$25,Options!$B$3:$B$25,Check!B33),SUMIFS('Master P&amp;L'!$H$11:$H$100,'Master P&amp;L'!$B$11:$B$100,Check!B33)))</f>
        <v>45750</v>
      </c>
      <c r="D33" s="233">
        <f>IF(B33="","",SUMIFS(Input_APM!N:N,Input_APM!L:L,Check!B33,Input_APM!M:M,Check!$F$1))</f>
        <v>42865</v>
      </c>
      <c r="E33" s="217">
        <f t="shared" si="5"/>
        <v>0</v>
      </c>
      <c r="F33" s="233">
        <f>IF(B33="","",SUMIFS(Input_APM!N:N,Input_APM!M:M,Check!$F$1,Input_APM!L:L,Check!B33))</f>
        <v>42865</v>
      </c>
      <c r="G33" s="233">
        <f>IF(B33="","",SUMIFS(Input_APM!N:N,Input_APM!M:M,Check!$G$1,Input_APM!L:L,Check!B33))</f>
        <v>0</v>
      </c>
      <c r="H33" s="217">
        <f t="shared" si="0"/>
        <v>42865</v>
      </c>
      <c r="I33" s="217">
        <f>SUMIFS(Input_APM!N:N,Input_APM!L:L,Check!B33)</f>
        <v>42865</v>
      </c>
      <c r="J33" s="219">
        <f t="shared" si="3"/>
        <v>0</v>
      </c>
      <c r="K33" s="22">
        <f>IF(B33="","",SUMIFS('Input_APM (Zenith)'!N:N,'Input_APM (Zenith)'!L:L,Check!B33,'Input_APM (Zenith)'!M:M,Check!$F$1))</f>
        <v>2885</v>
      </c>
      <c r="L33" s="22">
        <f>IF(B33="","",SUMIFS('Input_APM (Zenith)'!N:N,'Input_APM (Zenith)'!L:L,Check!B33,'Input_APM (Zenith)'!M:M,Check!$G$1))</f>
        <v>0</v>
      </c>
      <c r="M33" s="240">
        <f t="shared" si="4"/>
        <v>45750</v>
      </c>
      <c r="O33" t="s">
        <v>1897</v>
      </c>
      <c r="P33" s="217">
        <f>IF(O33="","",IF(OR(LEFT(O33,4)="Cash",LEFT(O33,4)="Prov"),0,SUMIFS(Input_APM!N:N,Input_APM!L:L,Check!O33)))</f>
        <v>-276451</v>
      </c>
      <c r="Q33" s="22">
        <f>IF(O33="","",IF(LEN(O33)&gt;9,SUMIFS(Options!$H$3:$H$25,Options!$B$3:$B$25,Check!O33),SUMIFS('Master P&amp;L'!$H$11:$H$100,'Master P&amp;L'!$B$11:$B$100,Check!O33)))</f>
        <v>0</v>
      </c>
      <c r="R33" s="217">
        <f t="shared" si="1"/>
        <v>-276451</v>
      </c>
      <c r="S33" s="361" t="str">
        <f t="shared" si="2"/>
        <v>Erro</v>
      </c>
      <c r="V33" s="13"/>
    </row>
    <row r="34" spans="1:22">
      <c r="B34" t="s">
        <v>2261</v>
      </c>
      <c r="C34" s="233">
        <f>IF(B34="","",IF(LEN(B34)&gt;9,SUMIFS(Options!$H$3:$H$25,Options!$B$3:$B$25,Check!B34),SUMIFS('Master P&amp;L'!$H$11:$H$100,'Master P&amp;L'!$B$11:$B$100,Check!B34)))</f>
        <v>-11500</v>
      </c>
      <c r="D34" s="233">
        <f>IF(B34="","",SUMIFS(Input_APM!N:N,Input_APM!L:L,Check!B34,Input_APM!M:M,Check!$F$1))</f>
        <v>-10782</v>
      </c>
      <c r="E34" s="217">
        <f t="shared" si="5"/>
        <v>0</v>
      </c>
      <c r="F34" s="233">
        <f>IF(B34="","",SUMIFS(Input_APM!N:N,Input_APM!M:M,Check!$F$1,Input_APM!L:L,Check!B34))</f>
        <v>-10782</v>
      </c>
      <c r="G34" s="233">
        <f>IF(B34="","",SUMIFS(Input_APM!N:N,Input_APM!M:M,Check!$G$1,Input_APM!L:L,Check!B34))</f>
        <v>0</v>
      </c>
      <c r="H34" s="217">
        <f t="shared" si="0"/>
        <v>-10782</v>
      </c>
      <c r="I34" s="217">
        <f>SUMIFS(Input_APM!N:N,Input_APM!L:L,Check!B34)</f>
        <v>-10782</v>
      </c>
      <c r="J34" s="219">
        <f t="shared" si="3"/>
        <v>0</v>
      </c>
      <c r="K34" s="22">
        <f>IF(B34="","",SUMIFS('Input_APM (Zenith)'!N:N,'Input_APM (Zenith)'!L:L,Check!B34,'Input_APM (Zenith)'!M:M,Check!$F$1))</f>
        <v>-718</v>
      </c>
      <c r="L34" s="22">
        <f>IF(B34="","",SUMIFS('Input_APM (Zenith)'!N:N,'Input_APM (Zenith)'!L:L,Check!B34,'Input_APM (Zenith)'!M:M,Check!$G$1))</f>
        <v>0</v>
      </c>
      <c r="M34" s="240">
        <f t="shared" si="4"/>
        <v>-11500</v>
      </c>
      <c r="O34" t="s">
        <v>1740</v>
      </c>
      <c r="P34" s="217">
        <f>IF(O34="","",IF(OR(LEFT(O34,4)="Cash",LEFT(O34,4)="Prov"),0,SUMIFS(Input_APM!N:N,Input_APM!L:L,Check!O34)))</f>
        <v>0</v>
      </c>
      <c r="Q34" s="22">
        <f>IF(O34="","",IF(LEN(O34)&gt;9,SUMIFS(Options!$H$3:$H$25,Options!$B$3:$B$25,Check!O34),SUMIFS('Master P&amp;L'!$H$11:$H$100,'Master P&amp;L'!$B$11:$B$100,Check!O34)))</f>
        <v>0</v>
      </c>
      <c r="R34" s="217">
        <f t="shared" si="1"/>
        <v>0</v>
      </c>
      <c r="S34" s="361" t="str">
        <f t="shared" si="2"/>
        <v>Ok</v>
      </c>
      <c r="V34" s="13"/>
    </row>
    <row r="35" spans="1:22">
      <c r="B35" t="s">
        <v>4</v>
      </c>
      <c r="C35" s="233">
        <f>IF(B35="","",IF(LEN(B35)&gt;9,SUMIFS(Options!$H$3:$H$25,Options!$B$3:$B$25,Check!B35),SUMIFS('Master P&amp;L'!$H$11:$H$100,'Master P&amp;L'!$B$11:$B$100,Check!B35)))</f>
        <v>-27500</v>
      </c>
      <c r="D35" s="233">
        <f>IF(B35="","",SUMIFS(Input_APM!N:N,Input_APM!L:L,Check!B35,Input_APM!M:M,Check!$F$1))</f>
        <v>-25765</v>
      </c>
      <c r="E35" s="219">
        <f t="shared" si="5"/>
        <v>0</v>
      </c>
      <c r="F35" s="233">
        <f>IF(B35="","",SUMIFS(Input_APM!N:N,Input_APM!M:M,Check!$F$1,Input_APM!L:L,Check!B35))</f>
        <v>-25765</v>
      </c>
      <c r="G35" s="233">
        <f>IF(B35="","",SUMIFS(Input_APM!N:N,Input_APM!M:M,Check!$G$1,Input_APM!L:L,Check!B35))</f>
        <v>0</v>
      </c>
      <c r="H35" s="217">
        <f t="shared" si="0"/>
        <v>-25765</v>
      </c>
      <c r="I35" s="217">
        <f>SUMIFS(Input_APM!N:N,Input_APM!L:L,Check!B35)</f>
        <v>-25765</v>
      </c>
      <c r="J35" s="219">
        <f t="shared" si="3"/>
        <v>0</v>
      </c>
      <c r="K35" s="22">
        <f>IF(B35="","",SUMIFS('Input_APM (Zenith)'!N:N,'Input_APM (Zenith)'!L:L,Check!B35,'Input_APM (Zenith)'!M:M,Check!$F$1))</f>
        <v>-1735</v>
      </c>
      <c r="L35" s="22">
        <f>IF(B35="","",SUMIFS('Input_APM (Zenith)'!N:N,'Input_APM (Zenith)'!L:L,Check!B35,'Input_APM (Zenith)'!M:M,Check!$G$1))</f>
        <v>0</v>
      </c>
      <c r="M35" s="240">
        <f t="shared" si="4"/>
        <v>-27500</v>
      </c>
      <c r="O35" t="s">
        <v>89</v>
      </c>
      <c r="P35" s="217">
        <f>IF(O35="","",IF(OR(LEFT(O35,4)="Cash",LEFT(O35,4)="Prov"),0,SUMIFS(Input_APM!N:N,Input_APM!L:L,Check!O35)))</f>
        <v>-24420</v>
      </c>
      <c r="Q35" s="22">
        <f>IF(O35="","",IF(LEN(O35)&gt;9,SUMIFS(Options!$H$3:$H$25,Options!$B$3:$B$25,Check!O35),SUMIFS('Master P&amp;L'!$H$11:$H$100,'Master P&amp;L'!$B$11:$B$100,Check!O35)))</f>
        <v>-7500</v>
      </c>
      <c r="R35" s="217">
        <f t="shared" si="1"/>
        <v>-16920</v>
      </c>
      <c r="S35" s="361">
        <f t="shared" si="2"/>
        <v>3.2559999999999998</v>
      </c>
      <c r="V35" s="13"/>
    </row>
    <row r="36" spans="1:22">
      <c r="B36" t="s">
        <v>2224</v>
      </c>
      <c r="C36" s="233">
        <f>IF(B36="","",IF(LEN(B36)&gt;9,SUMIFS(Options!$H$3:$H$25,Options!$B$3:$B$25,Check!B36),SUMIFS('Master P&amp;L'!$H$11:$H$100,'Master P&amp;L'!$B$11:$B$100,Check!B36)))</f>
        <v>1000</v>
      </c>
      <c r="D36" s="233">
        <f>IF(B36="","",SUMIFS(Input_APM!N:N,Input_APM!L:L,Check!B36,Input_APM!M:M,Check!$F$1))</f>
        <v>935</v>
      </c>
      <c r="E36" s="219">
        <f>IF(B36="","",C36-M36)</f>
        <v>0</v>
      </c>
      <c r="F36" s="233">
        <f>IF(B36="","",SUMIFS(Input_APM!N:N,Input_APM!M:M,Check!$F$1,Input_APM!L:L,Check!B36))</f>
        <v>935</v>
      </c>
      <c r="G36" s="233">
        <f>IF(B36="","",SUMIFS(Input_APM!N:N,Input_APM!M:M,Check!$G$1,Input_APM!L:L,Check!B36))</f>
        <v>0</v>
      </c>
      <c r="H36" s="217">
        <f t="shared" si="0"/>
        <v>935</v>
      </c>
      <c r="I36" s="217">
        <f>SUMIFS(Input_APM!N:N,Input_APM!L:L,Check!B36)</f>
        <v>935</v>
      </c>
      <c r="J36" s="219">
        <f t="shared" si="3"/>
        <v>0</v>
      </c>
      <c r="K36" s="22">
        <f>IF(B36="","",SUMIFS('Input_APM (Zenith)'!N:N,'Input_APM (Zenith)'!L:L,Check!B36,'Input_APM (Zenith)'!M:M,Check!$F$1))</f>
        <v>65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1000</v>
      </c>
      <c r="O36" t="s">
        <v>2325</v>
      </c>
      <c r="P36" s="217">
        <f>IF(O36="","",IF(OR(LEFT(O36,4)="Cash",LEFT(O36,4)="Prov"),0,SUMIFS(Input_APM!N:N,Input_APM!L:L,Check!O36)))</f>
        <v>260</v>
      </c>
      <c r="Q36" s="22">
        <f>IF(O36="","",IF(LEN(O36)&gt;9,SUMIFS(Options!$H$3:$H$25,Options!$B$3:$B$25,Check!O36),SUMIFS('Master P&amp;L'!$H$11:$H$100,'Master P&amp;L'!$B$11:$B$100,Check!O36)))</f>
        <v>275</v>
      </c>
      <c r="R36" s="217">
        <f t="shared" si="1"/>
        <v>-15</v>
      </c>
      <c r="S36" s="361">
        <f t="shared" si="2"/>
        <v>0.94545454545454544</v>
      </c>
      <c r="V36" s="13"/>
    </row>
    <row r="37" spans="1:22">
      <c r="B37" t="s">
        <v>2102</v>
      </c>
      <c r="C37" s="233">
        <f>IF(B37="","",IF(LEN(B37)&gt;9,SUMIFS(Options!$H$3:$H$25,Options!$B$3:$B$25,Check!B37),SUMIFS('Master P&amp;L'!$H$11:$H$100,'Master P&amp;L'!$B$11:$B$100,Check!B37)))</f>
        <v>120</v>
      </c>
      <c r="D37" s="233">
        <f>IF(B37="","",SUMIFS(Input_APM!N:N,Input_APM!L:L,Check!B37,Input_APM!M:M,Check!$F$1))</f>
        <v>114</v>
      </c>
      <c r="E37" s="219">
        <f>IF(B37="","",C37-M37)</f>
        <v>0</v>
      </c>
      <c r="F37" s="233">
        <f>IF(B37="","",SUMIFS(Input_APM!N:N,Input_APM!M:M,Check!$F$1,Input_APM!L:L,Check!B37))</f>
        <v>114</v>
      </c>
      <c r="G37" s="233">
        <f>IF(B37="","",SUMIFS(Input_APM!N:N,Input_APM!M:M,Check!$G$1,Input_APM!L:L,Check!B37))</f>
        <v>0</v>
      </c>
      <c r="H37" s="217">
        <f t="shared" si="0"/>
        <v>114</v>
      </c>
      <c r="I37" s="217">
        <f>SUMIFS(Input_APM!N:N,Input_APM!L:L,Check!B37)</f>
        <v>114</v>
      </c>
      <c r="J37" s="219">
        <f t="shared" si="3"/>
        <v>0</v>
      </c>
      <c r="K37" s="22">
        <f>IF(B37="","",SUMIFS('Input_APM (Zenith)'!N:N,'Input_APM (Zenith)'!L:L,Check!B37,'Input_APM (Zenith)'!M:M,Check!$F$1))</f>
        <v>6</v>
      </c>
      <c r="L37" s="22">
        <f>IF(B37="","",SUMIFS('Input_APM (Zenith)'!N:N,'Input_APM (Zenith)'!L:L,Check!B37,'Input_APM (Zenith)'!M:M,Check!$G$1))</f>
        <v>0</v>
      </c>
      <c r="M37" s="240">
        <f t="shared" si="4"/>
        <v>120</v>
      </c>
      <c r="O37" t="s">
        <v>2326</v>
      </c>
      <c r="P37" s="217">
        <f>IF(O37="","",IF(OR(LEFT(O37,4)="Cash",LEFT(O37,4)="Prov"),0,SUMIFS(Input_APM!N:N,Input_APM!L:L,Check!O37)))</f>
        <v>-141</v>
      </c>
      <c r="Q37" s="22">
        <f>IF(O37="","",IF(LEN(O37)&gt;9,SUMIFS(Options!$H$3:$H$25,Options!$B$3:$B$25,Check!O37),SUMIFS('Master P&amp;L'!$H$11:$H$100,'Master P&amp;L'!$B$11:$B$100,Check!O37)))</f>
        <v>-150</v>
      </c>
      <c r="R37" s="217">
        <f t="shared" si="1"/>
        <v>9</v>
      </c>
      <c r="S37" s="361">
        <f t="shared" si="2"/>
        <v>0.94</v>
      </c>
      <c r="V37" s="13"/>
    </row>
    <row r="38" spans="1:22">
      <c r="B38" t="s">
        <v>2388</v>
      </c>
      <c r="C38" s="233">
        <f>IF(B38="","",IF(LEN(B38)&gt;9,SUMIFS(Options!$H$3:$H$25,Options!$B$3:$B$25,Check!B38),SUMIFS('Master P&amp;L'!$H$11:$H$100,'Master P&amp;L'!$B$11:$B$100,Check!B38)))</f>
        <v>150</v>
      </c>
      <c r="D38" s="233">
        <f>IF(B38="","",SUMIFS(Input_APM!N:N,Input_APM!L:L,Check!B38,Input_APM!M:M,Check!$F$1))</f>
        <v>142</v>
      </c>
      <c r="E38" s="217">
        <f t="shared" si="5"/>
        <v>0</v>
      </c>
      <c r="F38" s="233">
        <f>IF(B38="","",SUMIFS(Input_APM!N:N,Input_APM!M:M,Check!$F$1,Input_APM!L:L,Check!B38))</f>
        <v>142</v>
      </c>
      <c r="G38" s="233">
        <f>IF(B38="","",SUMIFS(Input_APM!N:N,Input_APM!M:M,Check!$G$1,Input_APM!L:L,Check!B38))</f>
        <v>0</v>
      </c>
      <c r="H38" s="217">
        <f t="shared" si="0"/>
        <v>142</v>
      </c>
      <c r="I38" s="217">
        <f>SUMIFS(Input_APM!N:N,Input_APM!L:L,Check!B38)</f>
        <v>142</v>
      </c>
      <c r="J38" s="219">
        <f t="shared" si="3"/>
        <v>0</v>
      </c>
      <c r="K38" s="22">
        <f>IF(B38="","",SUMIFS('Input_APM (Zenith)'!N:N,'Input_APM (Zenith)'!L:L,Check!B38,'Input_APM (Zenith)'!M:M,Check!$F$1))</f>
        <v>8</v>
      </c>
      <c r="L38" s="22">
        <f>IF(B38="","",SUMIFS('Input_APM (Zenith)'!N:N,'Input_APM (Zenith)'!L:L,Check!B38,'Input_APM (Zenith)'!M:M,Check!$G$1))</f>
        <v>0</v>
      </c>
      <c r="M38" s="240">
        <f t="shared" si="4"/>
        <v>150</v>
      </c>
      <c r="O38" t="s">
        <v>2324</v>
      </c>
      <c r="P38" s="217">
        <f>IF(O38="","",IF(OR(LEFT(O38,4)="Cash",LEFT(O38,4)="Prov"),0,SUMIFS(Input_APM!N:N,Input_APM!L:L,Check!O38)))</f>
        <v>-141</v>
      </c>
      <c r="Q38" s="22">
        <f>IF(O38="","",IF(LEN(O38)&gt;9,SUMIFS(Options!$H$3:$H$25,Options!$B$3:$B$25,Check!O38),SUMIFS('Master P&amp;L'!$H$11:$H$100,'Master P&amp;L'!$B$11:$B$100,Check!O38)))</f>
        <v>-150</v>
      </c>
      <c r="R38" s="217">
        <f t="shared" si="1"/>
        <v>9</v>
      </c>
      <c r="S38" s="361">
        <f t="shared" si="2"/>
        <v>0.94</v>
      </c>
      <c r="V38" s="13"/>
    </row>
    <row r="39" spans="1:22">
      <c r="B39" t="s">
        <v>2283</v>
      </c>
      <c r="C39" s="233">
        <f>IF(B39="","",IF(LEN(B39)&gt;9,SUMIFS(Options!$H$3:$H$25,Options!$B$3:$B$25,Check!B39),SUMIFS('Master P&amp;L'!$H$11:$H$100,'Master P&amp;L'!$B$11:$B$100,Check!B39)))</f>
        <v>60</v>
      </c>
      <c r="D39" s="233">
        <f>IF(B39="","",SUMIFS(Input_APM!N:N,Input_APM!L:L,Check!B39,Input_APM!M:M,Check!$F$1))</f>
        <v>56</v>
      </c>
      <c r="E39" s="217">
        <f t="shared" si="5"/>
        <v>0</v>
      </c>
      <c r="F39" s="233">
        <f>IF(B39="","",SUMIFS(Input_APM!N:N,Input_APM!M:M,Check!$F$1,Input_APM!L:L,Check!B39))</f>
        <v>56</v>
      </c>
      <c r="G39" s="233">
        <f>IF(B39="","",SUMIFS(Input_APM!N:N,Input_APM!M:M,Check!$G$1,Input_APM!L:L,Check!B39))</f>
        <v>0</v>
      </c>
      <c r="H39" s="217">
        <f t="shared" si="0"/>
        <v>56</v>
      </c>
      <c r="I39" s="217">
        <f>SUMIFS(Input_APM!N:N,Input_APM!L:L,Check!B39)</f>
        <v>56</v>
      </c>
      <c r="J39" s="219">
        <f t="shared" si="3"/>
        <v>0</v>
      </c>
      <c r="K39" s="22">
        <f>IF(B39="","",SUMIFS('Input_APM (Zenith)'!N:N,'Input_APM (Zenith)'!L:L,Check!B39,'Input_APM (Zenith)'!M:M,Check!$F$1))</f>
        <v>4</v>
      </c>
      <c r="L39" s="22">
        <f>IF(B39="","",SUMIFS('Input_APM (Zenith)'!N:N,'Input_APM (Zenith)'!L:L,Check!B39,'Input_APM (Zenith)'!M:M,Check!$G$1))</f>
        <v>0</v>
      </c>
      <c r="M39" s="240">
        <f t="shared" si="4"/>
        <v>60</v>
      </c>
      <c r="O39" t="s">
        <v>2261</v>
      </c>
      <c r="P39" s="217">
        <f>IF(O39="","",IF(OR(LEFT(O39,4)="Cash",LEFT(O39,4)="Prov"),0,SUMIFS(Input_APM!N:N,Input_APM!L:L,Check!O39)))</f>
        <v>-10782</v>
      </c>
      <c r="Q39" s="22">
        <f>IF(O39="","",IF(LEN(O39)&gt;9,SUMIFS(Options!$H$3:$H$25,Options!$B$3:$B$25,Check!O39),SUMIFS('Master P&amp;L'!$H$11:$H$100,'Master P&amp;L'!$B$11:$B$100,Check!O39)))</f>
        <v>-11500</v>
      </c>
      <c r="R39" s="217">
        <f t="shared" si="1"/>
        <v>718</v>
      </c>
      <c r="S39" s="361">
        <f t="shared" si="2"/>
        <v>0.93756521739130438</v>
      </c>
      <c r="V39" s="13"/>
    </row>
    <row r="40" spans="1:22">
      <c r="B40" t="s">
        <v>2456</v>
      </c>
      <c r="C40" s="233">
        <f>IF(B40="","",IF(LEN(B40)&gt;9,SUMIFS(Options!$H$3:$H$25,Options!$B$3:$B$25,Check!B40),SUMIFS('Master P&amp;L'!$H$11:$H$100,'Master P&amp;L'!$B$11:$B$100,Check!B40)))</f>
        <v>135</v>
      </c>
      <c r="D40" s="233">
        <f>IF(B40="","",SUMIFS(Input_APM!N:N,Input_APM!L:L,Check!B40,Input_APM!M:M,Check!$F$1))</f>
        <v>58</v>
      </c>
      <c r="E40" s="219">
        <f t="shared" si="5"/>
        <v>75</v>
      </c>
      <c r="F40" s="233">
        <f>IF(B40="","",SUMIFS(Input_APM!N:N,Input_APM!M:M,Check!$F$1,Input_APM!L:L,Check!B40))</f>
        <v>58</v>
      </c>
      <c r="G40" s="233">
        <f>IF(B40="","",SUMIFS(Input_APM!N:N,Input_APM!M:M,Check!$G$1,Input_APM!L:L,Check!B40))</f>
        <v>0</v>
      </c>
      <c r="H40" s="217">
        <f t="shared" si="0"/>
        <v>58</v>
      </c>
      <c r="I40" s="217">
        <f>SUMIFS(Input_APM!N:N,Input_APM!L:L,Check!B40)</f>
        <v>58</v>
      </c>
      <c r="J40" s="219">
        <f t="shared" si="3"/>
        <v>0</v>
      </c>
      <c r="K40" s="22">
        <f>IF(B40="","",SUMIFS('Input_APM (Zenith)'!N:N,'Input_APM (Zenith)'!L:L,Check!B40,'Input_APM (Zenith)'!M:M,Check!$F$1))</f>
        <v>2</v>
      </c>
      <c r="L40" s="22">
        <f>IF(B40="","",SUMIFS('Input_APM (Zenith)'!N:N,'Input_APM (Zenith)'!L:L,Check!B40,'Input_APM (Zenith)'!M:M,Check!$G$1))</f>
        <v>0</v>
      </c>
      <c r="M40" s="240">
        <f t="shared" si="4"/>
        <v>60</v>
      </c>
      <c r="O40" t="s">
        <v>2299</v>
      </c>
      <c r="P40" s="217">
        <f>IF(O40="","",IF(OR(LEFT(O40,4)="Cash",LEFT(O40,4)="Prov"),0,SUMIFS(Input_APM!N:N,Input_APM!L:L,Check!O40)))</f>
        <v>10349446</v>
      </c>
      <c r="Q40" s="22">
        <f>IF(O40="","",IF(LEN(O40)&gt;9,SUMIFS(Options!$H$3:$H$25,Options!$B$3:$B$25,Check!O40),SUMIFS('Master P&amp;L'!$H$11:$H$100,'Master P&amp;L'!$B$11:$B$100,Check!O40)))</f>
        <v>0</v>
      </c>
      <c r="R40" s="217">
        <f t="shared" si="1"/>
        <v>10349446</v>
      </c>
      <c r="S40" s="361" t="str">
        <f t="shared" si="2"/>
        <v>Erro</v>
      </c>
      <c r="V40" s="13"/>
    </row>
    <row r="41" spans="1:22">
      <c r="B41" t="s">
        <v>2402</v>
      </c>
      <c r="C41" s="233">
        <f>IF(B41="","",IF(LEN(B41)&gt;9,SUMIFS(Options!$H$3:$H$25,Options!$B$3:$B$25,Check!B41),SUMIFS('Master P&amp;L'!$H$11:$H$100,'Master P&amp;L'!$B$11:$B$100,Check!B41)))</f>
        <v>75</v>
      </c>
      <c r="D41" s="233">
        <f>IF(B41="","",SUMIFS(Input_APM!N:N,Input_APM!L:L,Check!B41,Input_APM!M:M,Check!$F$1))</f>
        <v>70</v>
      </c>
      <c r="E41" s="217">
        <f t="shared" si="5"/>
        <v>0</v>
      </c>
      <c r="F41" s="233">
        <f>IF(B41="","",SUMIFS(Input_APM!N:N,Input_APM!M:M,Check!$F$1,Input_APM!L:L,Check!B41))</f>
        <v>70</v>
      </c>
      <c r="G41" s="233">
        <f>IF(B41="","",SUMIFS(Input_APM!N:N,Input_APM!M:M,Check!$G$1,Input_APM!L:L,Check!B41))</f>
        <v>0</v>
      </c>
      <c r="H41" s="217">
        <f t="shared" si="0"/>
        <v>70</v>
      </c>
      <c r="I41" s="217">
        <f>SUMIFS(Input_APM!N:N,Input_APM!L:L,Check!B41)</f>
        <v>70</v>
      </c>
      <c r="J41" s="219">
        <f t="shared" si="3"/>
        <v>0</v>
      </c>
      <c r="K41" s="22">
        <f>IF(B41="","",SUMIFS('Input_APM (Zenith)'!N:N,'Input_APM (Zenith)'!L:L,Check!B41,'Input_APM (Zenith)'!M:M,Check!$F$1))</f>
        <v>5</v>
      </c>
      <c r="L41" s="22">
        <f>IF(B41="","",SUMIFS('Input_APM (Zenith)'!N:N,'Input_APM (Zenith)'!L:L,Check!B41,'Input_APM (Zenith)'!M:M,Check!$G$1))</f>
        <v>0</v>
      </c>
      <c r="M41" s="240">
        <f t="shared" si="4"/>
        <v>75</v>
      </c>
      <c r="O41" t="s">
        <v>2063</v>
      </c>
      <c r="P41" s="217">
        <f>IF(O41="","",IF(OR(LEFT(O41,4)="Cash",LEFT(O41,4)="Prov"),0,SUMIFS(Input_APM!N:N,Input_APM!L:L,Check!O41)))</f>
        <v>841</v>
      </c>
      <c r="Q41" s="22">
        <f>IF(O41="","",IF(LEN(O41)&gt;9,SUMIFS(Options!$H$3:$H$25,Options!$B$3:$B$25,Check!O41),SUMIFS('Master P&amp;L'!$H$11:$H$100,'Master P&amp;L'!$B$11:$B$100,Check!O41)))</f>
        <v>0</v>
      </c>
      <c r="R41" s="217">
        <f t="shared" si="1"/>
        <v>841</v>
      </c>
      <c r="S41" s="361" t="str">
        <f t="shared" si="2"/>
        <v>Erro</v>
      </c>
      <c r="V41" s="13"/>
    </row>
    <row r="42" spans="1:22">
      <c r="B42" t="s">
        <v>2094</v>
      </c>
      <c r="C42" s="233">
        <f>IF(B42="","",IF(LEN(B42)&gt;9,SUMIFS(Options!$H$3:$H$25,Options!$B$3:$B$25,Check!B42),SUMIFS('Master P&amp;L'!$H$11:$H$100,'Master P&amp;L'!$B$11:$B$100,Check!B42)))</f>
        <v>200</v>
      </c>
      <c r="D42" s="233">
        <f>IF(B42="","",SUMIFS(Input_APM!N:N,Input_APM!L:L,Check!B42,Input_APM!M:M,Check!$F$1))</f>
        <v>186</v>
      </c>
      <c r="E42" s="219">
        <f t="shared" si="5"/>
        <v>0</v>
      </c>
      <c r="F42" s="233">
        <f>IF(B42="","",SUMIFS(Input_APM!N:N,Input_APM!M:M,Check!$F$1,Input_APM!L:L,Check!B42))</f>
        <v>186</v>
      </c>
      <c r="G42" s="233">
        <f>IF(B42="","",SUMIFS(Input_APM!N:N,Input_APM!M:M,Check!$G$1,Input_APM!L:L,Check!B42))</f>
        <v>0</v>
      </c>
      <c r="H42" s="217">
        <f t="shared" si="0"/>
        <v>186</v>
      </c>
      <c r="I42" s="217">
        <f>SUMIFS(Input_APM!N:N,Input_APM!L:L,Check!B42)</f>
        <v>186</v>
      </c>
      <c r="J42" s="219">
        <f t="shared" si="3"/>
        <v>0</v>
      </c>
      <c r="K42" s="22">
        <f>IF(B42="","",SUMIFS('Input_APM (Zenith)'!N:N,'Input_APM (Zenith)'!L:L,Check!B42,'Input_APM (Zenith)'!M:M,Check!$F$1))</f>
        <v>14</v>
      </c>
      <c r="L42" s="22">
        <f>IF(B42="","",SUMIFS('Input_APM (Zenith)'!N:N,'Input_APM (Zenith)'!L:L,Check!B42,'Input_APM (Zenith)'!M:M,Check!$G$1))</f>
        <v>0</v>
      </c>
      <c r="M42" s="240">
        <f t="shared" si="4"/>
        <v>200</v>
      </c>
      <c r="O42" t="s">
        <v>2283</v>
      </c>
      <c r="P42" s="217">
        <f>IF(O42="","",IF(OR(LEFT(O42,4)="Cash",LEFT(O42,4)="Prov"),0,SUMIFS(Input_APM!N:N,Input_APM!L:L,Check!O42)))</f>
        <v>56</v>
      </c>
      <c r="Q42" s="22">
        <f>IF(O42="","",IF(LEN(O42)&gt;9,SUMIFS(Options!$H$3:$H$25,Options!$B$3:$B$25,Check!O42),SUMIFS('Master P&amp;L'!$H$11:$H$100,'Master P&amp;L'!$B$11:$B$100,Check!O42)))</f>
        <v>60</v>
      </c>
      <c r="R42" s="217">
        <f t="shared" si="1"/>
        <v>-4</v>
      </c>
      <c r="S42" s="361">
        <f t="shared" si="2"/>
        <v>0.93333333333333335</v>
      </c>
      <c r="V42" s="13"/>
    </row>
    <row r="43" spans="1:22">
      <c r="A43" t="s">
        <v>1770</v>
      </c>
      <c r="B43" t="s">
        <v>2095</v>
      </c>
      <c r="C43" s="233">
        <f>IF(B43="","",IF(LEN(B43)&gt;9,SUMIFS(Options!$H$3:$H$25,Options!$B$3:$B$25,Check!B43),SUMIFS('Master P&amp;L'!$H$11:$H$100,'Master P&amp;L'!$B$11:$B$100,Check!B43)))</f>
        <v>-200</v>
      </c>
      <c r="D43" s="233">
        <f>IF(B43="","",SUMIFS(Input_APM!N:N,Input_APM!L:L,Check!B43,Input_APM!M:M,Check!$F$1))</f>
        <v>-188</v>
      </c>
      <c r="E43" s="217">
        <f t="shared" si="5"/>
        <v>0</v>
      </c>
      <c r="F43" s="233">
        <f>IF(B43="","",SUMIFS(Input_APM!N:N,Input_APM!M:M,Check!$F$1,Input_APM!L:L,Check!B43))</f>
        <v>-188</v>
      </c>
      <c r="G43" s="233">
        <f>IF(B43="","",SUMIFS(Input_APM!N:N,Input_APM!M:M,Check!$G$1,Input_APM!L:L,Check!B43))</f>
        <v>0</v>
      </c>
      <c r="H43" s="217">
        <f t="shared" si="0"/>
        <v>-188</v>
      </c>
      <c r="I43" s="217">
        <f>SUMIFS(Input_APM!N:N,Input_APM!L:L,Check!B43)</f>
        <v>-188</v>
      </c>
      <c r="J43" s="219">
        <f t="shared" si="3"/>
        <v>0</v>
      </c>
      <c r="K43" s="22">
        <f>IF(B43="","",SUMIFS('Input_APM (Zenith)'!N:N,'Input_APM (Zenith)'!L:L,Check!B43,'Input_APM (Zenith)'!M:M,Check!$F$1))</f>
        <v>-12</v>
      </c>
      <c r="L43" s="22">
        <f>IF(B43="","",SUMIFS('Input_APM (Zenith)'!N:N,'Input_APM (Zenith)'!L:L,Check!B43,'Input_APM (Zenith)'!M:M,Check!$G$1))</f>
        <v>0</v>
      </c>
      <c r="M43" s="217">
        <f t="shared" si="4"/>
        <v>-200</v>
      </c>
      <c r="O43" t="s">
        <v>2404</v>
      </c>
      <c r="P43" s="217">
        <f>IF(O43="","",IF(OR(LEFT(O43,4)="Cash",LEFT(O43,4)="Prov"),0,SUMIFS(Input_APM!N:N,Input_APM!L:L,Check!O43)))</f>
        <v>-9372000</v>
      </c>
      <c r="Q43" s="22">
        <f>IF(O43="","",IF(LEN(O43)&gt;9,SUMIFS(Options!$H$3:$H$25,Options!$B$3:$B$25,Check!O43),SUMIFS('Master P&amp;L'!$H$11:$H$100,'Master P&amp;L'!$B$11:$B$100,Check!O43)))</f>
        <v>0</v>
      </c>
      <c r="R43" s="217">
        <f t="shared" si="1"/>
        <v>-9372000</v>
      </c>
      <c r="S43" s="361" t="str">
        <f t="shared" si="2"/>
        <v>Erro</v>
      </c>
      <c r="V43" s="13"/>
    </row>
    <row r="44" spans="1:22">
      <c r="B44" t="s">
        <v>2058</v>
      </c>
      <c r="C44" s="233">
        <f>IF(B44="","",IF(LEN(B44)&gt;9,SUMIFS(Options!$H$3:$H$25,Options!$B$3:$B$25,Check!B44),SUMIFS('Master P&amp;L'!$H$11:$H$100,'Master P&amp;L'!$B$11:$B$100,Check!B44)))</f>
        <v>150</v>
      </c>
      <c r="D44" s="233">
        <f>IF(B44="","",SUMIFS(Input_APM!N:N,Input_APM!L:L,Check!B44,Input_APM!M:M,Check!$F$1))</f>
        <v>141</v>
      </c>
      <c r="E44" s="217">
        <f>IF(B44="","",C44-M44)</f>
        <v>0</v>
      </c>
      <c r="F44" s="233">
        <f>IF(B44="","",SUMIFS(Input_APM!N:N,Input_APM!M:M,Check!$F$1,Input_APM!L:L,Check!B44))</f>
        <v>141</v>
      </c>
      <c r="G44" s="233">
        <f>IF(B44="","",SUMIFS(Input_APM!N:N,Input_APM!M:M,Check!$G$1,Input_APM!L:L,Check!B44))</f>
        <v>0</v>
      </c>
      <c r="H44" s="217">
        <f t="shared" si="0"/>
        <v>141</v>
      </c>
      <c r="I44" s="217">
        <f>SUMIFS(Input_APM!N:N,Input_APM!L:L,Check!B44)</f>
        <v>141</v>
      </c>
      <c r="J44" s="219">
        <f t="shared" si="3"/>
        <v>0</v>
      </c>
      <c r="K44" s="22">
        <f>IF(B44="","",SUMIFS('Input_APM (Zenith)'!N:N,'Input_APM (Zenith)'!L:L,Check!B44,'Input_APM (Zenith)'!M:M,Check!$F$1))</f>
        <v>9</v>
      </c>
      <c r="L44" s="22">
        <f>IF(B44="","",SUMIFS('Input_APM (Zenith)'!N:N,'Input_APM (Zenith)'!L:L,Check!B44,'Input_APM (Zenith)'!M:M,Check!$G$1))</f>
        <v>0</v>
      </c>
      <c r="M44" s="217">
        <f t="shared" si="4"/>
        <v>150</v>
      </c>
      <c r="O44" t="s">
        <v>81</v>
      </c>
      <c r="P44" s="217">
        <f>IF(O44="","",IF(OR(LEFT(O44,4)="Cash",LEFT(O44,4)="Prov"),0,SUMIFS(Input_APM!N:N,Input_APM!L:L,Check!O44)))</f>
        <v>5403</v>
      </c>
      <c r="Q44" s="22">
        <f>IF(O44="","",IF(LEN(O44)&gt;9,SUMIFS(Options!$H$3:$H$25,Options!$B$3:$B$25,Check!O44),SUMIFS('Master P&amp;L'!$H$11:$H$100,'Master P&amp;L'!$B$11:$B$100,Check!O44)))</f>
        <v>5750</v>
      </c>
      <c r="R44" s="217">
        <f t="shared" si="1"/>
        <v>-347</v>
      </c>
      <c r="S44" s="361">
        <f t="shared" si="2"/>
        <v>0.93965217391304345</v>
      </c>
      <c r="V44" s="13"/>
    </row>
    <row r="45" spans="1:22">
      <c r="B45" t="s">
        <v>2271</v>
      </c>
      <c r="C45" s="233">
        <f>IF(B45="","",IF(LEN(B45)&gt;9,SUMIFS(Options!$H$3:$H$25,Options!$B$3:$B$25,Check!B45),SUMIFS('Master P&amp;L'!$H$11:$H$100,'Master P&amp;L'!$B$11:$B$100,Check!B45)))</f>
        <v>-150</v>
      </c>
      <c r="D45" s="233">
        <f>IF(B45="","",SUMIFS(Input_APM!N:N,Input_APM!L:L,Check!B45,Input_APM!M:M,Check!$F$1))</f>
        <v>-141</v>
      </c>
      <c r="E45" s="217">
        <f t="shared" si="5"/>
        <v>0</v>
      </c>
      <c r="F45" s="233">
        <f>IF(B45="","",SUMIFS(Input_APM!N:N,Input_APM!M:M,Check!$F$1,Input_APM!L:L,Check!B45))</f>
        <v>-141</v>
      </c>
      <c r="G45" s="233">
        <f>IF(B45="","",SUMIFS(Input_APM!N:N,Input_APM!M:M,Check!$G$1,Input_APM!L:L,Check!B45))</f>
        <v>0</v>
      </c>
      <c r="H45" s="217">
        <f t="shared" si="0"/>
        <v>-141</v>
      </c>
      <c r="I45" s="217">
        <f>SUMIFS(Input_APM!N:N,Input_APM!L:L,Check!B45)</f>
        <v>-141</v>
      </c>
      <c r="J45" s="219">
        <f t="shared" si="3"/>
        <v>0</v>
      </c>
      <c r="K45" s="22">
        <f>IF(B45="","",SUMIFS('Input_APM (Zenith)'!N:N,'Input_APM (Zenith)'!L:L,Check!B45,'Input_APM (Zenith)'!M:M,Check!$F$1))</f>
        <v>-9</v>
      </c>
      <c r="L45" s="22">
        <f>IF(B45="","",SUMIFS('Input_APM (Zenith)'!N:N,'Input_APM (Zenith)'!L:L,Check!B45,'Input_APM (Zenith)'!M:M,Check!$G$1))</f>
        <v>0</v>
      </c>
      <c r="M45" s="217">
        <f t="shared" si="4"/>
        <v>-150</v>
      </c>
      <c r="O45" t="s">
        <v>2068</v>
      </c>
      <c r="P45" s="217">
        <f>IF(O45="","",IF(OR(LEFT(O45,4)="Cash",LEFT(O45,4)="Prov"),0,SUMIFS(Input_APM!N:N,Input_APM!L:L,Check!O45)))</f>
        <v>0</v>
      </c>
      <c r="Q45" s="22">
        <f>IF(O45="","",IF(LEN(O45)&gt;9,SUMIFS(Options!$H$3:$H$25,Options!$B$3:$B$25,Check!O45),SUMIFS('Master P&amp;L'!$H$11:$H$100,'Master P&amp;L'!$B$11:$B$100,Check!O45)))</f>
        <v>0</v>
      </c>
      <c r="R45" s="217">
        <f t="shared" si="1"/>
        <v>0</v>
      </c>
      <c r="S45" s="361" t="str">
        <f t="shared" si="2"/>
        <v>Ok</v>
      </c>
      <c r="V45" s="13"/>
    </row>
    <row r="46" spans="1:22">
      <c r="B46" t="s">
        <v>2457</v>
      </c>
      <c r="C46" s="233">
        <f>IF(B46="","",IF(LEN(B46)&gt;9,SUMIFS(Options!$H$3:$H$25,Options!$B$3:$B$25,Check!B46),SUMIFS('Master P&amp;L'!$H$11:$H$100,'Master P&amp;L'!$B$11:$B$100,Check!B46)))</f>
        <v>350</v>
      </c>
      <c r="D46" s="233">
        <f>IF(B46="","",SUMIFS(Input_APM!N:N,Input_APM!L:L,Check!B46,Input_APM!M:M,Check!$F$1))</f>
        <v>329</v>
      </c>
      <c r="E46" s="219">
        <f t="shared" si="5"/>
        <v>0</v>
      </c>
      <c r="F46" s="233">
        <f>IF(B46="","",SUMIFS(Input_APM!N:N,Input_APM!M:M,Check!$F$1,Input_APM!L:L,Check!B46))</f>
        <v>329</v>
      </c>
      <c r="G46" s="233">
        <f>IF(B46="","",SUMIFS(Input_APM!N:N,Input_APM!M:M,Check!$G$1,Input_APM!L:L,Check!B46))</f>
        <v>0</v>
      </c>
      <c r="H46" s="217">
        <f t="shared" si="0"/>
        <v>329</v>
      </c>
      <c r="I46" s="217">
        <f>SUMIFS(Input_APM!N:N,Input_APM!L:L,Check!B46)</f>
        <v>329</v>
      </c>
      <c r="J46" s="219">
        <f t="shared" si="3"/>
        <v>0</v>
      </c>
      <c r="K46" s="22">
        <f>IF(B46="","",SUMIFS('Input_APM (Zenith)'!N:N,'Input_APM (Zenith)'!L:L,Check!B46,'Input_APM (Zenith)'!M:M,Check!$F$1))</f>
        <v>21</v>
      </c>
      <c r="L46" s="22">
        <f>IF(B46="","",SUMIFS('Input_APM (Zenith)'!N:N,'Input_APM (Zenith)'!L:L,Check!B46,'Input_APM (Zenith)'!M:M,Check!$G$1))</f>
        <v>0</v>
      </c>
      <c r="M46" s="217">
        <f t="shared" si="4"/>
        <v>350</v>
      </c>
      <c r="O46" t="s">
        <v>2402</v>
      </c>
      <c r="P46" s="217">
        <f>IF(O46="","",IF(OR(LEFT(O46,4)="Cash",LEFT(O46,4)="Prov"),0,SUMIFS(Input_APM!N:N,Input_APM!L:L,Check!O46)))</f>
        <v>70</v>
      </c>
      <c r="Q46" s="22">
        <f>IF(O46="","",IF(LEN(O46)&gt;9,SUMIFS(Options!$H$3:$H$25,Options!$B$3:$B$25,Check!O46),SUMIFS('Master P&amp;L'!$H$11:$H$100,'Master P&amp;L'!$B$11:$B$100,Check!O46)))</f>
        <v>75</v>
      </c>
      <c r="R46" s="217">
        <f t="shared" si="1"/>
        <v>-5</v>
      </c>
      <c r="S46" s="361">
        <f t="shared" si="2"/>
        <v>0.93333333333333335</v>
      </c>
      <c r="V46" s="13"/>
    </row>
    <row r="47" spans="1:22">
      <c r="B47" t="s">
        <v>2458</v>
      </c>
      <c r="C47" s="233">
        <f>IF(B47="","",IF(LEN(B47)&gt;9,SUMIFS(Options!$H$3:$H$25,Options!$B$3:$B$25,Check!B47),SUMIFS('Master P&amp;L'!$H$11:$H$100,'Master P&amp;L'!$B$11:$B$100,Check!B47)))</f>
        <v>-350</v>
      </c>
      <c r="D47" s="233">
        <f>IF(B47="","",SUMIFS(Input_APM!N:N,Input_APM!L:L,Check!B47,Input_APM!M:M,Check!$F$1))</f>
        <v>-329</v>
      </c>
      <c r="E47" s="219">
        <f t="shared" si="5"/>
        <v>0</v>
      </c>
      <c r="F47" s="233">
        <f>IF(B47="","",SUMIFS(Input_APM!N:N,Input_APM!M:M,Check!$F$1,Input_APM!L:L,Check!B47))</f>
        <v>-329</v>
      </c>
      <c r="G47" s="233">
        <f>IF(B47="","",SUMIFS(Input_APM!N:N,Input_APM!M:M,Check!$G$1,Input_APM!L:L,Check!B47))</f>
        <v>0</v>
      </c>
      <c r="H47" s="217">
        <f t="shared" si="0"/>
        <v>-329</v>
      </c>
      <c r="I47" s="217">
        <f>SUMIFS(Input_APM!N:N,Input_APM!L:L,Check!B47)</f>
        <v>-329</v>
      </c>
      <c r="J47" s="219">
        <f t="shared" si="3"/>
        <v>0</v>
      </c>
      <c r="K47" s="22">
        <f>IF(B47="","",SUMIFS('Input_APM (Zenith)'!N:N,'Input_APM (Zenith)'!L:L,Check!B47,'Input_APM (Zenith)'!M:M,Check!$F$1))</f>
        <v>-21</v>
      </c>
      <c r="L47" s="22">
        <f>IF(B47="","",SUMIFS('Input_APM (Zenith)'!N:N,'Input_APM (Zenith)'!L:L,Check!B47,'Input_APM (Zenith)'!M:M,Check!$G$1))</f>
        <v>0</v>
      </c>
      <c r="M47" s="217">
        <f t="shared" si="4"/>
        <v>-350</v>
      </c>
      <c r="O47" t="s">
        <v>2456</v>
      </c>
      <c r="P47" s="217">
        <f>IF(O47="","",IF(OR(LEFT(O47,4)="Cash",LEFT(O47,4)="Prov"),0,SUMIFS(Input_APM!N:N,Input_APM!L:L,Check!O47)))</f>
        <v>58</v>
      </c>
      <c r="Q47" s="22">
        <f>IF(O47="","",IF(LEN(O47)&gt;9,SUMIFS(Options!$H$3:$H$25,Options!$B$3:$B$25,Check!O47),SUMIFS('Master P&amp;L'!$H$11:$H$100,'Master P&amp;L'!$B$11:$B$100,Check!O47)))</f>
        <v>135</v>
      </c>
      <c r="R47" s="217">
        <f t="shared" si="1"/>
        <v>-77</v>
      </c>
      <c r="S47" s="361">
        <f t="shared" si="2"/>
        <v>0.42962962962962964</v>
      </c>
    </row>
    <row r="48" spans="1:22">
      <c r="B48" t="s">
        <v>2326</v>
      </c>
      <c r="C48" s="233">
        <f>IF(B48="","",IF(LEN(B48)&gt;9,SUMIFS(Options!$H$3:$H$25,Options!$B$3:$B$25,Check!B48),SUMIFS('Master P&amp;L'!$H$11:$H$100,'Master P&amp;L'!$B$11:$B$100,Check!B48)))</f>
        <v>-150</v>
      </c>
      <c r="D48" s="233">
        <f>IF(B48="","",SUMIFS(Input_APM!N:N,Input_APM!L:L,Check!B48,Input_APM!M:M,Check!$F$1))</f>
        <v>-141</v>
      </c>
      <c r="E48" s="219">
        <f t="shared" si="5"/>
        <v>0</v>
      </c>
      <c r="F48" s="233">
        <f>IF(B48="","",SUMIFS(Input_APM!N:N,Input_APM!M:M,Check!$F$1,Input_APM!L:L,Check!B48))</f>
        <v>-141</v>
      </c>
      <c r="G48" s="233">
        <f>IF(B48="","",SUMIFS(Input_APM!N:N,Input_APM!M:M,Check!$G$1,Input_APM!L:L,Check!B48))</f>
        <v>0</v>
      </c>
      <c r="H48" s="217">
        <f t="shared" si="0"/>
        <v>-141</v>
      </c>
      <c r="I48" s="217">
        <f>SUMIFS(Input_APM!N:N,Input_APM!L:L,Check!B48)</f>
        <v>-141</v>
      </c>
      <c r="J48" s="219">
        <f t="shared" si="3"/>
        <v>0</v>
      </c>
      <c r="K48" s="22">
        <f>IF(B48="","",SUMIFS('Input_APM (Zenith)'!N:N,'Input_APM (Zenith)'!L:L,Check!B48,'Input_APM (Zenith)'!M:M,Check!$F$1))</f>
        <v>-9</v>
      </c>
      <c r="L48" s="22">
        <f>IF(B48="","",SUMIFS('Input_APM (Zenith)'!N:N,'Input_APM (Zenith)'!L:L,Check!B48,'Input_APM (Zenith)'!M:M,Check!$G$1))</f>
        <v>0</v>
      </c>
      <c r="M48" s="217">
        <f t="shared" si="4"/>
        <v>-150</v>
      </c>
      <c r="O48" t="s">
        <v>138</v>
      </c>
      <c r="P48" s="217">
        <f>IF(O48="","",IF(OR(LEFT(O48,4)="Cash",LEFT(O48,4)="Prov"),0,SUMIFS(Input_APM!N:N,Input_APM!L:L,Check!O48)))</f>
        <v>2771</v>
      </c>
      <c r="Q48" s="22">
        <f>IF(O48="","",IF(LEN(O48)&gt;9,SUMIFS(Options!$H$3:$H$25,Options!$B$3:$B$25,Check!O48),SUMIFS('Master P&amp;L'!$H$11:$H$100,'Master P&amp;L'!$B$11:$B$100,Check!O48)))</f>
        <v>2951</v>
      </c>
      <c r="R48" s="217">
        <f t="shared" si="1"/>
        <v>-180</v>
      </c>
      <c r="S48" s="361">
        <f t="shared" si="2"/>
        <v>0.93900372754998307</v>
      </c>
    </row>
    <row r="49" spans="1:19">
      <c r="B49" t="s">
        <v>2325</v>
      </c>
      <c r="C49" s="233">
        <f>IF(B49="","",IF(LEN(B49)&gt;9,SUMIFS(Options!$H$3:$H$25,Options!$B$3:$B$25,Check!B49),SUMIFS('Master P&amp;L'!$H$11:$H$100,'Master P&amp;L'!$B$11:$B$100,Check!B49)))</f>
        <v>275</v>
      </c>
      <c r="D49" s="233">
        <f>IF(B49="","",SUMIFS(Input_APM!N:N,Input_APM!L:L,Check!B49,Input_APM!M:M,Check!$F$1))</f>
        <v>260</v>
      </c>
      <c r="E49" s="219">
        <f t="shared" si="5"/>
        <v>0</v>
      </c>
      <c r="F49" s="233">
        <f>IF(B49="","",SUMIFS(Input_APM!N:N,Input_APM!M:M,Check!$F$1,Input_APM!L:L,Check!B49))</f>
        <v>260</v>
      </c>
      <c r="G49" s="233">
        <f>IF(B49="","",SUMIFS(Input_APM!N:N,Input_APM!M:M,Check!$G$1,Input_APM!L:L,Check!B49))</f>
        <v>0</v>
      </c>
      <c r="H49" s="217">
        <f t="shared" si="0"/>
        <v>260</v>
      </c>
      <c r="I49" s="217">
        <f>SUMIFS(Input_APM!N:N,Input_APM!L:L,Check!B49)</f>
        <v>260</v>
      </c>
      <c r="J49" s="219">
        <f t="shared" si="3"/>
        <v>0</v>
      </c>
      <c r="K49" s="22">
        <f>IF(B49="","",SUMIFS('Input_APM (Zenith)'!N:N,'Input_APM (Zenith)'!L:L,Check!B49,'Input_APM (Zenith)'!M:M,Check!$F$1))</f>
        <v>15</v>
      </c>
      <c r="L49" s="22">
        <f>IF(B49="","",SUMIFS('Input_APM (Zenith)'!N:N,'Input_APM (Zenith)'!L:L,Check!B49,'Input_APM (Zenith)'!M:M,Check!$G$1))</f>
        <v>0</v>
      </c>
      <c r="M49" s="217">
        <f t="shared" si="4"/>
        <v>275</v>
      </c>
      <c r="O49" t="s">
        <v>2271</v>
      </c>
      <c r="P49" s="217">
        <f>IF(O49="","",IF(OR(LEFT(O49,4)="Cash",LEFT(O49,4)="Prov"),0,SUMIFS(Input_APM!N:N,Input_APM!L:L,Check!O49)))</f>
        <v>-141</v>
      </c>
      <c r="Q49" s="22">
        <f>IF(O49="","",IF(LEN(O49)&gt;9,SUMIFS(Options!$H$3:$H$25,Options!$B$3:$B$25,Check!O49),SUMIFS('Master P&amp;L'!$H$11:$H$100,'Master P&amp;L'!$B$11:$B$100,Check!O49)))</f>
        <v>-150</v>
      </c>
      <c r="R49" s="217">
        <f t="shared" si="1"/>
        <v>9</v>
      </c>
      <c r="S49" s="361">
        <f t="shared" si="2"/>
        <v>0.94</v>
      </c>
    </row>
    <row r="50" spans="1:19">
      <c r="A50" t="s">
        <v>1770</v>
      </c>
      <c r="B50" t="s">
        <v>2324</v>
      </c>
      <c r="C50" s="233">
        <f>IF(B50="","",IF(LEN(B50)&gt;9,SUMIFS(Options!$H$3:$H$25,Options!$B$3:$B$25,Check!B50),SUMIFS('Master P&amp;L'!$H$11:$H$100,'Master P&amp;L'!$B$11:$B$100,Check!B50)))</f>
        <v>-150</v>
      </c>
      <c r="D50" s="233">
        <f>IF(B50="","",SUMIFS(Input_APM!N:N,Input_APM!L:L,Check!B50,Input_APM!M:M,Check!$F$1))</f>
        <v>-141</v>
      </c>
      <c r="E50" s="219">
        <f t="shared" si="5"/>
        <v>0</v>
      </c>
      <c r="F50" s="233">
        <f>IF(B50="","",SUMIFS(Input_APM!N:N,Input_APM!M:M,Check!$F$1,Input_APM!L:L,Check!B50))</f>
        <v>-141</v>
      </c>
      <c r="G50" s="233">
        <f>IF(B50="","",SUMIFS(Input_APM!N:N,Input_APM!M:M,Check!$G$1,Input_APM!L:L,Check!B50))</f>
        <v>0</v>
      </c>
      <c r="H50" s="217">
        <f t="shared" si="0"/>
        <v>-141</v>
      </c>
      <c r="I50" s="217">
        <f>SUMIFS(Input_APM!N:N,Input_APM!L:L,Check!B50)</f>
        <v>-141</v>
      </c>
      <c r="J50" s="219">
        <f t="shared" si="3"/>
        <v>0</v>
      </c>
      <c r="K50" s="22">
        <f>IF(B50="","",SUMIFS('Input_APM (Zenith)'!N:N,'Input_APM (Zenith)'!L:L,Check!B50,'Input_APM (Zenith)'!M:M,Check!$F$1))</f>
        <v>-9</v>
      </c>
      <c r="L50" s="22">
        <f>IF(B50="","",SUMIFS('Input_APM (Zenith)'!N:N,'Input_APM (Zenith)'!L:L,Check!B50,'Input_APM (Zenith)'!M:M,Check!$G$1))</f>
        <v>0</v>
      </c>
      <c r="M50" s="217">
        <f t="shared" si="4"/>
        <v>-150</v>
      </c>
      <c r="O50" t="s">
        <v>2095</v>
      </c>
      <c r="P50" s="217">
        <f>IF(O50="","",IF(OR(LEFT(O50,4)="Cash",LEFT(O50,4)="Prov"),0,SUMIFS(Input_APM!N:N,Input_APM!L:L,Check!O50)))</f>
        <v>-188</v>
      </c>
      <c r="Q50" s="22">
        <f>IF(O50="","",IF(LEN(O50)&gt;9,SUMIFS(Options!$H$3:$H$25,Options!$B$3:$B$25,Check!O50),SUMIFS('Master P&amp;L'!$H$11:$H$100,'Master P&amp;L'!$B$11:$B$100,Check!O50)))</f>
        <v>-200</v>
      </c>
      <c r="R50" s="217">
        <f t="shared" si="1"/>
        <v>12</v>
      </c>
      <c r="S50" s="361">
        <f t="shared" si="2"/>
        <v>0.94</v>
      </c>
    </row>
    <row r="51" spans="1:19">
      <c r="B51" t="s">
        <v>2462</v>
      </c>
      <c r="C51" s="233">
        <f>IF(B51="","",IF(LEN(B51)&gt;9,SUMIFS(Options!$H$3:$H$25,Options!$B$3:$B$25,Check!B51),SUMIFS('Master P&amp;L'!$H$11:$H$100,'Master P&amp;L'!$B$11:$B$100,Check!B51)))</f>
        <v>20</v>
      </c>
      <c r="D51" s="233">
        <f>IF(B51="","",SUMIFS(Input_APM!N:N,Input_APM!L:L,Check!B51,Input_APM!M:M,Check!$F$1))</f>
        <v>0</v>
      </c>
      <c r="E51" s="219">
        <f t="shared" si="5"/>
        <v>20</v>
      </c>
      <c r="F51" s="233">
        <f>IF(B51="","",SUMIFS(Input_APM!N:N,Input_APM!M:M,Check!$F$1,Input_APM!L:L,Check!B51))</f>
        <v>0</v>
      </c>
      <c r="G51" s="233">
        <f>IF(B51="","",SUMIFS(Input_APM!N:N,Input_APM!M:M,Check!$G$1,Input_APM!L:L,Check!B51))</f>
        <v>0</v>
      </c>
      <c r="H51" s="217">
        <f t="shared" si="0"/>
        <v>0</v>
      </c>
      <c r="I51" s="217">
        <f>SUMIFS(Input_APM!N:N,Input_APM!L:L,Check!B51)</f>
        <v>0</v>
      </c>
      <c r="J51" s="219">
        <f t="shared" si="3"/>
        <v>0</v>
      </c>
      <c r="K51" s="22">
        <f>IF(B51="","",SUMIFS('Input_APM (Zenith)'!N:N,'Input_APM (Zenith)'!L:L,Check!B51,'Input_APM (Zenith)'!M:M,Check!$F$1))</f>
        <v>0</v>
      </c>
      <c r="L51" s="22">
        <f>IF(B51="","",SUMIFS('Input_APM (Zenith)'!N:N,'Input_APM (Zenith)'!L:L,Check!B51,'Input_APM (Zenith)'!M:M,Check!$G$1))</f>
        <v>0</v>
      </c>
      <c r="M51" s="217">
        <f t="shared" si="4"/>
        <v>0</v>
      </c>
      <c r="O51" t="s">
        <v>2058</v>
      </c>
      <c r="P51" s="217">
        <f>IF(O51="","",IF(OR(LEFT(O51,4)="Cash",LEFT(O51,4)="Prov"),0,SUMIFS(Input_APM!N:N,Input_APM!L:L,Check!O51)))</f>
        <v>141</v>
      </c>
      <c r="Q51" s="22">
        <f>IF(O51="","",IF(LEN(O51)&gt;9,SUMIFS(Options!$H$3:$H$25,Options!$B$3:$B$25,Check!O51),SUMIFS('Master P&amp;L'!$H$11:$H$100,'Master P&amp;L'!$B$11:$B$100,Check!O51)))</f>
        <v>150</v>
      </c>
      <c r="R51" s="217">
        <f t="shared" si="1"/>
        <v>-9</v>
      </c>
      <c r="S51" s="361">
        <f t="shared" si="2"/>
        <v>0.94</v>
      </c>
    </row>
    <row r="52" spans="1:19">
      <c r="B52" t="s">
        <v>2225</v>
      </c>
      <c r="C52" s="233">
        <f>IF(B52="","",IF(LEN(B52)&gt;9,SUMIFS(Options!$H$3:$H$25,Options!$B$3:$B$25,Check!B52),SUMIFS('Master P&amp;L'!$H$11:$H$100,'Master P&amp;L'!$B$11:$B$100,Check!B52)))</f>
        <v>1550</v>
      </c>
      <c r="D52" s="233">
        <f>IF(B52="","",SUMIFS(Input_APM!N:N,Input_APM!L:L,Check!B52,Input_APM!M:M,Check!$F$1))</f>
        <v>1453</v>
      </c>
      <c r="E52" s="217">
        <f>IF(B52="","",C52-M52)</f>
        <v>0</v>
      </c>
      <c r="F52" s="233">
        <f>IF(B52="","",SUMIFS(Input_APM!N:N,Input_APM!M:M,Check!$F$1,Input_APM!L:L,Check!B52))</f>
        <v>1453</v>
      </c>
      <c r="G52" s="233">
        <f>IF(B52="","",SUMIFS(Input_APM!N:N,Input_APM!M:M,Check!$G$1,Input_APM!L:L,Check!B52))</f>
        <v>0</v>
      </c>
      <c r="H52" s="217">
        <f t="shared" si="0"/>
        <v>1453</v>
      </c>
      <c r="I52" s="217">
        <f>SUMIFS(Input_APM!N:N,Input_APM!L:L,Check!B52)</f>
        <v>1453</v>
      </c>
      <c r="J52" s="219">
        <f t="shared" si="3"/>
        <v>0</v>
      </c>
      <c r="K52" s="22">
        <f>IF(B52="","",SUMIFS('Input_APM (Zenith)'!N:N,'Input_APM (Zenith)'!L:L,Check!B52,'Input_APM (Zenith)'!M:M,Check!$F$1))</f>
        <v>97</v>
      </c>
      <c r="L52" s="22">
        <f>IF(B52="","",SUMIFS('Input_APM (Zenith)'!N:N,'Input_APM (Zenith)'!L:L,Check!B52,'Input_APM (Zenith)'!M:M,Check!$G$1))</f>
        <v>0</v>
      </c>
      <c r="M52" s="217">
        <f t="shared" si="4"/>
        <v>1550</v>
      </c>
      <c r="O52" t="s">
        <v>2094</v>
      </c>
      <c r="P52" s="217">
        <f>IF(O52="","",IF(OR(LEFT(O52,4)="Cash",LEFT(O52,4)="Prov"),0,SUMIFS(Input_APM!N:N,Input_APM!L:L,Check!O52)))</f>
        <v>186</v>
      </c>
      <c r="Q52" s="22">
        <f>IF(O52="","",IF(LEN(O52)&gt;9,SUMIFS(Options!$H$3:$H$25,Options!$B$3:$B$25,Check!O52),SUMIFS('Master P&amp;L'!$H$11:$H$100,'Master P&amp;L'!$B$11:$B$100,Check!O52)))</f>
        <v>200</v>
      </c>
      <c r="R52" s="217">
        <f t="shared" si="1"/>
        <v>-14</v>
      </c>
      <c r="S52" s="361">
        <f t="shared" si="2"/>
        <v>0.93</v>
      </c>
    </row>
    <row r="53" spans="1:19">
      <c r="B53" t="s">
        <v>2226</v>
      </c>
      <c r="C53" s="233">
        <f>IF(B53="","",IF(LEN(B53)&gt;9,SUMIFS(Options!$H$3:$H$25,Options!$B$3:$B$25,Check!B53),SUMIFS('Master P&amp;L'!$H$11:$H$100,'Master P&amp;L'!$B$11:$B$100,Check!B53)))</f>
        <v>-1275</v>
      </c>
      <c r="D53" s="233">
        <f>IF(B53="","",SUMIFS(Input_APM!N:N,Input_APM!L:L,Check!B53,Input_APM!M:M,Check!$F$1))</f>
        <v>-1195</v>
      </c>
      <c r="E53" s="217">
        <f>IF(B53="","",C53-M53)</f>
        <v>0</v>
      </c>
      <c r="F53" s="233">
        <f>IF(B53="","",SUMIFS(Input_APM!N:N,Input_APM!M:M,Check!$F$1,Input_APM!L:L,Check!B53))</f>
        <v>-1195</v>
      </c>
      <c r="G53" s="233">
        <f>IF(B53="","",SUMIFS(Input_APM!N:N,Input_APM!M:M,Check!$G$1,Input_APM!L:L,Check!B53))</f>
        <v>0</v>
      </c>
      <c r="H53" s="217">
        <f t="shared" si="0"/>
        <v>-1195</v>
      </c>
      <c r="I53" s="217">
        <f>SUMIFS(Input_APM!N:N,Input_APM!L:L,Check!B53)</f>
        <v>-1195</v>
      </c>
      <c r="J53" s="219">
        <f t="shared" si="3"/>
        <v>0</v>
      </c>
      <c r="K53" s="22">
        <f>IF(B53="","",SUMIFS('Input_APM (Zenith)'!N:N,'Input_APM (Zenith)'!L:L,Check!B53,'Input_APM (Zenith)'!M:M,Check!$F$1))</f>
        <v>-80</v>
      </c>
      <c r="L53" s="22">
        <f>IF(B53="","",SUMIFS('Input_APM (Zenith)'!N:N,'Input_APM (Zenith)'!L:L,Check!B53,'Input_APM (Zenith)'!M:M,Check!$G$1))</f>
        <v>0</v>
      </c>
      <c r="M53" s="217">
        <f>IF(B53="","",F53+G53+K53+L53)</f>
        <v>-1275</v>
      </c>
      <c r="O53" t="s">
        <v>90</v>
      </c>
      <c r="P53" s="217">
        <f>IF(O53="","",IF(OR(LEFT(O53,4)="Cash",LEFT(O53,4)="Prov"),0,SUMIFS(Input_APM!N:N,Input_APM!L:L,Check!O53)))</f>
        <v>3910</v>
      </c>
      <c r="Q53" s="22">
        <f>IF(O53="","",IF(LEN(O53)&gt;9,SUMIFS(Options!$H$3:$H$25,Options!$B$3:$B$25,Check!O53),SUMIFS('Master P&amp;L'!$H$11:$H$100,'Master P&amp;L'!$B$11:$B$100,Check!O53)))</f>
        <v>4180</v>
      </c>
      <c r="R53" s="217">
        <f t="shared" si="1"/>
        <v>-270</v>
      </c>
      <c r="S53" s="361">
        <f t="shared" si="2"/>
        <v>0.93540669856459335</v>
      </c>
    </row>
    <row r="54" spans="1:19">
      <c r="B54"/>
      <c r="C54" s="233" t="str">
        <f>IF(B54="","",IF(LEN(B54)&gt;9,SUMIFS(Options!$H$3:$H$25,Options!$B$3:$B$25,Check!B54),SUMIFS('Master P&amp;L'!$H$11:$H$100,'Master P&amp;L'!$B$11:$B$100,Check!B54)))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2466</v>
      </c>
      <c r="P54" s="217">
        <f>IF(O54="","",IF(OR(LEFT(O54,4)="Cash",LEFT(O54,4)="Prov"),0,SUMIFS(Input_APM!N:N,Input_APM!L:L,Check!O54)))</f>
        <v>-44</v>
      </c>
      <c r="Q54" s="22">
        <f>IF(O54="","",IF(LEN(O54)&gt;9,SUMIFS(Options!$H$3:$H$25,Options!$B$3:$B$25,Check!O54),SUMIFS('Master P&amp;L'!$H$11:$H$100,'Master P&amp;L'!$B$11:$B$100,Check!O54)))</f>
        <v>0</v>
      </c>
      <c r="R54" s="217">
        <f t="shared" si="1"/>
        <v>-44</v>
      </c>
      <c r="S54" s="361" t="str">
        <f t="shared" si="2"/>
        <v>Erro</v>
      </c>
    </row>
    <row r="55" spans="1:19">
      <c r="B55"/>
      <c r="C55" s="233" t="str">
        <f>IF(B55="","",IF(LEN(B55)&gt;9,SUMIFS(Options!$H$3:$H$25,Options!$B$3:$B$25,Check!B55),SUMIFS('Master P&amp;L'!$H$11:$H$100,'Master P&amp;L'!$B$11:$B$100,Check!B55)))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94</v>
      </c>
      <c r="P55" s="217">
        <f>IF(O55="","",IF(OR(LEFT(O55,4)="Cash",LEFT(O55,4)="Prov"),0,SUMIFS(Input_APM!N:N,Input_APM!L:L,Check!O55)))</f>
        <v>18703</v>
      </c>
      <c r="Q55" s="22">
        <f>IF(O55="","",IF(LEN(O55)&gt;9,SUMIFS(Options!$H$3:$H$25,Options!$B$3:$B$25,Check!O55),SUMIFS('Master P&amp;L'!$H$11:$H$100,'Master P&amp;L'!$B$11:$B$100,Check!O55)))</f>
        <v>20008</v>
      </c>
      <c r="R55" s="217">
        <f t="shared" si="1"/>
        <v>-1305</v>
      </c>
      <c r="S55" s="361">
        <f t="shared" si="2"/>
        <v>0.93477608956417435</v>
      </c>
    </row>
    <row r="56" spans="1:19">
      <c r="B56"/>
      <c r="C56" s="233" t="str">
        <f>IF(B56="","",IF(LEN(B56)&gt;9,SUMIFS(Options!$H$3:$H$25,Options!$B$3:$B$25,Check!B56),SUMIFS('Master P&amp;L'!$H$11:$H$100,'Master P&amp;L'!$B$11:$B$100,Check!B56)))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2388</v>
      </c>
      <c r="P56" s="217">
        <f>IF(O56="","",IF(OR(LEFT(O56,4)="Cash",LEFT(O56,4)="Prov"),0,SUMIFS(Input_APM!N:N,Input_APM!L:L,Check!O56)))</f>
        <v>142</v>
      </c>
      <c r="Q56" s="22">
        <f>IF(O56="","",IF(LEN(O56)&gt;9,SUMIFS(Options!$H$3:$H$25,Options!$B$3:$B$25,Check!O56),SUMIFS('Master P&amp;L'!$H$11:$H$100,'Master P&amp;L'!$B$11:$B$100,Check!O56)))</f>
        <v>150</v>
      </c>
      <c r="R56" s="217">
        <f t="shared" si="1"/>
        <v>-8</v>
      </c>
      <c r="S56" s="361">
        <f t="shared" si="2"/>
        <v>0.94666666666666666</v>
      </c>
    </row>
    <row r="57" spans="1:19">
      <c r="B57"/>
      <c r="C57" s="233" t="str">
        <f>IF(B57="","",IF(LEN(B57)&gt;9,SUMIFS(Options!$H$3:$H$25,Options!$B$3:$B$25,Check!B57),SUMIFS('Master P&amp;L'!$H$11:$H$100,'Master P&amp;L'!$B$11:$B$100,Check!B57)))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2405</v>
      </c>
      <c r="P57" s="217">
        <f>IF(O57="","",IF(OR(LEFT(O57,4)="Cash",LEFT(O57,4)="Prov"),0,SUMIFS(Input_APM!N:N,Input_APM!L:L,Check!O57)))</f>
        <v>0</v>
      </c>
      <c r="Q57" s="22">
        <f>IF(O57="","",IF(LEN(O57)&gt;9,SUMIFS(Options!$H$3:$H$25,Options!$B$3:$B$25,Check!O57),SUMIFS('Master P&amp;L'!$H$11:$H$100,'Master P&amp;L'!$B$11:$B$100,Check!O57)))</f>
        <v>0</v>
      </c>
      <c r="R57" s="217">
        <f t="shared" si="1"/>
        <v>0</v>
      </c>
      <c r="S57" s="361" t="str">
        <f t="shared" si="2"/>
        <v>Ok</v>
      </c>
    </row>
    <row r="58" spans="1:19">
      <c r="B58"/>
      <c r="C58" s="233" t="str">
        <f>IF(B58="","",IF(LEN(B58)&gt;9,SUMIFS(Options!$H$3:$H$25,Options!$B$3:$B$25,Check!B58),SUMIFS('Master P&amp;L'!$H$11:$H$100,'Master P&amp;L'!$B$11:$B$100,Check!B58)))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336</v>
      </c>
      <c r="P58" s="217">
        <f>IF(O58="","",IF(OR(LEFT(O58,4)="Cash",LEFT(O58,4)="Prov"),0,SUMIFS(Input_APM!N:N,Input_APM!L:L,Check!O58)))</f>
        <v>0</v>
      </c>
      <c r="Q58" s="22">
        <f>IF(O58="","",IF(LEN(O58)&gt;9,SUMIFS(Options!$H$3:$H$25,Options!$B$3:$B$25,Check!O58),SUMIFS('Master P&amp;L'!$H$11:$H$100,'Master P&amp;L'!$B$11:$B$100,Check!O58)))</f>
        <v>0</v>
      </c>
      <c r="R58" s="217">
        <f t="shared" si="1"/>
        <v>0</v>
      </c>
      <c r="S58" s="361" t="str">
        <f t="shared" si="2"/>
        <v>Ok</v>
      </c>
    </row>
    <row r="59" spans="1:19">
      <c r="B59"/>
      <c r="C59" s="233" t="str">
        <f>IF(B59="","",IF(LEN(B59)&gt;9,SUMIFS(Options!$H$3:$H$25,Options!$B$3:$B$25,Check!B59),SUMIFS('Master P&amp;L'!$H$11:$H$100,'Master P&amp;L'!$B$11:$B$100,Check!B59)))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306</v>
      </c>
      <c r="P59" s="217">
        <f>IF(O59="","",IF(OR(LEFT(O59,4)="Cash",LEFT(O59,4)="Prov"),0,SUMIFS(Input_APM!N:N,Input_APM!L:L,Check!O59)))</f>
        <v>0</v>
      </c>
      <c r="Q59" s="22">
        <f>IF(O59="","",IF(LEN(O59)&gt;9,SUMIFS(Options!$H$3:$H$25,Options!$B$3:$B$25,Check!O59),SUMIFS('Master P&amp;L'!$H$11:$H$100,'Master P&amp;L'!$B$11:$B$100,Check!O59)))</f>
        <v>0</v>
      </c>
      <c r="R59" s="217">
        <f t="shared" si="1"/>
        <v>0</v>
      </c>
      <c r="S59" s="361" t="str">
        <f t="shared" si="2"/>
        <v>Ok</v>
      </c>
    </row>
    <row r="60" spans="1:19">
      <c r="B60"/>
      <c r="C60" s="233" t="str">
        <f>IF(B60="","",IF(LEN(B60)&gt;9,SUMIFS(Options!$H$3:$H$25,Options!$B$3:$B$25,Check!B60),SUMIFS('Master P&amp;L'!$H$11:$H$100,'Master P&amp;L'!$B$11:$B$100,Check!B60)))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1666</v>
      </c>
      <c r="P60" s="217">
        <f>IF(O60="","",IF(OR(LEFT(O60,4)="Cash",LEFT(O60,4)="Prov"),0,SUMIFS(Input_APM!N:N,Input_APM!L:L,Check!O60)))</f>
        <v>0</v>
      </c>
      <c r="Q60" s="22">
        <f>IF(O60="","",IF(LEN(O60)&gt;9,SUMIFS(Options!$H$3:$H$25,Options!$B$3:$B$25,Check!O60),SUMIFS('Master P&amp;L'!$H$11:$H$100,'Master P&amp;L'!$B$11:$B$100,Check!O60)))</f>
        <v>0</v>
      </c>
      <c r="R60" s="217">
        <f t="shared" si="1"/>
        <v>0</v>
      </c>
      <c r="S60" s="361" t="str">
        <f t="shared" si="2"/>
        <v>Ok</v>
      </c>
    </row>
    <row r="61" spans="1:19">
      <c r="B61"/>
      <c r="C61" s="233" t="str">
        <f>IF(B61="","",IF(LEN(B61)&gt;9,SUMIFS(Options!$H$3:$H$25,Options!$B$3:$B$25,Check!B61),SUMIFS('Master P&amp;L'!$H$11:$H$100,'Master P&amp;L'!$B$11:$B$100,Check!B61)))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337</v>
      </c>
      <c r="P61" s="217">
        <f>IF(O61="","",IF(OR(LEFT(O61,4)="Cash",LEFT(O61,4)="Prov"),0,SUMIFS(Input_APM!N:N,Input_APM!L:L,Check!O61)))</f>
        <v>0</v>
      </c>
      <c r="Q61" s="22">
        <f>IF(O61="","",IF(LEN(O61)&gt;9,SUMIFS(Options!$H$3:$H$25,Options!$B$3:$B$25,Check!O61),SUMIFS('Master P&amp;L'!$H$11:$H$100,'Master P&amp;L'!$B$11:$B$100,Check!O61)))</f>
        <v>0</v>
      </c>
      <c r="R61" s="217">
        <f t="shared" si="1"/>
        <v>0</v>
      </c>
      <c r="S61" s="361" t="str">
        <f t="shared" si="2"/>
        <v>Ok</v>
      </c>
    </row>
    <row r="62" spans="1:19">
      <c r="B62"/>
      <c r="C62" s="233" t="str">
        <f>IF(B62="","",IF(LEN(B62)&gt;9,SUMIFS(Options!$H$3:$H$25,Options!$B$3:$B$25,Check!B62),SUMIFS('Master P&amp;L'!$H$11:$H$100,'Master P&amp;L'!$B$11:$B$100,Check!B62)))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307</v>
      </c>
      <c r="P62" s="217">
        <f>IF(O62="","",IF(OR(LEFT(O62,4)="Cash",LEFT(O62,4)="Prov"),0,SUMIFS(Input_APM!N:N,Input_APM!L:L,Check!O62)))</f>
        <v>0</v>
      </c>
      <c r="Q62" s="22">
        <f>IF(O62="","",IF(LEN(O62)&gt;9,SUMIFS(Options!$H$3:$H$25,Options!$B$3:$B$25,Check!O62),SUMIFS('Master P&amp;L'!$H$11:$H$100,'Master P&amp;L'!$B$11:$B$100,Check!O62)))</f>
        <v>0</v>
      </c>
      <c r="R62" s="217">
        <f t="shared" si="1"/>
        <v>0</v>
      </c>
      <c r="S62" s="361" t="str">
        <f t="shared" si="2"/>
        <v>Ok</v>
      </c>
    </row>
    <row r="63" spans="1:19">
      <c r="B63"/>
      <c r="C63" s="233" t="str">
        <f>IF(B63="","",IF(LEN(B63)&gt;9,SUMIFS(Options!$H$3:$H$25,Options!$B$3:$B$25,Check!B63),SUMIFS('Master P&amp;L'!$H$11:$H$100,'Master P&amp;L'!$B$11:$B$100,Check!B63)))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135</v>
      </c>
      <c r="P63" s="217">
        <f>IF(O63="","",IF(OR(LEFT(O63,4)="Cash",LEFT(O63,4)="Prov"),0,SUMIFS(Input_APM!N:N,Input_APM!L:L,Check!O63)))</f>
        <v>0</v>
      </c>
      <c r="Q63" s="22">
        <f>IF(O63="","",IF(LEN(O63)&gt;9,SUMIFS(Options!$H$3:$H$25,Options!$B$3:$B$25,Check!O63),SUMIFS('Master P&amp;L'!$H$11:$H$100,'Master P&amp;L'!$B$11:$B$100,Check!O63)))</f>
        <v>0</v>
      </c>
      <c r="R63" s="217">
        <f t="shared" si="1"/>
        <v>0</v>
      </c>
      <c r="S63" s="361" t="str">
        <f t="shared" si="2"/>
        <v>Ok</v>
      </c>
    </row>
    <row r="64" spans="1:19">
      <c r="B64"/>
      <c r="C64" s="233" t="str">
        <f>IF(B64="","",IF(LEN(B64)&gt;9,SUMIFS(Options!$H$3:$H$25,Options!$B$3:$B$25,Check!B64),SUMIFS('Master P&amp;L'!$H$11:$H$100,'Master P&amp;L'!$B$11:$B$100,Check!B64)))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2459</v>
      </c>
      <c r="P64" s="217">
        <f>IF(O64="","",IF(OR(LEFT(O64,4)="Cash",LEFT(O64,4)="Prov"),0,SUMIFS(Input_APM!N:N,Input_APM!L:L,Check!O64)))</f>
        <v>-939</v>
      </c>
      <c r="Q64" s="22">
        <f>IF(O64="","",IF(LEN(O64)&gt;9,SUMIFS(Options!$H$3:$H$25,Options!$B$3:$B$25,Check!O64),SUMIFS('Master P&amp;L'!$H$11:$H$100,'Master P&amp;L'!$B$11:$B$100,Check!O64)))</f>
        <v>0</v>
      </c>
      <c r="R64" s="217">
        <f t="shared" si="1"/>
        <v>-939</v>
      </c>
      <c r="S64" s="361" t="str">
        <f t="shared" si="2"/>
        <v>Erro</v>
      </c>
    </row>
    <row r="65" spans="2:19">
      <c r="B65"/>
      <c r="C65" s="233" t="str">
        <f>IF(B65="","",IF(LEN(B65)&gt;9,SUMIFS(Options!$H$3:$H$25,Options!$B$3:$B$25,Check!B65),SUMIFS('Master P&amp;L'!$H$11:$H$100,'Master P&amp;L'!$B$11:$B$100,Check!B65)))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2443</v>
      </c>
      <c r="P65" s="217">
        <f>IF(O65="","",IF(OR(LEFT(O65,4)="Cash",LEFT(O65,4)="Prov"),0,SUMIFS(Input_APM!N:N,Input_APM!L:L,Check!O65)))</f>
        <v>1409</v>
      </c>
      <c r="Q65" s="22">
        <f>IF(O65="","",IF(LEN(O65)&gt;9,SUMIFS(Options!$H$3:$H$25,Options!$B$3:$B$25,Check!O65),SUMIFS('Master P&amp;L'!$H$11:$H$100,'Master P&amp;L'!$B$11:$B$100,Check!O65)))</f>
        <v>0</v>
      </c>
      <c r="R65" s="217">
        <f t="shared" si="1"/>
        <v>1409</v>
      </c>
      <c r="S65" s="361" t="str">
        <f t="shared" si="2"/>
        <v>Erro</v>
      </c>
    </row>
    <row r="66" spans="2:19">
      <c r="B66"/>
      <c r="C66" s="233" t="str">
        <f>IF(B66="","",IF(LEN(B66)&gt;9,SUMIFS(Options!$H$3:$H$25,Options!$B$3:$B$25,Check!B66),SUMIFS('Master P&amp;L'!$H$11:$H$100,'Master P&amp;L'!$B$11:$B$100,Check!B66)))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2467</v>
      </c>
      <c r="P66" s="217">
        <f>IF(O66="","",IF(OR(LEFT(O66,4)="Cash",LEFT(O66,4)="Prov"),0,SUMIFS(Input_APM!N:N,Input_APM!L:L,Check!O66)))</f>
        <v>117</v>
      </c>
      <c r="Q66" s="22">
        <f>IF(O66="","",IF(LEN(O66)&gt;9,SUMIFS(Options!$H$3:$H$25,Options!$B$3:$B$25,Check!O66),SUMIFS('Master P&amp;L'!$H$11:$H$100,'Master P&amp;L'!$B$11:$B$100,Check!O66)))</f>
        <v>0</v>
      </c>
      <c r="R66" s="217">
        <f t="shared" si="1"/>
        <v>117</v>
      </c>
      <c r="S66" s="361" t="str">
        <f t="shared" si="2"/>
        <v>Erro</v>
      </c>
    </row>
    <row r="67" spans="2:19">
      <c r="B67"/>
      <c r="C67" s="233" t="str">
        <f>IF(B67="","",IF(LEN(B67)&gt;9,SUMIFS(Options!$H$3:$H$25,Options!$B$3:$B$25,Check!B67),SUMIFS('Master P&amp;L'!$H$11:$H$100,'Master P&amp;L'!$B$11:$B$100,Check!B67)))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2128</v>
      </c>
      <c r="P67" s="217">
        <f>IF(O67="","",IF(OR(LEFT(O67,4)="Cash",LEFT(O67,4)="Prov"),0,SUMIFS(Input_APM!N:N,Input_APM!L:L,Check!O67)))</f>
        <v>33235</v>
      </c>
      <c r="Q67" s="22">
        <f>IF(O67="","",IF(LEN(O67)&gt;9,SUMIFS(Options!$H$3:$H$25,Options!$B$3:$B$25,Check!O67),SUMIFS('Master P&amp;L'!$H$11:$H$100,'Master P&amp;L'!$B$11:$B$100,Check!O67)))</f>
        <v>35500</v>
      </c>
      <c r="R67" s="217">
        <f t="shared" si="1"/>
        <v>-2265</v>
      </c>
      <c r="S67" s="361">
        <f t="shared" si="2"/>
        <v>0.93619718309859157</v>
      </c>
    </row>
    <row r="68" spans="2:19">
      <c r="B68"/>
      <c r="C68" s="233" t="str">
        <f>IF(B68="","",IF(LEN(B68)&gt;9,SUMIFS(Options!$H$3:$H$25,Options!$B$3:$B$25,Check!B68),SUMIFS('Master P&amp;L'!$H$11:$H$100,'Master P&amp;L'!$B$11:$B$100,Check!B68)))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3</v>
      </c>
      <c r="P68" s="217">
        <f>IF(O68="","",IF(OR(LEFT(O68,4)="Cash",LEFT(O68,4)="Prov"),0,SUMIFS(Input_APM!N:N,Input_APM!L:L,Check!O68)))</f>
        <v>-44983</v>
      </c>
      <c r="Q68" s="22">
        <f>IF(O68="","",IF(LEN(O68)&gt;9,SUMIFS(Options!$H$3:$H$25,Options!$B$3:$B$25,Check!O68),SUMIFS('Master P&amp;L'!$H$11:$H$100,'Master P&amp;L'!$B$11:$B$100,Check!O68)))</f>
        <v>0</v>
      </c>
      <c r="R68" s="217">
        <f t="shared" si="1"/>
        <v>-44983</v>
      </c>
      <c r="S68" s="361" t="str">
        <f t="shared" si="2"/>
        <v>Erro</v>
      </c>
    </row>
    <row r="69" spans="2:19">
      <c r="B69"/>
      <c r="C69" s="233" t="str">
        <f>IF(B69="","",IF(LEN(B69)&gt;9,SUMIFS(Options!$H$3:$H$25,Options!$B$3:$B$25,Check!B69),SUMIFS('Master P&amp;L'!$H$11:$H$100,'Master P&amp;L'!$B$11:$B$100,Check!B69)))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 t="s">
        <v>2124</v>
      </c>
      <c r="P69" s="217">
        <f>IF(O69="","",IF(OR(LEFT(O69,4)="Cash",LEFT(O69,4)="Prov"),0,SUMIFS(Input_APM!N:N,Input_APM!L:L,Check!O69)))</f>
        <v>-6.3664629124105001E-12</v>
      </c>
      <c r="Q69" s="22">
        <f>IF(O69="","",IF(LEN(O69)&gt;9,SUMIFS(Options!$H$3:$H$25,Options!$B$3:$B$25,Check!O69),SUMIFS('Master P&amp;L'!$H$11:$H$100,'Master P&amp;L'!$B$11:$B$100,Check!O69)))</f>
        <v>0</v>
      </c>
      <c r="R69" s="217">
        <f t="shared" si="1"/>
        <v>-6.3664629124105001E-12</v>
      </c>
      <c r="S69" s="361" t="str">
        <f t="shared" si="2"/>
        <v>Erro</v>
      </c>
    </row>
    <row r="70" spans="2:19">
      <c r="B70"/>
      <c r="C70" s="233" t="str">
        <f>IF(B70="","",IF(LEN(B70)&gt;9,SUMIFS(Options!$H$3:$H$25,Options!$B$3:$B$25,Check!B70),SUMIFS('Master P&amp;L'!$H$11:$H$100,'Master P&amp;L'!$B$11:$B$100,Check!B70)))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 t="s">
        <v>1761</v>
      </c>
      <c r="P70" s="217">
        <f>IF(O70="","",IF(OR(LEFT(O70,4)="Cash",LEFT(O70,4)="Prov"),0,SUMIFS(Input_APM!N:N,Input_APM!L:L,Check!O70)))</f>
        <v>655</v>
      </c>
      <c r="Q70" s="22">
        <f>IF(O70="","",IF(LEN(O70)&gt;9,SUMIFS(Options!$H$3:$H$25,Options!$B$3:$B$25,Check!O70),SUMIFS('Master P&amp;L'!$H$11:$H$100,'Master P&amp;L'!$B$11:$B$100,Check!O70)))</f>
        <v>0</v>
      </c>
      <c r="R70" s="217">
        <f t="shared" ref="R70:R99" si="10">IF(O70="","",P70-Q70)</f>
        <v>655</v>
      </c>
      <c r="S70" s="361" t="str">
        <f t="shared" ref="S70:S133" si="11">IF(O70="","",IF((P70+Q70)=0,"Ok",IF(OR(P70=0,Q70=0),"Erro",P70/Q70)))</f>
        <v>Erro</v>
      </c>
    </row>
    <row r="71" spans="2:19">
      <c r="B71"/>
      <c r="C71" s="233" t="str">
        <f>IF(B71="","",IF(LEN(B71)&gt;9,SUMIFS(Options!$H$3:$H$25,Options!$B$3:$B$25,Check!B71),SUMIFS('Master P&amp;L'!$H$11:$H$100,'Master P&amp;L'!$B$11:$B$100,Check!B71)))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 t="s">
        <v>2323</v>
      </c>
      <c r="P71" s="217">
        <f>IF(O71="","",IF(OR(LEFT(O71,4)="Cash",LEFT(O71,4)="Prov"),0,SUMIFS(Input_APM!N:N,Input_APM!L:L,Check!O71)))</f>
        <v>643</v>
      </c>
      <c r="Q71" s="22">
        <f>IF(O71="","",IF(LEN(O71)&gt;9,SUMIFS(Options!$H$3:$H$25,Options!$B$3:$B$25,Check!O71),SUMIFS('Master P&amp;L'!$H$11:$H$100,'Master P&amp;L'!$B$11:$B$100,Check!O71)))</f>
        <v>0</v>
      </c>
      <c r="R71" s="217">
        <f t="shared" si="10"/>
        <v>643</v>
      </c>
      <c r="S71" s="361" t="str">
        <f t="shared" si="11"/>
        <v>Erro</v>
      </c>
    </row>
    <row r="72" spans="2:19">
      <c r="B72"/>
      <c r="C72" s="233" t="str">
        <f>IF(B72="","",IF(LEN(B72)&gt;9,SUMIFS(Options!$H$3:$H$25,Options!$B$3:$B$25,Check!B72),SUMIFS('Master P&amp;L'!$H$11:$H$100,'Master P&amp;L'!$B$11:$B$100,Check!B72)))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 t="s">
        <v>2406</v>
      </c>
      <c r="P72" s="217">
        <f>IF(O72="","",IF(OR(LEFT(O72,4)="Cash",LEFT(O72,4)="Prov"),0,SUMIFS(Input_APM!N:N,Input_APM!L:L,Check!O72)))</f>
        <v>2470</v>
      </c>
      <c r="Q72" s="22">
        <f>IF(O72="","",IF(LEN(O72)&gt;9,SUMIFS(Options!$H$3:$H$25,Options!$B$3:$B$25,Check!O72),SUMIFS('Master P&amp;L'!$H$11:$H$100,'Master P&amp;L'!$B$11:$B$100,Check!O72)))</f>
        <v>0</v>
      </c>
      <c r="R72" s="217">
        <f t="shared" si="10"/>
        <v>2470</v>
      </c>
      <c r="S72" s="361" t="str">
        <f t="shared" si="11"/>
        <v>Erro</v>
      </c>
    </row>
    <row r="73" spans="2:19">
      <c r="B73"/>
      <c r="C73" s="233" t="str">
        <f>IF(B73="","",IF(LEN(B73)&gt;9,SUMIFS(Options!$H$3:$H$25,Options!$B$3:$B$25,Check!B73),SUMIFS('Master P&amp;L'!$H$11:$H$100,'Master P&amp;L'!$B$11:$B$100,Check!B73)))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 t="s">
        <v>2408</v>
      </c>
      <c r="P73" s="217">
        <f>IF(O73="","",IF(OR(LEFT(O73,4)="Cash",LEFT(O73,4)="Prov"),0,SUMIFS(Input_APM!N:N,Input_APM!L:L,Check!O73)))</f>
        <v>9090840</v>
      </c>
      <c r="Q73" s="22">
        <f>IF(O73="","",IF(LEN(O73)&gt;9,SUMIFS(Options!$H$3:$H$25,Options!$B$3:$B$25,Check!O73),SUMIFS('Master P&amp;L'!$H$11:$H$100,'Master P&amp;L'!$B$11:$B$100,Check!O73)))</f>
        <v>0</v>
      </c>
      <c r="R73" s="217">
        <f t="shared" si="10"/>
        <v>9090840</v>
      </c>
      <c r="S73" s="361" t="str">
        <f t="shared" si="11"/>
        <v>Erro</v>
      </c>
    </row>
    <row r="74" spans="2:19">
      <c r="B74"/>
      <c r="C74" s="233" t="str">
        <f>IF(B74="","",IF(LEN(B74)&gt;9,SUMIFS(Options!$H$3:$H$25,Options!$B$3:$B$25,Check!B74),SUMIFS('Master P&amp;L'!$H$11:$H$100,'Master P&amp;L'!$B$11:$B$100,Check!B74)))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 t="s">
        <v>96</v>
      </c>
      <c r="P74" s="217">
        <f>IF(O74="","",IF(OR(LEFT(O74,4)="Cash",LEFT(O74,4)="Prov"),0,SUMIFS(Input_APM!N:N,Input_APM!L:L,Check!O74)))</f>
        <v>4838</v>
      </c>
      <c r="Q74" s="22">
        <f>IF(O74="","",IF(LEN(O74)&gt;9,SUMIFS(Options!$H$3:$H$25,Options!$B$3:$B$25,Check!O74),SUMIFS('Master P&amp;L'!$H$11:$H$100,'Master P&amp;L'!$B$11:$B$100,Check!O74)))</f>
        <v>798</v>
      </c>
      <c r="R74" s="217">
        <f t="shared" si="10"/>
        <v>4040</v>
      </c>
      <c r="S74" s="361">
        <f t="shared" si="11"/>
        <v>6.0626566416040104</v>
      </c>
    </row>
    <row r="75" spans="2:19">
      <c r="B75"/>
      <c r="C75" s="233" t="str">
        <f>IF(B75="","",IF(LEN(B75)&gt;9,SUMIFS(Options!$H$3:$H$25,Options!$B$3:$B$25,Check!B75),SUMIFS('Master P&amp;L'!$H$11:$H$100,'Master P&amp;L'!$B$11:$B$100,Check!B75)))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 t="s">
        <v>2225</v>
      </c>
      <c r="P75" s="217">
        <f>IF(O75="","",IF(OR(LEFT(O75,4)="Cash",LEFT(O75,4)="Prov"),0,SUMIFS(Input_APM!N:N,Input_APM!L:L,Check!O75)))</f>
        <v>1453</v>
      </c>
      <c r="Q75" s="22">
        <f>IF(O75="","",IF(LEN(O75)&gt;9,SUMIFS(Options!$H$3:$H$25,Options!$B$3:$B$25,Check!O75),SUMIFS('Master P&amp;L'!$H$11:$H$100,'Master P&amp;L'!$B$11:$B$100,Check!O75)))</f>
        <v>1550</v>
      </c>
      <c r="R75" s="217">
        <f t="shared" si="10"/>
        <v>-97</v>
      </c>
      <c r="S75" s="361">
        <f t="shared" si="11"/>
        <v>0.93741935483870964</v>
      </c>
    </row>
    <row r="76" spans="2:19">
      <c r="B76"/>
      <c r="C76" s="233" t="str">
        <f>IF(B76="","",IF(LEN(B76)&gt;9,SUMIFS(Options!$H$3:$H$25,Options!$B$3:$B$25,Check!B76),SUMIFS('Master P&amp;L'!$H$11:$H$100,'Master P&amp;L'!$B$11:$B$100,Check!B76)))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 t="s">
        <v>2226</v>
      </c>
      <c r="P76" s="217">
        <f>IF(O76="","",IF(OR(LEFT(O76,4)="Cash",LEFT(O76,4)="Prov"),0,SUMIFS(Input_APM!N:N,Input_APM!L:L,Check!O76)))</f>
        <v>-1195</v>
      </c>
      <c r="Q76" s="22">
        <f>IF(O76="","",IF(LEN(O76)&gt;9,SUMIFS(Options!$H$3:$H$25,Options!$B$3:$B$25,Check!O76),SUMIFS('Master P&amp;L'!$H$11:$H$100,'Master P&amp;L'!$B$11:$B$100,Check!O76)))</f>
        <v>-1275</v>
      </c>
      <c r="R76" s="217">
        <f t="shared" si="10"/>
        <v>80</v>
      </c>
      <c r="S76" s="361">
        <f t="shared" si="11"/>
        <v>0.93725490196078431</v>
      </c>
    </row>
    <row r="77" spans="2:19">
      <c r="B77"/>
      <c r="C77" s="233" t="str">
        <f>IF(B77="","",IF(LEN(B77)&gt;9,SUMIFS(Options!$H$3:$H$25,Options!$B$3:$B$25,Check!B77),SUMIFS('Master P&amp;L'!$H$11:$H$100,'Master P&amp;L'!$B$11:$B$100,Check!B77)))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 t="s">
        <v>88</v>
      </c>
      <c r="P77" s="217">
        <f>IF(O77="","",IF(OR(LEFT(O77,4)="Cash",LEFT(O77,4)="Prov"),0,SUMIFS(Input_APM!N:N,Input_APM!L:L,Check!O77)))</f>
        <v>42865</v>
      </c>
      <c r="Q77" s="22">
        <f>IF(O77="","",IF(LEN(O77)&gt;9,SUMIFS(Options!$H$3:$H$25,Options!$B$3:$B$25,Check!O77),SUMIFS('Master P&amp;L'!$H$11:$H$100,'Master P&amp;L'!$B$11:$B$100,Check!O77)))</f>
        <v>45750</v>
      </c>
      <c r="R77" s="217">
        <f t="shared" si="10"/>
        <v>-2885</v>
      </c>
      <c r="S77" s="361">
        <f t="shared" si="11"/>
        <v>0.93693989071038253</v>
      </c>
    </row>
    <row r="78" spans="2:19">
      <c r="B78"/>
      <c r="C78" s="233" t="str">
        <f>IF(B78="","",IF(LEN(B78)&gt;9,SUMIFS(Options!$H$3:$H$25,Options!$B$3:$B$25,Check!B78),SUMIFS('Master P&amp;L'!$H$11:$H$100,'Master P&amp;L'!$B$11:$B$100,Check!B78)))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 t="s">
        <v>4</v>
      </c>
      <c r="P78" s="217">
        <f>IF(O78="","",IF(OR(LEFT(O78,4)="Cash",LEFT(O78,4)="Prov"),0,SUMIFS(Input_APM!N:N,Input_APM!L:L,Check!O78)))</f>
        <v>-25765</v>
      </c>
      <c r="Q78" s="22">
        <f>IF(O78="","",IF(LEN(O78)&gt;9,SUMIFS(Options!$H$3:$H$25,Options!$B$3:$B$25,Check!O78),SUMIFS('Master P&amp;L'!$H$11:$H$100,'Master P&amp;L'!$B$11:$B$100,Check!O78)))</f>
        <v>-27500</v>
      </c>
      <c r="R78" s="217">
        <f t="shared" si="10"/>
        <v>1735</v>
      </c>
      <c r="S78" s="361">
        <f t="shared" si="11"/>
        <v>0.93690909090909091</v>
      </c>
    </row>
    <row r="79" spans="2:19">
      <c r="B79"/>
      <c r="C79" s="233" t="str">
        <f>IF(B79="","",IF(LEN(B79)&gt;9,SUMIFS(Options!$H$3:$H$25,Options!$B$3:$B$25,Check!B79),SUMIFS('Master P&amp;L'!$H$11:$H$100,'Master P&amp;L'!$B$11:$B$100,Check!B79)))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 t="s">
        <v>2453</v>
      </c>
      <c r="P79" s="217">
        <f>IF(O79="","",IF(OR(LEFT(O79,4)="Cash",LEFT(O79,4)="Prov"),0,SUMIFS(Input_APM!N:N,Input_APM!L:L,Check!O79)))</f>
        <v>-470</v>
      </c>
      <c r="Q79" s="22">
        <f>IF(O79="","",IF(LEN(O79)&gt;9,SUMIFS(Options!$H$3:$H$25,Options!$B$3:$B$25,Check!O79),SUMIFS('Master P&amp;L'!$H$11:$H$100,'Master P&amp;L'!$B$11:$B$100,Check!O79)))</f>
        <v>0</v>
      </c>
      <c r="R79" s="217">
        <f t="shared" si="10"/>
        <v>-470</v>
      </c>
      <c r="S79" s="361" t="str">
        <f t="shared" si="11"/>
        <v>Erro</v>
      </c>
    </row>
    <row r="80" spans="2:19">
      <c r="B80"/>
      <c r="C80" s="233" t="str">
        <f>IF(B80="","",IF(LEN(B80)&gt;9,SUMIFS(Options!$H$3:$H$25,Options!$B$3:$B$25,Check!B80),SUMIFS('Master P&amp;L'!$H$11:$H$100,'Master P&amp;L'!$B$11:$B$100,Check!B80)))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 t="s">
        <v>311</v>
      </c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IF(O80="","",IF(LEN(O80)&gt;9,SUMIFS(Options!$H$3:$H$25,Options!$B$3:$B$25,Check!O80),SUMIFS('Master P&amp;L'!$H$11:$H$100,'Master P&amp;L'!$B$11:$B$100,Check!O80)))</f>
        <v/>
      </c>
      <c r="R80" s="217" t="str">
        <f t="shared" si="10"/>
        <v/>
      </c>
      <c r="S80" s="361" t="str">
        <f t="shared" si="11"/>
        <v/>
      </c>
    </row>
    <row r="81" spans="2:19">
      <c r="B81"/>
      <c r="C81" s="233" t="str">
        <f>IF(B81="","",IF(LEN(B81)&gt;9,SUMIFS(Options!$H$3:$H$25,Options!$B$3:$B$25,Check!B81),SUMIFS('Master P&amp;L'!$H$11:$H$100,'Master P&amp;L'!$B$11:$B$100,Check!B81)))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IF(O81="","",IF(LEN(O81)&gt;9,SUMIFS(Options!$H$3:$H$25,Options!$B$3:$B$25,Check!O81),SUMIFS('Master P&amp;L'!$H$11:$H$100,'Master P&amp;L'!$B$11:$B$100,Check!O81)))</f>
        <v/>
      </c>
      <c r="R81" s="217" t="str">
        <f t="shared" si="10"/>
        <v/>
      </c>
      <c r="S81" s="361" t="str">
        <f t="shared" si="11"/>
        <v/>
      </c>
    </row>
    <row r="82" spans="2:19">
      <c r="B82"/>
      <c r="C82" s="233" t="str">
        <f>IF(B82="","",IF(LEN(B82)&gt;9,SUMIFS(Options!$H$3:$H$25,Options!$B$3:$B$25,Check!B82),SUMIFS('Master P&amp;L'!$H$11:$H$100,'Master P&amp;L'!$B$11:$B$100,Check!B82)))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IF(O82="","",IF(LEN(O82)&gt;9,SUMIFS(Options!$H$3:$H$25,Options!$B$3:$B$25,Check!O82),SUMIFS('Master P&amp;L'!$H$11:$H$100,'Master P&amp;L'!$B$11:$B$100,Check!O82)))</f>
        <v/>
      </c>
      <c r="R82" s="217" t="str">
        <f t="shared" si="10"/>
        <v/>
      </c>
      <c r="S82" s="361" t="str">
        <f t="shared" si="11"/>
        <v/>
      </c>
    </row>
    <row r="83" spans="2:19">
      <c r="B83"/>
      <c r="C83" s="233" t="str">
        <f>IF(B83="","",IF(LEN(B83)&gt;9,SUMIFS(Options!$H$3:$H$25,Options!$B$3:$B$25,Check!B83),SUMIFS('Master P&amp;L'!$H$11:$H$100,'Master P&amp;L'!$B$11:$B$100,Check!B83)))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IF(O83="","",IF(LEN(O83)&gt;9,SUMIFS(Options!$H$3:$H$25,Options!$B$3:$B$25,Check!O83),SUMIFS('Master P&amp;L'!$H$11:$H$100,'Master P&amp;L'!$B$11:$B$100,Check!O83)))</f>
        <v/>
      </c>
      <c r="R83" s="217" t="str">
        <f t="shared" si="10"/>
        <v/>
      </c>
      <c r="S83" s="361" t="str">
        <f t="shared" si="11"/>
        <v/>
      </c>
    </row>
    <row r="84" spans="2:19">
      <c r="B84"/>
      <c r="C84" s="233" t="str">
        <f>IF(B84="","",IF(LEN(B84)&gt;9,SUMIFS(Options!$H$3:$H$25,Options!$B$3:$B$25,Check!B84),SUMIFS('Master P&amp;L'!$H$11:$H$100,'Master P&amp;L'!$B$11:$B$100,Check!B84)))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IF(O84="","",IF(LEN(O84)&gt;9,SUMIFS(Options!$H$3:$H$25,Options!$B$3:$B$25,Check!O84),SUMIFS('Master P&amp;L'!$H$11:$H$100,'Master P&amp;L'!$B$11:$B$100,Check!O84)))</f>
        <v/>
      </c>
      <c r="R84" s="217" t="str">
        <f t="shared" si="10"/>
        <v/>
      </c>
      <c r="S84" s="361" t="str">
        <f t="shared" si="11"/>
        <v/>
      </c>
    </row>
    <row r="85" spans="2:19">
      <c r="B85"/>
      <c r="C85" s="233" t="str">
        <f>IF(B85="","",IF(LEN(B85)&gt;9,SUMIFS(Options!$H$3:$H$25,Options!$B$3:$B$25,Check!B85),SUMIFS('Master P&amp;L'!$H$11:$H$100,'Master P&amp;L'!$B$11:$B$100,Check!B85)))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IF(O85="","",IF(LEN(O85)&gt;9,SUMIFS(Options!$H$3:$H$25,Options!$B$3:$B$25,Check!O85),SUMIFS('Master P&amp;L'!$H$11:$H$100,'Master P&amp;L'!$B$11:$B$100,Check!O85)))</f>
        <v/>
      </c>
      <c r="R85" s="217" t="str">
        <f t="shared" si="10"/>
        <v/>
      </c>
      <c r="S85" s="361" t="str">
        <f t="shared" si="11"/>
        <v/>
      </c>
    </row>
    <row r="86" spans="2:19">
      <c r="B86"/>
      <c r="C86" s="233" t="str">
        <f>IF(B86="","",IF(LEN(B86)&gt;9,SUMIFS(Options!$H$3:$H$25,Options!$B$3:$B$25,Check!B86),SUMIFS('Master P&amp;L'!$H$11:$H$100,'Master P&amp;L'!$B$11:$B$100,Check!B86)))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IF(O86="","",IF(LEN(O86)&gt;9,SUMIFS(Options!$H$3:$H$25,Options!$B$3:$B$25,Check!O86),SUMIFS('Master P&amp;L'!$H$11:$H$100,'Master P&amp;L'!$B$11:$B$100,Check!O86)))</f>
        <v/>
      </c>
      <c r="R86" s="217" t="str">
        <f t="shared" si="10"/>
        <v/>
      </c>
      <c r="S86" s="361" t="str">
        <f t="shared" si="11"/>
        <v/>
      </c>
    </row>
    <row r="87" spans="2:19">
      <c r="B87"/>
      <c r="C87" s="233" t="str">
        <f>IF(B87="","",IF(LEN(B87)&gt;9,SUMIFS(Options!$H$3:$H$25,Options!$B$3:$B$25,Check!B87),SUMIFS('Master P&amp;L'!$H$11:$H$100,'Master P&amp;L'!$B$11:$B$100,Check!B87)))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IF(O87="","",IF(LEN(O87)&gt;9,SUMIFS(Options!$H$3:$H$25,Options!$B$3:$B$25,Check!O87),SUMIFS('Master P&amp;L'!$H$11:$H$100,'Master P&amp;L'!$B$11:$B$100,Check!O87)))</f>
        <v/>
      </c>
      <c r="R87" s="217" t="str">
        <f t="shared" si="10"/>
        <v/>
      </c>
      <c r="S87" s="361" t="str">
        <f t="shared" si="11"/>
        <v/>
      </c>
    </row>
    <row r="88" spans="2:19">
      <c r="B88"/>
      <c r="C88" s="233" t="str">
        <f>IF(B88="","",IF(LEN(B88)&gt;9,SUMIFS(Options!$H$3:$H$25,Options!$B$3:$B$25,Check!B88),SUMIFS('Master P&amp;L'!$H$11:$H$100,'Master P&amp;L'!$B$11:$B$100,Check!B88)))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IF(O88="","",IF(LEN(O88)&gt;9,SUMIFS(Options!$H$3:$H$25,Options!$B$3:$B$25,Check!O88),SUMIFS('Master P&amp;L'!$H$11:$H$100,'Master P&amp;L'!$B$11:$B$100,Check!O88)))</f>
        <v/>
      </c>
      <c r="R88" s="217" t="str">
        <f t="shared" si="10"/>
        <v/>
      </c>
      <c r="S88" s="361" t="str">
        <f t="shared" si="11"/>
        <v/>
      </c>
    </row>
    <row r="89" spans="2:19">
      <c r="B89"/>
      <c r="C89" s="233" t="str">
        <f>IF(B89="","",IF(LEN(B89)&gt;9,SUMIFS(Options!$H$3:$H$25,Options!$B$3:$B$25,Check!B89),SUMIFS('Master P&amp;L'!$H$11:$H$100,'Master P&amp;L'!$B$11:$B$100,Check!B89)))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IF(O89="","",IF(LEN(O89)&gt;9,SUMIFS(Options!$H$3:$H$25,Options!$B$3:$B$25,Check!O89),SUMIFS('Master P&amp;L'!$H$11:$H$100,'Master P&amp;L'!$B$11:$B$100,Check!O89)))</f>
        <v/>
      </c>
      <c r="R89" s="217" t="str">
        <f t="shared" si="10"/>
        <v/>
      </c>
      <c r="S89" s="361" t="str">
        <f t="shared" si="11"/>
        <v/>
      </c>
    </row>
    <row r="90" spans="2:19">
      <c r="B90"/>
      <c r="C90" s="233" t="str">
        <f>IF(B90="","",IF(LEN(B90)&gt;9,SUMIFS(Options!$H$3:$H$25,Options!$B$3:$B$25,Check!B90),SUMIFS('Master P&amp;L'!$H$11:$H$100,'Master P&amp;L'!$B$11:$B$100,Check!B90)))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IF(O90="","",IF(LEN(O90)&gt;9,SUMIFS(Options!$H$3:$H$25,Options!$B$3:$B$25,Check!O90),SUMIFS('Master P&amp;L'!$H$11:$H$100,'Master P&amp;L'!$B$11:$B$100,Check!O90)))</f>
        <v/>
      </c>
      <c r="R90" s="217" t="str">
        <f t="shared" si="10"/>
        <v/>
      </c>
      <c r="S90" s="361" t="str">
        <f t="shared" si="11"/>
        <v/>
      </c>
    </row>
    <row r="91" spans="2:19">
      <c r="B91"/>
      <c r="C91" s="233" t="str">
        <f>IF(B91="","",IF(LEN(B91)&gt;9,SUMIFS(Options!$H$3:$H$25,Options!$B$3:$B$25,Check!B91),SUMIFS('Master P&amp;L'!$H$11:$H$100,'Master P&amp;L'!$B$11:$B$100,Check!B91)))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IF(O91="","",IF(LEN(O91)&gt;9,SUMIFS(Options!$H$3:$H$25,Options!$B$3:$B$25,Check!O91),SUMIFS('Master P&amp;L'!$H$11:$H$100,'Master P&amp;L'!$B$11:$B$100,Check!O91)))</f>
        <v/>
      </c>
      <c r="R91" s="217" t="str">
        <f t="shared" si="10"/>
        <v/>
      </c>
      <c r="S91" s="361" t="str">
        <f t="shared" si="11"/>
        <v/>
      </c>
    </row>
    <row r="92" spans="2:19">
      <c r="B92"/>
      <c r="C92" s="233" t="str">
        <f>IF(B92="","",IF(LEN(B92)&gt;9,SUMIFS(Options!$H$3:$H$25,Options!$B$3:$B$25,Check!B92),SUMIFS('Master P&amp;L'!$H$11:$H$100,'Master P&amp;L'!$B$11:$B$100,Check!B92)))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IF(O92="","",IF(LEN(O92)&gt;9,SUMIFS(Options!$H$3:$H$25,Options!$B$3:$B$25,Check!O92),SUMIFS('Master P&amp;L'!$H$11:$H$100,'Master P&amp;L'!$B$11:$B$100,Check!O92)))</f>
        <v/>
      </c>
      <c r="R92" s="217" t="str">
        <f t="shared" si="10"/>
        <v/>
      </c>
      <c r="S92" s="361" t="str">
        <f t="shared" si="11"/>
        <v/>
      </c>
    </row>
    <row r="93" spans="2:19">
      <c r="B93"/>
      <c r="C93" s="233" t="str">
        <f>IF(B93="","",IF(LEN(B93)&gt;9,SUMIFS(Options!$H$3:$H$25,Options!$B$3:$B$25,Check!B93),SUMIFS('Master P&amp;L'!$H$11:$H$100,'Master P&amp;L'!$B$11:$B$100,Check!B93)))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IF(O93="","",IF(LEN(O93)&gt;9,SUMIFS(Options!$H$3:$H$25,Options!$B$3:$B$25,Check!O93),SUMIFS('Master P&amp;L'!$H$11:$H$100,'Master P&amp;L'!$B$11:$B$100,Check!O93)))</f>
        <v/>
      </c>
      <c r="R93" s="217" t="str">
        <f t="shared" si="10"/>
        <v/>
      </c>
      <c r="S93" s="361" t="str">
        <f t="shared" si="11"/>
        <v/>
      </c>
    </row>
    <row r="94" spans="2:19">
      <c r="B94"/>
      <c r="C94" s="233" t="str">
        <f>IF(B94="","",IF(LEN(B94)&gt;9,SUMIFS(Options!$H$3:$H$25,Options!$B$3:$B$25,Check!B94),SUMIFS('Master P&amp;L'!$H$11:$H$100,'Master P&amp;L'!$B$11:$B$100,Check!B94)))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IF(O94="","",IF(LEN(O94)&gt;9,SUMIFS(Options!$H$3:$H$25,Options!$B$3:$B$25,Check!O94),SUMIFS('Master P&amp;L'!$H$11:$H$100,'Master P&amp;L'!$B$11:$B$100,Check!O94)))</f>
        <v/>
      </c>
      <c r="R94" s="217" t="str">
        <f t="shared" si="10"/>
        <v/>
      </c>
      <c r="S94" s="361" t="str">
        <f t="shared" si="11"/>
        <v/>
      </c>
    </row>
    <row r="95" spans="2:19">
      <c r="C95" s="233" t="str">
        <f>IF(B95="","",IF(LEN(B95)&gt;9,SUMIFS(Options!$H$3:$H$25,Options!$B$3:$B$25,Check!B95),SUMIFS('Master P&amp;L'!$H$11:$H$100,'Master P&amp;L'!$B$11:$B$100,Check!B95)))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IF(O95="","",IF(LEN(O95)&gt;9,SUMIFS(Options!$H$3:$H$25,Options!$B$3:$B$25,Check!O95),SUMIFS('Master P&amp;L'!$H$11:$H$100,'Master P&amp;L'!$B$11:$B$100,Check!O95)))</f>
        <v/>
      </c>
      <c r="R95" s="217" t="str">
        <f t="shared" si="10"/>
        <v/>
      </c>
      <c r="S95" s="361" t="str">
        <f t="shared" si="11"/>
        <v/>
      </c>
    </row>
    <row r="96" spans="2:19">
      <c r="C96" s="233" t="str">
        <f>IF(B96="","",IF(LEN(B96)&gt;9,SUMIFS(Options!$H$3:$H$25,Options!$B$3:$B$25,Check!B96),SUMIFS('Master P&amp;L'!$H$11:$H$100,'Master P&amp;L'!$B$11:$B$100,Check!B96)))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IF(O96="","",IF(LEN(O96)&gt;9,SUMIFS(Options!$H$3:$H$25,Options!$B$3:$B$25,Check!O96),SUMIFS('Master P&amp;L'!$H$11:$H$100,'Master P&amp;L'!$B$11:$B$100,Check!O96)))</f>
        <v/>
      </c>
      <c r="R96" s="217" t="str">
        <f t="shared" si="10"/>
        <v/>
      </c>
      <c r="S96" s="361" t="str">
        <f t="shared" si="11"/>
        <v/>
      </c>
    </row>
    <row r="97" spans="1:19">
      <c r="C97" s="233" t="str">
        <f>IF(B97="","",IF(LEN(B97)&gt;9,SUMIFS(Options!$H$3:$H$25,Options!$B$3:$B$25,Check!B97),SUMIFS('Master P&amp;L'!$H$11:$H$100,'Master P&amp;L'!$B$11:$B$100,Check!B97)))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IF(O97="","",IF(LEN(O97)&gt;9,SUMIFS(Options!$H$3:$H$25,Options!$B$3:$B$25,Check!O97),SUMIFS('Master P&amp;L'!$H$11:$H$100,'Master P&amp;L'!$B$11:$B$100,Check!O97)))</f>
        <v/>
      </c>
      <c r="R97" s="217" t="str">
        <f t="shared" si="10"/>
        <v/>
      </c>
      <c r="S97" s="361" t="str">
        <f t="shared" si="11"/>
        <v/>
      </c>
    </row>
    <row r="98" spans="1:19">
      <c r="C98" s="233" t="str">
        <f>IF(B98="","",IF(LEN(B98)&gt;9,SUMIFS(Options!$H$3:$H$25,Options!$B$3:$B$25,Check!B98),SUMIFS('Master P&amp;L'!$H$11:$H$100,'Master P&amp;L'!$B$11:$B$100,Check!B98)))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IF(O98="","",IF(LEN(O98)&gt;9,SUMIFS(Options!$H$3:$H$25,Options!$B$3:$B$25,Check!O98),SUMIFS('Master P&amp;L'!$H$11:$H$100,'Master P&amp;L'!$B$11:$B$100,Check!O98)))</f>
        <v/>
      </c>
      <c r="R98" s="217" t="str">
        <f t="shared" si="10"/>
        <v/>
      </c>
      <c r="S98" s="361" t="str">
        <f t="shared" si="11"/>
        <v/>
      </c>
    </row>
    <row r="99" spans="1:19">
      <c r="C99" s="233" t="str">
        <f>IF(B99="","",IF(LEN(B99)&gt;9,SUMIFS(Options!$H$3:$H$25,Options!$B$3:$B$25,Check!B99),SUMIFS('Master P&amp;L'!$H$11:$H$100,'Master P&amp;L'!$B$11:$B$100,Check!B99)))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IF(O99="","",IF(LEN(O99)&gt;9,SUMIFS(Options!$H$3:$H$25,Options!$B$3:$B$25,Check!O99),SUMIFS('Master P&amp;L'!$H$11:$H$100,'Master P&amp;L'!$B$11:$B$100,Check!O99)))</f>
        <v/>
      </c>
      <c r="R99" s="217" t="str">
        <f t="shared" si="10"/>
        <v/>
      </c>
      <c r="S99" s="361" t="str">
        <f t="shared" si="11"/>
        <v/>
      </c>
    </row>
    <row r="100" spans="1:19">
      <c r="C100" s="233" t="str">
        <f>IF(B100="","",IF(LEN(B100)&gt;9,SUMIFS(Options!$H$3:$H$25,Options!$B$3:$B$25,Check!B100),SUMIFS('Master P&amp;L'!$H$11:$H$100,'Master P&amp;L'!$B$11:$B$100,Check!B100)))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IF(O100="","",IF(LEN(O100)&gt;9,SUMIFS(Options!$H$3:$H$25,Options!$B$3:$B$25,Check!O100),SUMIFS('Master P&amp;L'!$H$11:$H$100,'Master P&amp;L'!$B$11:$B$100,Check!O100)))</f>
        <v/>
      </c>
      <c r="R100" s="217" t="str">
        <f t="shared" ref="R100:R107" si="25">IF(O100="","",P100-Q100)</f>
        <v/>
      </c>
      <c r="S100" s="361" t="str">
        <f t="shared" si="11"/>
        <v/>
      </c>
    </row>
    <row r="101" spans="1:19">
      <c r="C101" s="233" t="str">
        <f>IF(B101="","",IF(LEN(B101)&gt;9,SUMIFS(Options!$H$3:$H$25,Options!$B$3:$B$25,Check!B101),SUMIFS('Master P&amp;L'!$H$11:$H$100,'Master P&amp;L'!$B$11:$B$100,Check!B101)))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IF(O101="","",IF(LEN(O101)&gt;9,SUMIFS(Options!$H$3:$H$25,Options!$B$3:$B$25,Check!O101),SUMIFS('Master P&amp;L'!$H$11:$H$100,'Master P&amp;L'!$B$11:$B$100,Check!O101)))</f>
        <v/>
      </c>
      <c r="R101" s="217" t="str">
        <f t="shared" si="25"/>
        <v/>
      </c>
      <c r="S101" s="361" t="str">
        <f t="shared" si="11"/>
        <v/>
      </c>
    </row>
    <row r="102" spans="1:19">
      <c r="C102" s="233" t="str">
        <f>IF(B102="","",IF(LEN(B102)&gt;9,SUMIFS(Options!$H$3:$H$25,Options!$B$3:$B$25,Check!B102),SUMIFS('Master P&amp;L'!$H$11:$H$100,'Master P&amp;L'!$B$11:$B$100,Check!B102)))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IF(O102="","",IF(LEN(O102)&gt;9,SUMIFS(Options!$H$3:$H$25,Options!$B$3:$B$25,Check!O102),SUMIFS('Master P&amp;L'!$H$11:$H$100,'Master P&amp;L'!$B$11:$B$100,Check!O102)))</f>
        <v/>
      </c>
      <c r="R102" s="217" t="str">
        <f t="shared" si="25"/>
        <v/>
      </c>
      <c r="S102" s="361" t="str">
        <f t="shared" si="11"/>
        <v/>
      </c>
    </row>
    <row r="103" spans="1:19">
      <c r="C103" s="233" t="str">
        <f>IF(B103="","",IF(LEN(B103)&gt;9,SUMIFS(Options!$H$3:$H$25,Options!$B$3:$B$25,Check!B103),SUMIFS('Master P&amp;L'!$H$11:$H$100,'Master P&amp;L'!$B$11:$B$100,Check!B103)))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IF(O103="","",IF(LEN(O103)&gt;9,SUMIFS(Options!$H$3:$H$25,Options!$B$3:$B$25,Check!O103),SUMIFS('Master P&amp;L'!$H$11:$H$100,'Master P&amp;L'!$B$11:$B$100,Check!O103)))</f>
        <v/>
      </c>
      <c r="R103" s="217" t="str">
        <f t="shared" si="25"/>
        <v/>
      </c>
      <c r="S103" s="361" t="str">
        <f t="shared" si="11"/>
        <v/>
      </c>
    </row>
    <row r="104" spans="1:19">
      <c r="C104" s="233" t="str">
        <f>IF(B104="","",IF(LEN(B104)&gt;9,SUMIFS(Options!$H$3:$H$25,Options!$B$3:$B$25,Check!B104),SUMIFS('Master P&amp;L'!$H$11:$H$100,'Master P&amp;L'!$B$11:$B$100,Check!B104)))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IF(O104="","",IF(LEN(O104)&gt;9,SUMIFS(Options!$H$3:$H$25,Options!$B$3:$B$25,Check!O104),SUMIFS('Master P&amp;L'!$H$11:$H$100,'Master P&amp;L'!$B$11:$B$100,Check!O104)))</f>
        <v/>
      </c>
      <c r="R104" s="217" t="str">
        <f t="shared" si="25"/>
        <v/>
      </c>
      <c r="S104" s="361" t="str">
        <f t="shared" si="11"/>
        <v/>
      </c>
    </row>
    <row r="105" spans="1:19">
      <c r="A105" t="s">
        <v>1770</v>
      </c>
      <c r="C105" s="233" t="str">
        <f>IF(B105="","",IF(LEN(B105)&gt;9,SUMIFS(Options!$H$3:$H$25,Options!$B$3:$B$25,Check!B105),SUMIFS('Master P&amp;L'!$H$11:$H$100,'Master P&amp;L'!$B$11:$B$100,Check!B105)))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IF(O105="","",IF(LEN(O105)&gt;9,SUMIFS(Options!$H$3:$H$25,Options!$B$3:$B$25,Check!O105),SUMIFS('Master P&amp;L'!$H$11:$H$100,'Master P&amp;L'!$B$11:$B$100,Check!O105)))</f>
        <v/>
      </c>
      <c r="R105" s="217" t="str">
        <f t="shared" si="25"/>
        <v/>
      </c>
      <c r="S105" s="361" t="str">
        <f t="shared" si="11"/>
        <v/>
      </c>
    </row>
    <row r="106" spans="1:19">
      <c r="C106" s="233" t="str">
        <f>IF(B106="","",IF(LEN(B106)&gt;9,SUMIFS(Options!$H$3:$H$25,Options!$B$3:$B$25,Check!B106),SUMIFS('Master P&amp;L'!$H$11:$H$100,'Master P&amp;L'!$B$11:$B$100,Check!B106)))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IF(O106="","",IF(LEN(O106)&gt;9,SUMIFS(Options!$H$3:$H$25,Options!$B$3:$B$25,Check!O106),SUMIFS('Master P&amp;L'!$H$11:$H$100,'Master P&amp;L'!$B$11:$B$100,Check!O106)))</f>
        <v/>
      </c>
      <c r="R106" s="217" t="str">
        <f t="shared" si="25"/>
        <v/>
      </c>
      <c r="S106" s="361" t="str">
        <f t="shared" si="11"/>
        <v/>
      </c>
    </row>
    <row r="107" spans="1:19">
      <c r="C107" s="233" t="str">
        <f>IF(B107="","",IF(LEN(B107)&gt;9,SUMIFS(Options!$H$3:$H$25,Options!$B$3:$B$25,Check!B107),SUMIFS('Master P&amp;L'!$H$11:$H$100,'Master P&amp;L'!$B$11:$B$100,Check!B107)))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IF(O107="","",IF(LEN(O107)&gt;9,SUMIFS(Options!$H$3:$H$25,Options!$B$3:$B$25,Check!O107),SUMIFS('Master P&amp;L'!$H$11:$H$100,'Master P&amp;L'!$B$11:$B$100,Check!O107)))</f>
        <v/>
      </c>
      <c r="R107" s="217" t="str">
        <f t="shared" si="25"/>
        <v/>
      </c>
      <c r="S107" s="361" t="str">
        <f t="shared" si="11"/>
        <v/>
      </c>
    </row>
    <row r="108" spans="1:19">
      <c r="C108" s="233" t="str">
        <f>IF(B108="","",IF(LEN(B108)&gt;9,SUMIFS(Options!$H$3:$H$25,Options!$B$3:$B$25,Check!B108),SUMIFS('Master P&amp;L'!$H$11:$H$100,'Master P&amp;L'!$B$11:$B$100,Check!B108)))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IF(O108="","",IF(LEN(O108)&gt;9,SUMIFS(Options!$H$3:$H$25,Options!$B$3:$B$25,Check!O108),SUMIFS('Master P&amp;L'!$H$11:$H$100,'Master P&amp;L'!$B$11:$B$100,Check!O108)))</f>
        <v/>
      </c>
      <c r="R108" s="217" t="str">
        <f t="shared" ref="R108:R113" si="26">IF(O108="","",P108-Q108)</f>
        <v/>
      </c>
      <c r="S108" s="361" t="str">
        <f t="shared" si="11"/>
        <v/>
      </c>
    </row>
    <row r="109" spans="1:19">
      <c r="C109" s="233" t="str">
        <f>IF(B109="","",IF(LEN(B109)&gt;9,SUMIFS(Options!$H$3:$H$25,Options!$B$3:$B$25,Check!B109),SUMIFS('Master P&amp;L'!$H$11:$H$100,'Master P&amp;L'!$B$11:$B$100,Check!B109)))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IF(O109="","",IF(LEN(O109)&gt;9,SUMIFS(Options!$H$3:$H$25,Options!$B$3:$B$25,Check!O109),SUMIFS('Master P&amp;L'!$H$11:$H$100,'Master P&amp;L'!$B$11:$B$100,Check!O109)))</f>
        <v/>
      </c>
      <c r="R109" s="217" t="str">
        <f t="shared" si="26"/>
        <v/>
      </c>
      <c r="S109" s="361" t="str">
        <f t="shared" si="11"/>
        <v/>
      </c>
    </row>
    <row r="110" spans="1:19">
      <c r="A110" t="s">
        <v>1770</v>
      </c>
      <c r="C110" s="233" t="str">
        <f>IF(B110="","",IF(LEN(B110)&gt;9,SUMIFS(Options!$H$3:$H$25,Options!$B$3:$B$25,Check!B110),SUMIFS('Master P&amp;L'!$H$11:$H$100,'Master P&amp;L'!$B$11:$B$100,Check!B110)))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IF(O110="","",IF(LEN(O110)&gt;9,SUMIFS(Options!$H$3:$H$25,Options!$B$3:$B$25,Check!O110),SUMIFS('Master P&amp;L'!$H$11:$H$100,'Master P&amp;L'!$B$11:$B$100,Check!O110)))</f>
        <v/>
      </c>
      <c r="R110" s="217" t="str">
        <f t="shared" si="26"/>
        <v/>
      </c>
      <c r="S110" s="361" t="str">
        <f t="shared" si="11"/>
        <v/>
      </c>
    </row>
    <row r="111" spans="1:19">
      <c r="C111" s="233" t="str">
        <f>IF(B111="","",IF(LEN(B111)&gt;9,SUMIFS(Options!$H$3:$H$25,Options!$B$3:$B$25,Check!B111),SUMIFS('Master P&amp;L'!$H$11:$H$100,'Master P&amp;L'!$B$11:$B$100,Check!B111)))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IF(O111="","",IF(LEN(O111)&gt;9,SUMIFS(Options!$H$3:$H$25,Options!$B$3:$B$25,Check!O111),SUMIFS('Master P&amp;L'!$H$11:$H$100,'Master P&amp;L'!$B$11:$B$100,Check!O111)))</f>
        <v/>
      </c>
      <c r="R111" s="217" t="str">
        <f t="shared" si="26"/>
        <v/>
      </c>
      <c r="S111" s="361" t="str">
        <f t="shared" si="11"/>
        <v/>
      </c>
    </row>
    <row r="112" spans="1:19">
      <c r="C112" s="233" t="str">
        <f>IF(B112="","",IF(LEN(B112)&gt;9,SUMIFS(Options!$H$3:$H$25,Options!$B$3:$B$25,Check!B112),SUMIFS('Master P&amp;L'!$H$11:$H$100,'Master P&amp;L'!$B$11:$B$100,Check!B112)))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IF(O112="","",IF(LEN(O112)&gt;9,SUMIFS(Options!$H$3:$H$25,Options!$B$3:$B$25,Check!O112),SUMIFS('Master P&amp;L'!$H$11:$H$100,'Master P&amp;L'!$B$11:$B$100,Check!O112)))</f>
        <v/>
      </c>
      <c r="R112" s="217" t="str">
        <f t="shared" si="26"/>
        <v/>
      </c>
      <c r="S112" s="361" t="str">
        <f t="shared" si="11"/>
        <v/>
      </c>
    </row>
    <row r="113" spans="3:20">
      <c r="C113" s="233" t="str">
        <f>IF(B113="","",IF(LEN(B113)&gt;9,SUMIFS(Options!$H$3:$H$25,Options!$B$3:$B$25,Check!B113),SUMIFS('Master P&amp;L'!$H$11:$H$100,'Master P&amp;L'!$B$11:$B$100,Check!B113)))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IF(O113="","",IF(LEN(O113)&gt;9,SUMIFS(Options!$H$3:$H$25,Options!$B$3:$B$25,Check!O113),SUMIFS('Master P&amp;L'!$H$11:$H$100,'Master P&amp;L'!$B$11:$B$100,Check!O113)))</f>
        <v/>
      </c>
      <c r="R113" s="217" t="str">
        <f t="shared" si="26"/>
        <v/>
      </c>
      <c r="S113" s="361" t="str">
        <f t="shared" si="11"/>
        <v/>
      </c>
    </row>
    <row r="114" spans="3:20">
      <c r="C114" s="233" t="str">
        <f>IF(B114="","",IF(LEN(B114)&gt;9,SUMIFS(Options!$H$3:$H$25,Options!$B$3:$B$25,Check!B114),SUMIFS('Master P&amp;L'!$H$11:$H$100,'Master P&amp;L'!$B$11:$B$100,Check!B114)))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IF(O114="","",IF(LEN(O114)&gt;9,SUMIFS(Options!$H$3:$H$25,Options!$B$3:$B$25,Check!O114),SUMIFS('Master P&amp;L'!$H$11:$H$100,'Master P&amp;L'!$B$11:$B$100,Check!O114)))</f>
        <v/>
      </c>
      <c r="R114" s="217" t="str">
        <f>IF(O114="","",P114-Q114)</f>
        <v/>
      </c>
      <c r="S114" s="361" t="str">
        <f t="shared" si="11"/>
        <v/>
      </c>
    </row>
    <row r="115" spans="3:20">
      <c r="C115" s="233" t="str">
        <f>IF(B115="","",IF(LEN(B115)&gt;9,SUMIFS(Options!$H$3:$H$25,Options!$B$3:$B$25,Check!B115),SUMIFS('Master P&amp;L'!$H$11:$H$100,'Master P&amp;L'!$B$11:$B$100,Check!B115)))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IF(O115="","",IF(LEN(O115)&gt;9,SUMIFS(Options!$H$3:$H$25,Options!$B$3:$B$25,Check!O115),SUMIFS('Master P&amp;L'!$H$11:$H$100,'Master P&amp;L'!$B$11:$B$100,Check!O115)))</f>
        <v/>
      </c>
      <c r="R115" s="217" t="str">
        <f>IF(O115="","",P115-Q115)</f>
        <v/>
      </c>
      <c r="S115" s="361" t="str">
        <f t="shared" si="11"/>
        <v/>
      </c>
    </row>
    <row r="116" spans="3:20">
      <c r="C116" s="233" t="str">
        <f>IF(B116="","",IF(LEN(B116)&gt;9,SUMIFS(Options!$H$3:$H$25,Options!$B$3:$B$25,Check!B116),SUMIFS('Master P&amp;L'!$H$11:$H$100,'Master P&amp;L'!$B$11:$B$100,Check!B116)))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IF(O116="","",IF(LEN(O116)&gt;9,SUMIFS(Options!$H$3:$H$25,Options!$B$3:$B$25,Check!O116),SUMIFS('Master P&amp;L'!$H$11:$H$100,'Master P&amp;L'!$B$11:$B$100,Check!O116)))</f>
        <v/>
      </c>
      <c r="R116" s="217" t="str">
        <f>IF(O116="","",P116-Q116)</f>
        <v/>
      </c>
      <c r="S116" s="361" t="str">
        <f t="shared" si="11"/>
        <v/>
      </c>
    </row>
    <row r="117" spans="3:20">
      <c r="C117" s="233" t="str">
        <f>IF(B117="","",IF(LEN(B117)&gt;9,SUMIFS(Options!$H$3:$H$25,Options!$B$3:$B$25,Check!B117),SUMIFS('Master P&amp;L'!$H$11:$H$100,'Master P&amp;L'!$B$11:$B$100,Check!B117)))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IF(O117="","",IF(LEN(O117)&gt;9,SUMIFS(Options!$H$3:$H$25,Options!$B$3:$B$25,Check!O117),SUMIFS('Master P&amp;L'!$H$11:$H$100,'Master P&amp;L'!$B$11:$B$100,Check!O117)))</f>
        <v/>
      </c>
      <c r="R117" s="217" t="str">
        <f>IF(O117="","",P117-Q117)</f>
        <v/>
      </c>
      <c r="S117" s="361" t="str">
        <f t="shared" si="11"/>
        <v/>
      </c>
    </row>
    <row r="118" spans="3:20">
      <c r="C118" s="233" t="str">
        <f>IF(B118="","",IF(LEN(B118)&gt;9,SUMIFS(Options!$H$3:$H$25,Options!$B$3:$B$25,Check!B118),SUMIFS('Master P&amp;L'!$H$11:$H$100,'Master P&amp;L'!$B$11:$B$100,Check!B118)))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IF(O118="","",IF(LEN(O118)&gt;9,SUMIFS(Options!$H$3:$H$25,Options!$B$3:$B$25,Check!O118),SUMIFS('Master P&amp;L'!$H$11:$H$100,'Master P&amp;L'!$B$11:$B$100,Check!O118)))</f>
        <v/>
      </c>
      <c r="R118" s="217" t="str">
        <f t="shared" ref="R118:R124" si="27">IF(O118="","",P118-Q118)</f>
        <v/>
      </c>
      <c r="S118" s="361" t="str">
        <f t="shared" si="11"/>
        <v/>
      </c>
    </row>
    <row r="119" spans="3:20">
      <c r="C119" s="233" t="str">
        <f>IF(B119="","",IF(LEN(B119)&gt;9,SUMIFS(Options!$H$3:$H$25,Options!$B$3:$B$25,Check!B119),SUMIFS('Master P&amp;L'!$H$11:$H$100,'Master P&amp;L'!$B$11:$B$100,Check!B119)))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IF(O119="","",IF(LEN(O119)&gt;9,SUMIFS(Options!$H$3:$H$25,Options!$B$3:$B$25,Check!O119),SUMIFS('Master P&amp;L'!$H$11:$H$100,'Master P&amp;L'!$B$11:$B$100,Check!O119)))</f>
        <v/>
      </c>
      <c r="R119" s="217" t="str">
        <f t="shared" si="27"/>
        <v/>
      </c>
      <c r="S119" s="361" t="str">
        <f t="shared" si="11"/>
        <v/>
      </c>
    </row>
    <row r="120" spans="3:20">
      <c r="C120" s="233" t="str">
        <f>IF(B120="","",IF(LEN(B120)&gt;9,SUMIFS(Options!$H$3:$H$25,Options!$B$3:$B$25,Check!B120),SUMIFS('Master P&amp;L'!$H$11:$H$100,'Master P&amp;L'!$B$11:$B$100,Check!B120)))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IF(O120="","",IF(LEN(O120)&gt;9,SUMIFS(Options!$H$3:$H$25,Options!$B$3:$B$25,Check!O120),SUMIFS('Master P&amp;L'!$H$11:$H$100,'Master P&amp;L'!$B$11:$B$100,Check!O120)))</f>
        <v/>
      </c>
      <c r="R120" s="217" t="str">
        <f t="shared" si="27"/>
        <v/>
      </c>
      <c r="S120" s="361" t="str">
        <f t="shared" si="11"/>
        <v/>
      </c>
    </row>
    <row r="121" spans="3:20">
      <c r="C121" s="233" t="str">
        <f>IF(B121="","",IF(LEN(B121)&gt;9,SUMIFS(Options!$H$3:$H$25,Options!$B$3:$B$25,Check!B121),SUMIFS('Master P&amp;L'!$H$11:$H$100,'Master P&amp;L'!$B$11:$B$100,Check!B121)))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IF(O121="","",IF(LEN(O121)&gt;9,SUMIFS(Options!$H$3:$H$25,Options!$B$3:$B$25,Check!O121),SUMIFS('Master P&amp;L'!$H$11:$H$100,'Master P&amp;L'!$B$11:$B$100,Check!O121)))</f>
        <v/>
      </c>
      <c r="R121" s="217" t="str">
        <f t="shared" si="27"/>
        <v/>
      </c>
      <c r="S121" s="361" t="str">
        <f t="shared" si="11"/>
        <v/>
      </c>
    </row>
    <row r="122" spans="3:20">
      <c r="C122" s="233" t="str">
        <f>IF(B122="","",IF(LEN(B122)&gt;9,SUMIFS(Options!$H$3:$H$25,Options!$B$3:$B$25,Check!B122),SUMIFS('Master P&amp;L'!$H$11:$H$100,'Master P&amp;L'!$B$11:$B$100,Check!B122)))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IF(O122="","",IF(LEN(O122)&gt;9,SUMIFS(Options!$H$3:$H$25,Options!$B$3:$B$25,Check!O122),SUMIFS('Master P&amp;L'!$H$11:$H$100,'Master P&amp;L'!$B$11:$B$100,Check!O122)))</f>
        <v/>
      </c>
      <c r="R122" s="327" t="str">
        <f t="shared" si="27"/>
        <v/>
      </c>
      <c r="S122" s="361" t="str">
        <f t="shared" si="11"/>
        <v/>
      </c>
      <c r="T122" s="59"/>
    </row>
    <row r="123" spans="3:20">
      <c r="C123" s="233" t="str">
        <f>IF(B123="","",IF(LEN(B123)&gt;9,SUMIFS(Options!$H$3:$H$25,Options!$B$3:$B$25,Check!B123),SUMIFS('Master P&amp;L'!$H$11:$H$100,'Master P&amp;L'!$B$11:$B$100,Check!B123)))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IF(O123="","",IF(LEN(O123)&gt;9,SUMIFS(Options!$H$3:$H$25,Options!$B$3:$B$25,Check!O123),SUMIFS('Master P&amp;L'!$H$11:$H$100,'Master P&amp;L'!$B$11:$B$100,Check!O123)))</f>
        <v/>
      </c>
      <c r="R123" s="217" t="str">
        <f t="shared" si="27"/>
        <v/>
      </c>
      <c r="S123" s="361" t="str">
        <f t="shared" si="11"/>
        <v/>
      </c>
    </row>
    <row r="124" spans="3:20">
      <c r="C124" s="233" t="str">
        <f>IF(B124="","",IF(LEN(B124)&gt;9,SUMIFS(Options!$H$3:$H$25,Options!$B$3:$B$25,Check!B124),SUMIFS('Master P&amp;L'!$H$11:$H$100,'Master P&amp;L'!$B$11:$B$100,Check!B124)))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IF(O124="","",IF(LEN(O124)&gt;9,SUMIFS(Options!$H$3:$H$25,Options!$B$3:$B$25,Check!O124),SUMIFS('Master P&amp;L'!$H$11:$H$100,'Master P&amp;L'!$B$11:$B$100,Check!O124)))</f>
        <v/>
      </c>
      <c r="R124" s="217" t="str">
        <f t="shared" si="27"/>
        <v/>
      </c>
      <c r="S124" s="361" t="str">
        <f t="shared" si="11"/>
        <v/>
      </c>
    </row>
    <row r="125" spans="3:20">
      <c r="C125" s="233" t="str">
        <f>IF(B125="","",IF(LEN(B125)&gt;9,SUMIFS(Options!$H$3:$H$25,Options!$B$3:$B$25,Check!B125),SUMIFS('Master P&amp;L'!$H$11:$H$100,'Master P&amp;L'!$B$11:$B$100,Check!B125)))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IF(O125="","",IF(LEN(O125)&gt;9,SUMIFS(Options!$H$3:$H$25,Options!$B$3:$B$25,Check!O125),SUMIFS('Master P&amp;L'!$H$11:$H$100,'Master P&amp;L'!$B$11:$B$100,Check!O125)))</f>
        <v/>
      </c>
      <c r="R125" s="217" t="str">
        <f>IF(O125="","",P125-Q125)</f>
        <v/>
      </c>
      <c r="S125" s="361" t="str">
        <f t="shared" si="11"/>
        <v/>
      </c>
    </row>
    <row r="126" spans="3:20">
      <c r="C126" s="233" t="str">
        <f>IF(B126="","",IF(LEN(B126)&gt;9,SUMIFS(Options!$H$3:$H$25,Options!$B$3:$B$25,Check!B126),SUMIFS('Master P&amp;L'!$H$11:$H$100,'Master P&amp;L'!$B$11:$B$100,Check!B126)))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IF(O126="","",IF(LEN(O126)&gt;9,SUMIFS(Options!$H$3:$H$25,Options!$B$3:$B$25,Check!O126),SUMIFS('Master P&amp;L'!$H$11:$H$100,'Master P&amp;L'!$B$11:$B$100,Check!O126)))</f>
        <v/>
      </c>
      <c r="R126" s="217" t="str">
        <f>IF(O126="","",P126-Q126)</f>
        <v/>
      </c>
      <c r="S126" s="361" t="str">
        <f t="shared" si="11"/>
        <v/>
      </c>
    </row>
    <row r="127" spans="3:20">
      <c r="C127" s="233" t="str">
        <f>IF(B127="","",IF(LEN(B127)&gt;9,SUMIFS(Options!$H$3:$H$25,Options!$B$3:$B$25,Check!B127),SUMIFS('Master P&amp;L'!$H$11:$H$100,'Master P&amp;L'!$B$11:$B$100,Check!B127)))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IF(O127="","",IF(LEN(O127)&gt;9,SUMIFS(Options!$H$3:$H$25,Options!$B$3:$B$25,Check!O127),SUMIFS('Master P&amp;L'!$H$11:$H$100,'Master P&amp;L'!$B$11:$B$100,Check!O127)))</f>
        <v/>
      </c>
      <c r="R127" s="217" t="str">
        <f t="shared" ref="R127:R133" si="32">IF(O127="","",P127-Q127)</f>
        <v/>
      </c>
      <c r="S127" s="361" t="str">
        <f t="shared" si="11"/>
        <v/>
      </c>
    </row>
    <row r="128" spans="3:20">
      <c r="C128" s="233" t="str">
        <f>IF(B128="","",IF(LEN(B128)&gt;9,SUMIFS(Options!$H$3:$H$25,Options!$B$3:$B$25,Check!B128),SUMIFS('Master P&amp;L'!$H$11:$H$100,'Master P&amp;L'!$B$11:$B$100,Check!B128)))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IF(O128="","",IF(LEN(O128)&gt;9,SUMIFS(Options!$H$3:$H$25,Options!$B$3:$B$25,Check!O128),SUMIFS('Master P&amp;L'!$H$11:$H$100,'Master P&amp;L'!$B$11:$B$100,Check!O128)))</f>
        <v/>
      </c>
      <c r="R128" s="217" t="str">
        <f t="shared" si="32"/>
        <v/>
      </c>
      <c r="S128" s="361" t="str">
        <f t="shared" si="11"/>
        <v/>
      </c>
    </row>
    <row r="129" spans="3:20">
      <c r="C129" s="233" t="str">
        <f>IF(B129="","",IF(LEN(B129)&gt;9,SUMIFS(Options!$H$3:$H$25,Options!$B$3:$B$25,Check!B129),SUMIFS('Master P&amp;L'!$H$11:$H$100,'Master P&amp;L'!$B$11:$B$100,Check!B129)))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IF(O129="","",IF(LEN(O129)&gt;9,SUMIFS(Options!$H$3:$H$25,Options!$B$3:$B$25,Check!O129),SUMIFS('Master P&amp;L'!$H$11:$H$100,'Master P&amp;L'!$B$11:$B$100,Check!O129)))</f>
        <v/>
      </c>
      <c r="R129" s="217" t="str">
        <f t="shared" si="32"/>
        <v/>
      </c>
      <c r="S129" s="361" t="str">
        <f t="shared" si="11"/>
        <v/>
      </c>
    </row>
    <row r="130" spans="3:20">
      <c r="C130" s="233" t="str">
        <f>IF(B130="","",IF(LEN(B130)&gt;9,SUMIFS(Options!$H$3:$H$25,Options!$B$3:$B$25,Check!B130),SUMIFS('Master P&amp;L'!$H$11:$H$100,'Master P&amp;L'!$B$11:$B$100,Check!B130)))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IF(O130="","",IF(LEN(O130)&gt;9,SUMIFS(Options!$H$3:$H$25,Options!$B$3:$B$25,Check!O130),SUMIFS('Master P&amp;L'!$H$11:$H$100,'Master P&amp;L'!$B$11:$B$100,Check!O130)))</f>
        <v/>
      </c>
      <c r="R130" s="217" t="str">
        <f t="shared" si="32"/>
        <v/>
      </c>
      <c r="S130" s="361" t="str">
        <f t="shared" si="11"/>
        <v/>
      </c>
    </row>
    <row r="131" spans="3:20">
      <c r="C131" s="233" t="str">
        <f>IF(B131="","",IF(LEN(B131)&gt;9,SUMIFS(Options!$H$3:$H$25,Options!$B$3:$B$25,Check!B131),SUMIFS('Master P&amp;L'!$H$11:$H$100,'Master P&amp;L'!$B$11:$B$100,Check!B131)))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IF(O131="","",IF(LEN(O131)&gt;9,SUMIFS(Options!$H$3:$H$25,Options!$B$3:$B$25,Check!O131),SUMIFS('Master P&amp;L'!$H$11:$H$100,'Master P&amp;L'!$B$11:$B$100,Check!O131)))</f>
        <v/>
      </c>
      <c r="R131" s="217" t="str">
        <f t="shared" si="32"/>
        <v/>
      </c>
      <c r="S131" s="361" t="str">
        <f t="shared" si="11"/>
        <v/>
      </c>
    </row>
    <row r="132" spans="3:20">
      <c r="C132" s="233" t="str">
        <f>IF(B132="","",IF(LEN(B132)&gt;9,SUMIFS(Options!$H$3:$H$25,Options!$B$3:$B$25,Check!B132),SUMIFS('Master P&amp;L'!$H$11:$H$100,'Master P&amp;L'!$B$11:$B$100,Check!B132)))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IF(O132="","",IF(LEN(O132)&gt;9,SUMIFS(Options!$H$3:$H$25,Options!$B$3:$B$25,Check!O132),SUMIFS('Master P&amp;L'!$H$11:$H$100,'Master P&amp;L'!$B$11:$B$100,Check!O132)))</f>
        <v/>
      </c>
      <c r="R132" s="217" t="str">
        <f t="shared" si="32"/>
        <v/>
      </c>
      <c r="S132" s="361" t="str">
        <f t="shared" si="11"/>
        <v/>
      </c>
    </row>
    <row r="133" spans="3:20">
      <c r="C133" s="233" t="str">
        <f>IF(B133="","",IF(LEN(B133)&gt;9,SUMIFS(Options!$H$3:$H$25,Options!$B$3:$B$25,Check!B133),SUMIFS('Master P&amp;L'!$H$11:$H$100,'Master P&amp;L'!$B$11:$B$100,Check!B133)))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IF(O133="","",IF(LEN(O133)&gt;9,SUMIFS(Options!$H$3:$H$25,Options!$B$3:$B$25,Check!O133),SUMIFS('Master P&amp;L'!$H$11:$H$100,'Master P&amp;L'!$B$11:$B$100,Check!O133)))</f>
        <v/>
      </c>
      <c r="R133" s="217" t="str">
        <f t="shared" si="32"/>
        <v/>
      </c>
      <c r="S133" s="361" t="str">
        <f t="shared" si="11"/>
        <v/>
      </c>
    </row>
    <row r="134" spans="3:20">
      <c r="C134" s="233" t="str">
        <f>IF(B134="","",IF(LEN(B134)&gt;9,SUMIFS(Options!$H$3:$H$25,Options!$B$3:$B$25,Check!B134),SUMIFS('Master P&amp;L'!$H$11:$H$100,'Master P&amp;L'!$B$11:$B$100,Check!B134)))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IF(O134="","",IF(LEN(O134)&gt;9,SUMIFS(Options!$H$3:$H$25,Options!$B$3:$B$25,Check!O134),SUMIFS('Master P&amp;L'!$H$11:$H$100,'Master P&amp;L'!$B$11:$B$100,Check!O134)))</f>
        <v/>
      </c>
      <c r="R134" s="217" t="str">
        <f>IF(O134="","",P134-Q134)</f>
        <v/>
      </c>
      <c r="S134" s="361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IF(B135="","",IF(LEN(B135)&gt;9,SUMIFS(Options!$H$3:$H$25,Options!$B$3:$B$25,Check!B135),SUMIFS('Master P&amp;L'!$H$11:$H$100,'Master P&amp;L'!$B$11:$B$100,Check!B135)))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IF(O135="","",IF(LEN(O135)&gt;9,SUMIFS(Options!$H$3:$H$25,Options!$B$3:$B$25,Check!O135),SUMIFS('Master P&amp;L'!$H$11:$H$100,'Master P&amp;L'!$B$11:$B$100,Check!O135)))</f>
        <v/>
      </c>
      <c r="R135" s="217" t="str">
        <f>IF(O135="","",P135-Q135)</f>
        <v/>
      </c>
      <c r="S135" s="361" t="str">
        <f t="shared" si="37"/>
        <v/>
      </c>
    </row>
    <row r="136" spans="3:20">
      <c r="C136" s="233" t="str">
        <f>IF(B136="","",IF(LEN(B136)&gt;9,SUMIFS(Options!$H$3:$H$25,Options!$B$3:$B$25,Check!B136),SUMIFS('Master P&amp;L'!$H$11:$H$100,'Master P&amp;L'!$B$11:$B$100,Check!B136)))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IF(O136="","",IF(LEN(O136)&gt;9,SUMIFS(Options!$H$3:$H$25,Options!$B$3:$B$25,Check!O136),SUMIFS('Master P&amp;L'!$H$11:$H$100,'Master P&amp;L'!$B$11:$B$100,Check!O136)))</f>
        <v/>
      </c>
      <c r="R136" s="217" t="str">
        <f t="shared" ref="R136:R142" si="42">IF(O136="","",P136-Q136)</f>
        <v/>
      </c>
      <c r="S136" s="361" t="str">
        <f t="shared" si="37"/>
        <v/>
      </c>
    </row>
    <row r="137" spans="3:20">
      <c r="C137" s="233" t="str">
        <f>IF(B137="","",IF(LEN(B137)&gt;9,SUMIFS(Options!$H$3:$H$25,Options!$B$3:$B$25,Check!B137),SUMIFS('Master P&amp;L'!$H$11:$H$100,'Master P&amp;L'!$B$11:$B$100,Check!B137)))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IF(O137="","",IF(LEN(O137)&gt;9,SUMIFS(Options!$H$3:$H$25,Options!$B$3:$B$25,Check!O137),SUMIFS('Master P&amp;L'!$H$11:$H$100,'Master P&amp;L'!$B$11:$B$100,Check!O137)))</f>
        <v/>
      </c>
      <c r="R137" s="217" t="str">
        <f t="shared" si="42"/>
        <v/>
      </c>
      <c r="S137" s="361" t="str">
        <f t="shared" si="37"/>
        <v/>
      </c>
    </row>
    <row r="138" spans="3:20">
      <c r="C138" s="233" t="str">
        <f>IF(B138="","",IF(LEN(B138)&gt;9,SUMIFS(Options!$H$3:$H$25,Options!$B$3:$B$25,Check!B138),SUMIFS('Master P&amp;L'!$H$11:$H$100,'Master P&amp;L'!$B$11:$B$100,Check!B138)))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IF(O138="","",IF(LEN(O138)&gt;9,SUMIFS(Options!$H$3:$H$25,Options!$B$3:$B$25,Check!O138),SUMIFS('Master P&amp;L'!$H$11:$H$100,'Master P&amp;L'!$B$11:$B$100,Check!O138)))</f>
        <v/>
      </c>
      <c r="R138" s="217" t="str">
        <f t="shared" si="42"/>
        <v/>
      </c>
      <c r="S138" s="361" t="str">
        <f t="shared" si="37"/>
        <v/>
      </c>
    </row>
    <row r="139" spans="3:20">
      <c r="C139" s="233" t="str">
        <f>IF(B139="","",IF(LEN(B139)&gt;9,SUMIFS(Options!$H$3:$H$25,Options!$B$3:$B$25,Check!B139),SUMIFS('Master P&amp;L'!$H$11:$H$100,'Master P&amp;L'!$B$11:$B$100,Check!B139)))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IF(O139="","",IF(LEN(O139)&gt;9,SUMIFS(Options!$H$3:$H$25,Options!$B$3:$B$25,Check!O139),SUMIFS('Master P&amp;L'!$H$11:$H$100,'Master P&amp;L'!$B$11:$B$100,Check!O139)))</f>
        <v/>
      </c>
      <c r="R139" s="217" t="str">
        <f t="shared" si="42"/>
        <v/>
      </c>
      <c r="S139" s="361" t="str">
        <f t="shared" si="37"/>
        <v/>
      </c>
    </row>
    <row r="140" spans="3:20">
      <c r="C140" s="233" t="str">
        <f>IF(B140="","",IF(LEN(B140)&gt;9,SUMIFS(Options!$H$3:$H$25,Options!$B$3:$B$25,Check!B140),SUMIFS('Master P&amp;L'!$H$11:$H$100,'Master P&amp;L'!$B$11:$B$100,Check!B140)))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IF(O140="","",IF(LEN(O140)&gt;9,SUMIFS(Options!$H$3:$H$25,Options!$B$3:$B$25,Check!O140),SUMIFS('Master P&amp;L'!$H$11:$H$100,'Master P&amp;L'!$B$11:$B$100,Check!O140)))</f>
        <v/>
      </c>
      <c r="R140" s="217" t="str">
        <f t="shared" si="42"/>
        <v/>
      </c>
      <c r="S140" s="361" t="str">
        <f t="shared" si="37"/>
        <v/>
      </c>
    </row>
    <row r="141" spans="3:20">
      <c r="C141" s="233" t="str">
        <f>IF(B141="","",IF(LEN(B141)&gt;9,SUMIFS(Options!$H$3:$H$25,Options!$B$3:$B$25,Check!B141),SUMIFS('Master P&amp;L'!$H$11:$H$100,'Master P&amp;L'!$B$11:$B$100,Check!B141)))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IF(O141="","",IF(LEN(O141)&gt;9,SUMIFS(Options!$H$3:$H$25,Options!$B$3:$B$25,Check!O141),SUMIFS('Master P&amp;L'!$H$11:$H$100,'Master P&amp;L'!$B$11:$B$100,Check!O141)))</f>
        <v/>
      </c>
      <c r="R141" s="217" t="str">
        <f t="shared" si="42"/>
        <v/>
      </c>
      <c r="S141" s="361" t="str">
        <f t="shared" si="37"/>
        <v/>
      </c>
      <c r="T141" t="s">
        <v>1770</v>
      </c>
    </row>
    <row r="142" spans="3:20">
      <c r="C142" s="233" t="str">
        <f>IF(B142="","",IF(LEN(B142)&gt;9,SUMIFS(Options!$H$3:$H$25,Options!$B$3:$B$25,Check!B142),SUMIFS('Master P&amp;L'!$H$11:$H$100,'Master P&amp;L'!$B$11:$B$100,Check!B142)))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IF(O142="","",IF(LEN(O142)&gt;9,SUMIFS(Options!$H$3:$H$25,Options!$B$3:$B$25,Check!O142),SUMIFS('Master P&amp;L'!$H$11:$H$100,'Master P&amp;L'!$B$11:$B$100,Check!O142)))</f>
        <v/>
      </c>
      <c r="R142" s="327" t="str">
        <f t="shared" si="42"/>
        <v/>
      </c>
      <c r="S142" s="361" t="str">
        <f t="shared" si="37"/>
        <v/>
      </c>
      <c r="T142" s="59" t="s">
        <v>1770</v>
      </c>
    </row>
    <row r="143" spans="3:20">
      <c r="C143" s="233" t="str">
        <f>IF(B143="","",IF(LEN(B143)&gt;9,SUMIFS(Options!$H$3:$H$25,Options!$B$3:$B$25,Check!B143),SUMIFS('Master P&amp;L'!$H$11:$H$100,'Master P&amp;L'!$B$11:$B$100,Check!B143)))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IF(O143="","",IF(LEN(O143)&gt;9,SUMIFS(Options!$H$3:$H$25,Options!$B$3:$B$25,Check!O143),SUMIFS('Master P&amp;L'!$H$11:$H$100,'Master P&amp;L'!$B$11:$B$100,Check!O143)))</f>
        <v/>
      </c>
      <c r="R143" s="217" t="str">
        <f t="shared" ref="R143:R150" si="43">IF(O143="","",P143-Q143)</f>
        <v/>
      </c>
      <c r="S143" s="361" t="str">
        <f t="shared" si="37"/>
        <v/>
      </c>
    </row>
    <row r="144" spans="3:20">
      <c r="C144" s="233" t="str">
        <f>IF(B144="","",IF(LEN(B144)&gt;9,SUMIFS(Options!$H$3:$H$25,Options!$B$3:$B$25,Check!B144),SUMIFS('Master P&amp;L'!$H$11:$H$100,'Master P&amp;L'!$B$11:$B$100,Check!B144)))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IF(O144="","",IF(LEN(O144)&gt;9,SUMIFS(Options!$H$3:$H$25,Options!$B$3:$B$25,Check!O144),SUMIFS('Master P&amp;L'!$H$11:$H$100,'Master P&amp;L'!$B$11:$B$100,Check!O144)))</f>
        <v/>
      </c>
      <c r="R144" s="217" t="str">
        <f t="shared" si="43"/>
        <v/>
      </c>
      <c r="S144" s="361" t="str">
        <f t="shared" si="37"/>
        <v/>
      </c>
    </row>
    <row r="145" spans="3:20">
      <c r="C145" s="233" t="str">
        <f>IF(B145="","",IF(LEN(B145)&gt;9,SUMIFS(Options!$H$3:$H$25,Options!$B$3:$B$25,Check!B145),SUMIFS('Master P&amp;L'!$H$11:$H$100,'Master P&amp;L'!$B$11:$B$100,Check!B145)))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IF(O145="","",IF(LEN(O145)&gt;9,SUMIFS(Options!$H$3:$H$25,Options!$B$3:$B$25,Check!O145),SUMIFS('Master P&amp;L'!$H$11:$H$100,'Master P&amp;L'!$B$11:$B$100,Check!O145)))</f>
        <v/>
      </c>
      <c r="R145" s="327" t="str">
        <f t="shared" si="43"/>
        <v/>
      </c>
      <c r="S145" s="361" t="str">
        <f t="shared" si="37"/>
        <v/>
      </c>
      <c r="T145" s="59" t="s">
        <v>1770</v>
      </c>
    </row>
    <row r="146" spans="3:20">
      <c r="C146" s="233" t="str">
        <f>IF(B146="","",IF(LEN(B146)&gt;9,SUMIFS(Options!$H$3:$H$25,Options!$B$3:$B$25,Check!B146),SUMIFS('Master P&amp;L'!$H$11:$H$100,'Master P&amp;L'!$B$11:$B$100,Check!B146)))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IF(O146="","",IF(LEN(O146)&gt;9,SUMIFS(Options!$H$3:$H$25,Options!$B$3:$B$25,Check!O146),SUMIFS('Master P&amp;L'!$H$11:$H$100,'Master P&amp;L'!$B$11:$B$100,Check!O146)))</f>
        <v/>
      </c>
      <c r="R146" s="327" t="str">
        <f t="shared" si="43"/>
        <v/>
      </c>
      <c r="S146" s="361" t="str">
        <f t="shared" si="37"/>
        <v/>
      </c>
      <c r="T146" s="59" t="s">
        <v>1770</v>
      </c>
    </row>
    <row r="147" spans="3:20">
      <c r="C147" s="233" t="str">
        <f>IF(B147="","",IF(LEN(B147)&gt;9,SUMIFS(Options!$H$3:$H$25,Options!$B$3:$B$25,Check!B147),SUMIFS('Master P&amp;L'!$H$11:$H$100,'Master P&amp;L'!$B$11:$B$100,Check!B147)))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IF(O147="","",IF(LEN(O147)&gt;9,SUMIFS(Options!$H$3:$H$25,Options!$B$3:$B$25,Check!O147),SUMIFS('Master P&amp;L'!$H$11:$H$100,'Master P&amp;L'!$B$11:$B$100,Check!O147)))</f>
        <v/>
      </c>
      <c r="R147" s="217" t="str">
        <f t="shared" si="43"/>
        <v/>
      </c>
      <c r="S147" s="361" t="str">
        <f t="shared" si="37"/>
        <v/>
      </c>
    </row>
    <row r="148" spans="3:20">
      <c r="C148" s="233" t="str">
        <f>IF(B148="","",IF(LEN(B148)&gt;9,SUMIFS(Options!$H$3:$H$25,Options!$B$3:$B$25,Check!B148),SUMIFS('Master P&amp;L'!$H$11:$H$100,'Master P&amp;L'!$B$11:$B$100,Check!B148)))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IF(O148="","",IF(LEN(O148)&gt;9,SUMIFS(Options!$H$3:$H$25,Options!$B$3:$B$25,Check!O148),SUMIFS('Master P&amp;L'!$H$11:$H$100,'Master P&amp;L'!$B$11:$B$100,Check!O148)))</f>
        <v/>
      </c>
      <c r="R148" s="217" t="str">
        <f t="shared" si="43"/>
        <v/>
      </c>
      <c r="S148" s="361" t="str">
        <f t="shared" si="37"/>
        <v/>
      </c>
    </row>
    <row r="149" spans="3:20">
      <c r="C149" s="233" t="str">
        <f>IF(B149="","",IF(LEN(B149)&gt;9,SUMIFS(Options!$H$3:$H$25,Options!$B$3:$B$25,Check!B149),SUMIFS('Master P&amp;L'!$H$11:$H$100,'Master P&amp;L'!$B$11:$B$100,Check!B149)))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IF(O149="","",IF(LEN(O149)&gt;9,SUMIFS(Options!$H$3:$H$25,Options!$B$3:$B$25,Check!O149),SUMIFS('Master P&amp;L'!$H$11:$H$100,'Master P&amp;L'!$B$11:$B$100,Check!O149)))</f>
        <v/>
      </c>
      <c r="R149" s="217" t="str">
        <f t="shared" si="43"/>
        <v/>
      </c>
      <c r="S149" s="361" t="str">
        <f t="shared" si="37"/>
        <v/>
      </c>
    </row>
    <row r="150" spans="3:20">
      <c r="C150" s="233" t="str">
        <f>IF(B150="","",IF(LEN(B150)&gt;9,SUMIFS(Options!$H$3:$H$25,Options!$B$3:$B$25,Check!B150),SUMIFS('Master P&amp;L'!$H$11:$H$100,'Master P&amp;L'!$B$11:$B$100,Check!B150)))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IF(O150="","",IF(LEN(O150)&gt;9,SUMIFS(Options!$H$3:$H$25,Options!$B$3:$B$25,Check!O150),SUMIFS('Master P&amp;L'!$H$11:$H$100,'Master P&amp;L'!$B$11:$B$100,Check!O150)))</f>
        <v/>
      </c>
      <c r="R150" s="217" t="str">
        <f t="shared" si="43"/>
        <v/>
      </c>
      <c r="S150" s="361" t="str">
        <f t="shared" si="37"/>
        <v/>
      </c>
    </row>
    <row r="151" spans="3:20">
      <c r="C151" s="233" t="str">
        <f>IF(B151="","",IF(LEN(B151)&gt;9,SUMIFS(Options!$H$3:$H$25,Options!$B$3:$B$25,Check!B151),SUMIFS('Master P&amp;L'!$H$11:$H$100,'Master P&amp;L'!$B$11:$B$100,Check!B151)))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IF(O151="","",IF(LEN(O151)&gt;9,SUMIFS(Options!$H$3:$H$25,Options!$B$3:$B$25,Check!O151),SUMIFS('Master P&amp;L'!$H$11:$H$100,'Master P&amp;L'!$B$11:$B$100,Check!O151)))</f>
        <v/>
      </c>
      <c r="R151" s="217" t="str">
        <f>IF(O151="","",P151-Q151)</f>
        <v/>
      </c>
      <c r="S151" s="361" t="str">
        <f t="shared" si="37"/>
        <v/>
      </c>
    </row>
    <row r="152" spans="3:20">
      <c r="C152" s="233" t="str">
        <f>IF(B152="","",IF(LEN(B152)&gt;9,SUMIFS(Options!$H$3:$H$25,Options!$B$3:$B$25,Check!B152),SUMIFS('Master P&amp;L'!$H$11:$H$100,'Master P&amp;L'!$B$11:$B$100,Check!B152)))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IF(O152="","",IF(LEN(O152)&gt;9,SUMIFS(Options!$H$3:$H$25,Options!$B$3:$B$25,Check!O152),SUMIFS('Master P&amp;L'!$H$11:$H$100,'Master P&amp;L'!$B$11:$B$100,Check!O152)))</f>
        <v/>
      </c>
      <c r="R152" s="217" t="str">
        <f>IF(O152="","",P152-Q152)</f>
        <v/>
      </c>
      <c r="S152" s="361" t="str">
        <f t="shared" si="37"/>
        <v/>
      </c>
    </row>
    <row r="153" spans="3:20">
      <c r="C153" s="233" t="str">
        <f>IF(B153="","",IF(LEN(B153)&gt;9,SUMIFS(Options!$H$3:$H$25,Options!$B$3:$B$25,Check!B153),SUMIFS('Master P&amp;L'!$H$11:$H$100,'Master P&amp;L'!$B$11:$B$100,Check!B153)))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IF(O153="","",IF(LEN(O153)&gt;9,SUMIFS(Options!$H$3:$H$25,Options!$B$3:$B$25,Check!O153),SUMIFS('Master P&amp;L'!$H$11:$H$100,'Master P&amp;L'!$B$11:$B$100,Check!O153)))</f>
        <v/>
      </c>
      <c r="R153" s="217" t="str">
        <f>IF(O153="","",P153-Q153)</f>
        <v/>
      </c>
      <c r="S153" s="361" t="str">
        <f t="shared" si="37"/>
        <v/>
      </c>
    </row>
    <row r="154" spans="3:20">
      <c r="C154" s="233" t="str">
        <f>IF(B154="","",IF(LEN(B154)&gt;9,SUMIFS(Options!$H$3:$H$25,Options!$B$3:$B$25,Check!B154),SUMIFS('Master P&amp;L'!$H$11:$H$100,'Master P&amp;L'!$B$11:$B$100,Check!B154)))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IF(O154="","",IF(LEN(O154)&gt;9,SUMIFS(Options!$H$3:$H$25,Options!$B$3:$B$25,Check!O154),SUMIFS('Master P&amp;L'!$H$11:$H$100,'Master P&amp;L'!$B$11:$B$100,Check!O154)))</f>
        <v/>
      </c>
      <c r="R154" s="217" t="str">
        <f>IF(O154="","",P154-Q154)</f>
        <v/>
      </c>
      <c r="S154" s="361" t="str">
        <f t="shared" si="37"/>
        <v/>
      </c>
    </row>
    <row r="155" spans="3:20">
      <c r="C155" s="233" t="str">
        <f>IF(B155="","",IF(LEN(B155)&gt;9,SUMIFS(Options!$H$3:$H$25,Options!$B$3:$B$25,Check!B155),SUMIFS('Master P&amp;L'!$H$11:$H$100,'Master P&amp;L'!$B$11:$B$100,Check!B155)))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IF(O155="","",IF(LEN(O155)&gt;9,SUMIFS(Options!$H$3:$H$25,Options!$B$3:$B$25,Check!O155),SUMIFS('Master P&amp;L'!$H$11:$H$100,'Master P&amp;L'!$B$11:$B$100,Check!O155)))</f>
        <v/>
      </c>
      <c r="R155" s="217" t="str">
        <f t="shared" ref="R155:R166" si="48">IF(O155="","",P155-Q155)</f>
        <v/>
      </c>
      <c r="S155" s="361" t="str">
        <f t="shared" si="37"/>
        <v/>
      </c>
    </row>
    <row r="156" spans="3:20">
      <c r="C156" s="233" t="str">
        <f>IF(B156="","",IF(LEN(B156)&gt;9,SUMIFS(Options!$H$3:$H$25,Options!$B$3:$B$25,Check!B156),SUMIFS('Master P&amp;L'!$H$11:$H$100,'Master P&amp;L'!$B$11:$B$100,Check!B156)))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IF(O156="","",IF(LEN(O156)&gt;9,SUMIFS(Options!$H$3:$H$25,Options!$B$3:$B$25,Check!O156),SUMIFS('Master P&amp;L'!$H$11:$H$100,'Master P&amp;L'!$B$11:$B$100,Check!O156)))</f>
        <v/>
      </c>
      <c r="R156" s="217" t="str">
        <f t="shared" si="48"/>
        <v/>
      </c>
      <c r="S156" s="361" t="str">
        <f t="shared" si="37"/>
        <v/>
      </c>
    </row>
    <row r="157" spans="3:20">
      <c r="C157" s="233" t="str">
        <f>IF(B157="","",IF(LEN(B157)&gt;9,SUMIFS(Options!$H$3:$H$25,Options!$B$3:$B$25,Check!B157),SUMIFS('Master P&amp;L'!$H$11:$H$100,'Master P&amp;L'!$B$11:$B$100,Check!B157)))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IF(O157="","",IF(LEN(O157)&gt;9,SUMIFS(Options!$H$3:$H$25,Options!$B$3:$B$25,Check!O157),SUMIFS('Master P&amp;L'!$H$11:$H$100,'Master P&amp;L'!$B$11:$B$100,Check!O157)))</f>
        <v/>
      </c>
      <c r="R157" s="217" t="str">
        <f t="shared" si="48"/>
        <v/>
      </c>
      <c r="S157" s="361" t="str">
        <f t="shared" si="37"/>
        <v/>
      </c>
    </row>
    <row r="158" spans="3:20">
      <c r="C158" s="233" t="str">
        <f>IF(B158="","",IF(LEN(B158)&gt;9,SUMIFS(Options!$H$3:$H$25,Options!$B$3:$B$25,Check!B158),SUMIFS('Master P&amp;L'!$H$11:$H$100,'Master P&amp;L'!$B$11:$B$100,Check!B158)))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IF(O158="","",IF(LEN(O158)&gt;9,SUMIFS(Options!$H$3:$H$25,Options!$B$3:$B$25,Check!O158),SUMIFS('Master P&amp;L'!$H$11:$H$100,'Master P&amp;L'!$B$11:$B$100,Check!O158)))</f>
        <v/>
      </c>
      <c r="R158" s="217" t="str">
        <f t="shared" si="48"/>
        <v/>
      </c>
      <c r="S158" s="361" t="str">
        <f t="shared" si="37"/>
        <v/>
      </c>
    </row>
    <row r="159" spans="3:20">
      <c r="C159" s="233" t="str">
        <f>IF(B159="","",IF(LEN(B159)&gt;9,SUMIFS(Options!$H$3:$H$25,Options!$B$3:$B$25,Check!B159),SUMIFS('Master P&amp;L'!$H$11:$H$100,'Master P&amp;L'!$B$11:$B$100,Check!B159)))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IF(O159="","",IF(LEN(O159)&gt;9,SUMIFS(Options!$H$3:$H$25,Options!$B$3:$B$25,Check!O159),SUMIFS('Master P&amp;L'!$H$11:$H$100,'Master P&amp;L'!$B$11:$B$100,Check!O159)))</f>
        <v/>
      </c>
      <c r="R159" s="217" t="str">
        <f t="shared" si="48"/>
        <v/>
      </c>
      <c r="S159" s="361" t="str">
        <f t="shared" si="37"/>
        <v/>
      </c>
    </row>
    <row r="160" spans="3:20">
      <c r="C160" s="233" t="str">
        <f>IF(B160="","",IF(LEN(B160)&gt;9,SUMIFS(Options!$H$3:$H$25,Options!$B$3:$B$25,Check!B160),SUMIFS('Master P&amp;L'!$H$11:$H$100,'Master P&amp;L'!$B$11:$B$100,Check!B160)))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IF(O160="","",IF(LEN(O160)&gt;9,SUMIFS(Options!$H$3:$H$25,Options!$B$3:$B$25,Check!O160),SUMIFS('Master P&amp;L'!$H$11:$H$100,'Master P&amp;L'!$B$11:$B$100,Check!O160)))</f>
        <v/>
      </c>
      <c r="R160" s="217" t="str">
        <f t="shared" si="48"/>
        <v/>
      </c>
      <c r="S160" s="361" t="str">
        <f t="shared" si="37"/>
        <v/>
      </c>
    </row>
    <row r="161" spans="3:19">
      <c r="C161" s="233" t="str">
        <f>IF(B161="","",IF(LEN(B161)&gt;9,SUMIFS(Options!$H$3:$H$25,Options!$B$3:$B$25,Check!B161),SUMIFS('Master P&amp;L'!$H$11:$H$100,'Master P&amp;L'!$B$11:$B$100,Check!B161)))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IF(O161="","",IF(LEN(O161)&gt;9,SUMIFS(Options!$H$3:$H$25,Options!$B$3:$B$25,Check!O161),SUMIFS('Master P&amp;L'!$H$11:$H$100,'Master P&amp;L'!$B$11:$B$100,Check!O161)))</f>
        <v/>
      </c>
      <c r="R161" s="217" t="str">
        <f t="shared" si="48"/>
        <v/>
      </c>
      <c r="S161" s="361" t="str">
        <f t="shared" si="37"/>
        <v/>
      </c>
    </row>
    <row r="162" spans="3:19">
      <c r="C162" s="233" t="str">
        <f>IF(B162="","",IF(LEN(B162)&gt;9,SUMIFS(Options!$H$3:$H$25,Options!$B$3:$B$25,Check!B162),SUMIFS('Master P&amp;L'!$H$11:$H$100,'Master P&amp;L'!$B$11:$B$100,Check!B162)))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IF(O162="","",IF(LEN(O162)&gt;9,SUMIFS(Options!$H$3:$H$25,Options!$B$3:$B$25,Check!O162),SUMIFS('Master P&amp;L'!$H$11:$H$100,'Master P&amp;L'!$B$11:$B$100,Check!O162)))</f>
        <v/>
      </c>
      <c r="R162" s="217" t="str">
        <f t="shared" si="48"/>
        <v/>
      </c>
      <c r="S162" s="361" t="str">
        <f t="shared" si="37"/>
        <v/>
      </c>
    </row>
    <row r="163" spans="3:19">
      <c r="C163" s="233" t="str">
        <f>IF(B163="","",IF(LEN(B163)&gt;9,SUMIFS(Options!$H$3:$H$25,Options!$B$3:$B$25,Check!B163),SUMIFS('Master P&amp;L'!$H$11:$H$100,'Master P&amp;L'!$B$11:$B$100,Check!B163)))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IF(O163="","",IF(LEN(O163)&gt;9,SUMIFS(Options!$H$3:$H$25,Options!$B$3:$B$25,Check!O163),SUMIFS('Master P&amp;L'!$H$11:$H$100,'Master P&amp;L'!$B$11:$B$100,Check!O163)))</f>
        <v/>
      </c>
      <c r="R163" s="217" t="str">
        <f t="shared" si="48"/>
        <v/>
      </c>
      <c r="S163" s="361" t="str">
        <f t="shared" si="37"/>
        <v/>
      </c>
    </row>
    <row r="164" spans="3:19">
      <c r="C164" s="233" t="str">
        <f>IF(B164="","",IF(LEN(B164)&gt;9,SUMIFS(Options!$H$3:$H$25,Options!$B$3:$B$25,Check!B164),SUMIFS('Master P&amp;L'!$H$11:$H$100,'Master P&amp;L'!$B$11:$B$100,Check!B164)))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IF(O164="","",IF(LEN(O164)&gt;9,SUMIFS(Options!$H$3:$H$25,Options!$B$3:$B$25,Check!O164),SUMIFS('Master P&amp;L'!$H$11:$H$100,'Master P&amp;L'!$B$11:$B$100,Check!O164)))</f>
        <v/>
      </c>
      <c r="R164" s="217" t="str">
        <f t="shared" si="48"/>
        <v/>
      </c>
      <c r="S164" s="361" t="str">
        <f t="shared" si="37"/>
        <v/>
      </c>
    </row>
    <row r="165" spans="3:19">
      <c r="C165" s="233" t="str">
        <f>IF(B165="","",IF(LEN(B165)&gt;9,SUMIFS(Options!$H$3:$H$25,Options!$B$3:$B$25,Check!B165),SUMIFS('Master P&amp;L'!$H$11:$H$100,'Master P&amp;L'!$B$11:$B$100,Check!B165)))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IF(O165="","",IF(LEN(O165)&gt;9,SUMIFS(Options!$H$3:$H$25,Options!$B$3:$B$25,Check!O165),SUMIFS('Master P&amp;L'!$H$11:$H$100,'Master P&amp;L'!$B$11:$B$100,Check!O165)))</f>
        <v/>
      </c>
      <c r="R165" s="217" t="str">
        <f t="shared" si="48"/>
        <v/>
      </c>
      <c r="S165" s="361" t="str">
        <f t="shared" si="37"/>
        <v/>
      </c>
    </row>
    <row r="166" spans="3:19">
      <c r="C166" s="233" t="str">
        <f>IF(B166="","",IF(LEN(B166)&gt;9,SUMIFS(Options!$H$3:$H$25,Options!$B$3:$B$25,Check!B166),SUMIFS('Master P&amp;L'!$H$11:$H$100,'Master P&amp;L'!$B$11:$B$100,Check!B166)))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IF(O166="","",IF(LEN(O166)&gt;9,SUMIFS(Options!$H$3:$H$25,Options!$B$3:$B$25,Check!O166),SUMIFS('Master P&amp;L'!$H$11:$H$100,'Master P&amp;L'!$B$11:$B$100,Check!O166)))</f>
        <v/>
      </c>
      <c r="R166" s="217" t="str">
        <f t="shared" si="48"/>
        <v/>
      </c>
      <c r="S166" s="361" t="str">
        <f t="shared" si="37"/>
        <v/>
      </c>
    </row>
    <row r="167" spans="3:19">
      <c r="C167" s="233" t="str">
        <f>IF(B167="","",IF(LEN(B167)&gt;9,SUMIFS(Options!$H$3:$H$25,Options!$B$3:$B$25,Check!B167),SUMIFS('Master P&amp;L'!$H$11:$H$100,'Master P&amp;L'!$B$11:$B$100,Check!B167)))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IF(O167="","",IF(LEN(O167)&gt;9,SUMIFS(Options!$H$3:$H$25,Options!$B$3:$B$25,Check!O167),SUMIFS('Master P&amp;L'!$H$11:$H$100,'Master P&amp;L'!$B$11:$B$100,Check!O167)))</f>
        <v/>
      </c>
      <c r="R167" s="217" t="str">
        <f t="shared" ref="R167:R177" si="53">IF(O167="","",P167-Q167)</f>
        <v/>
      </c>
      <c r="S167" s="361" t="str">
        <f t="shared" si="37"/>
        <v/>
      </c>
    </row>
    <row r="168" spans="3:19">
      <c r="C168" s="233" t="str">
        <f>IF(B168="","",IF(LEN(B168)&gt;9,SUMIFS(Options!$H$3:$H$25,Options!$B$3:$B$25,Check!B168),SUMIFS('Master P&amp;L'!$H$11:$H$100,'Master P&amp;L'!$B$11:$B$100,Check!B168)))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IF(O168="","",IF(LEN(O168)&gt;9,SUMIFS(Options!$H$3:$H$25,Options!$B$3:$B$25,Check!O168),SUMIFS('Master P&amp;L'!$H$11:$H$100,'Master P&amp;L'!$B$11:$B$100,Check!O168)))</f>
        <v/>
      </c>
      <c r="R168" s="217" t="str">
        <f t="shared" si="53"/>
        <v/>
      </c>
      <c r="S168" s="361" t="str">
        <f t="shared" si="37"/>
        <v/>
      </c>
    </row>
    <row r="169" spans="3:19">
      <c r="C169" s="233" t="str">
        <f>IF(B169="","",IF(LEN(B169)&gt;9,SUMIFS(Options!$H$3:$H$25,Options!$B$3:$B$25,Check!B169),SUMIFS('Master P&amp;L'!$H$11:$H$100,'Master P&amp;L'!$B$11:$B$100,Check!B169)))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IF(O169="","",IF(LEN(O169)&gt;9,SUMIFS(Options!$H$3:$H$25,Options!$B$3:$B$25,Check!O169),SUMIFS('Master P&amp;L'!$H$11:$H$100,'Master P&amp;L'!$B$11:$B$100,Check!O169)))</f>
        <v/>
      </c>
      <c r="R169" s="217" t="str">
        <f t="shared" si="53"/>
        <v/>
      </c>
      <c r="S169" s="361" t="str">
        <f t="shared" si="37"/>
        <v/>
      </c>
    </row>
    <row r="170" spans="3:19">
      <c r="C170" s="233" t="str">
        <f>IF(B170="","",IF(LEN(B170)&gt;9,SUMIFS(Options!$H$3:$H$25,Options!$B$3:$B$25,Check!B170),SUMIFS('Master P&amp;L'!$H$11:$H$100,'Master P&amp;L'!$B$11:$B$100,Check!B170)))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IF(O170="","",IF(LEN(O170)&gt;9,SUMIFS(Options!$H$3:$H$25,Options!$B$3:$B$25,Check!O170),SUMIFS('Master P&amp;L'!$H$11:$H$100,'Master P&amp;L'!$B$11:$B$100,Check!O170)))</f>
        <v/>
      </c>
      <c r="R170" s="217" t="str">
        <f t="shared" si="53"/>
        <v/>
      </c>
      <c r="S170" s="361" t="str">
        <f t="shared" si="37"/>
        <v/>
      </c>
    </row>
    <row r="171" spans="3:19">
      <c r="C171" s="233" t="str">
        <f>IF(B171="","",IF(LEN(B171)&gt;9,SUMIFS(Options!$H$3:$H$25,Options!$B$3:$B$25,Check!B171),SUMIFS('Master P&amp;L'!$H$11:$H$100,'Master P&amp;L'!$B$11:$B$100,Check!B171)))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IF(O171="","",IF(LEN(O171)&gt;9,SUMIFS(Options!$H$3:$H$25,Options!$B$3:$B$25,Check!O171),SUMIFS('Master P&amp;L'!$H$11:$H$100,'Master P&amp;L'!$B$11:$B$100,Check!O171)))</f>
        <v/>
      </c>
      <c r="R171" s="217" t="str">
        <f t="shared" si="53"/>
        <v/>
      </c>
      <c r="S171" s="361" t="str">
        <f t="shared" si="37"/>
        <v/>
      </c>
    </row>
    <row r="172" spans="3:19">
      <c r="C172" s="233" t="str">
        <f>IF(B172="","",IF(LEN(B172)&gt;9,SUMIFS(Options!$H$3:$H$25,Options!$B$3:$B$25,Check!B172),SUMIFS('Master P&amp;L'!$H$11:$H$100,'Master P&amp;L'!$B$11:$B$100,Check!B172)))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IF(O172="","",IF(LEN(O172)&gt;9,SUMIFS(Options!$H$3:$H$25,Options!$B$3:$B$25,Check!O172),SUMIFS('Master P&amp;L'!$H$11:$H$100,'Master P&amp;L'!$B$11:$B$100,Check!O172)))</f>
        <v/>
      </c>
      <c r="R172" s="217" t="str">
        <f t="shared" si="53"/>
        <v/>
      </c>
      <c r="S172" s="361" t="str">
        <f t="shared" si="37"/>
        <v/>
      </c>
    </row>
    <row r="173" spans="3:19">
      <c r="C173" s="233" t="str">
        <f>IF(B173="","",IF(LEN(B173)&gt;9,SUMIFS(Options!$H$3:$H$25,Options!$B$3:$B$25,Check!B173),SUMIFS('Master P&amp;L'!$H$11:$H$100,'Master P&amp;L'!$B$11:$B$100,Check!B173)))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IF(O173="","",IF(LEN(O173)&gt;9,SUMIFS(Options!$H$3:$H$25,Options!$B$3:$B$25,Check!O173),SUMIFS('Master P&amp;L'!$H$11:$H$100,'Master P&amp;L'!$B$11:$B$100,Check!O173)))</f>
        <v/>
      </c>
      <c r="R173" s="217" t="str">
        <f t="shared" si="53"/>
        <v/>
      </c>
      <c r="S173" s="361" t="str">
        <f t="shared" si="37"/>
        <v/>
      </c>
    </row>
    <row r="174" spans="3:19">
      <c r="C174" s="233" t="str">
        <f>IF(B174="","",IF(LEN(B174)&gt;9,SUMIFS(Options!$H$3:$H$25,Options!$B$3:$B$25,Check!B174),SUMIFS('Master P&amp;L'!$H$11:$H$100,'Master P&amp;L'!$B$11:$B$100,Check!B174)))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IF(O174="","",IF(LEN(O174)&gt;9,SUMIFS(Options!$H$3:$H$25,Options!$B$3:$B$25,Check!O174),SUMIFS('Master P&amp;L'!$H$11:$H$100,'Master P&amp;L'!$B$11:$B$100,Check!O174)))</f>
        <v/>
      </c>
      <c r="R174" s="217" t="str">
        <f t="shared" si="53"/>
        <v/>
      </c>
      <c r="S174" s="361" t="str">
        <f t="shared" si="37"/>
        <v/>
      </c>
    </row>
    <row r="175" spans="3:19">
      <c r="C175" s="233" t="str">
        <f>IF(B175="","",IF(LEN(B175)&gt;9,SUMIFS(Options!$H$3:$H$25,Options!$B$3:$B$25,Check!B175),SUMIFS('Master P&amp;L'!$H$11:$H$100,'Master P&amp;L'!$B$11:$B$100,Check!B175)))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IF(O175="","",IF(LEN(O175)&gt;9,SUMIFS(Options!$H$3:$H$25,Options!$B$3:$B$25,Check!O175),SUMIFS('Master P&amp;L'!$H$11:$H$100,'Master P&amp;L'!$B$11:$B$100,Check!O175)))</f>
        <v/>
      </c>
      <c r="R175" s="217" t="str">
        <f t="shared" si="53"/>
        <v/>
      </c>
      <c r="S175" s="361" t="str">
        <f t="shared" si="37"/>
        <v/>
      </c>
    </row>
    <row r="176" spans="3:19">
      <c r="C176" s="233" t="str">
        <f>IF(B176="","",IF(LEN(B176)&gt;9,SUMIFS(Options!$H$3:$H$25,Options!$B$3:$B$25,Check!B176),SUMIFS('Master P&amp;L'!$H$11:$H$100,'Master P&amp;L'!$B$11:$B$100,Check!B176)))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IF(O176="","",IF(LEN(O176)&gt;9,SUMIFS(Options!$H$3:$H$25,Options!$B$3:$B$25,Check!O176),SUMIFS('Master P&amp;L'!$H$11:$H$100,'Master P&amp;L'!$B$11:$B$100,Check!O176)))</f>
        <v/>
      </c>
      <c r="R176" s="217" t="str">
        <f t="shared" si="53"/>
        <v/>
      </c>
      <c r="S176" s="361" t="str">
        <f t="shared" si="37"/>
        <v/>
      </c>
    </row>
    <row r="177" spans="3:19">
      <c r="C177" s="233" t="str">
        <f>IF(B177="","",IF(LEN(B177)&gt;9,SUMIFS(Options!$H$3:$H$25,Options!$B$3:$B$25,Check!B177),SUMIFS('Master P&amp;L'!$H$11:$H$100,'Master P&amp;L'!$B$11:$B$100,Check!B177)))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IF(O177="","",IF(LEN(O177)&gt;9,SUMIFS(Options!$H$3:$H$25,Options!$B$3:$B$25,Check!O177),SUMIFS('Master P&amp;L'!$H$11:$H$100,'Master P&amp;L'!$B$11:$B$100,Check!O177)))</f>
        <v/>
      </c>
      <c r="R177" s="217" t="str">
        <f t="shared" si="53"/>
        <v/>
      </c>
      <c r="S177" s="361" t="str">
        <f t="shared" si="37"/>
        <v/>
      </c>
    </row>
    <row r="178" spans="3:19">
      <c r="C178" s="233" t="str">
        <f>IF(B178="","",IF(LEN(B178)&gt;9,SUMIFS(Options!$H$3:$H$25,Options!$B$3:$B$25,Check!B178),SUMIFS('Master P&amp;L'!$H$11:$H$100,'Master P&amp;L'!$B$11:$B$100,Check!B178)))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IF(O178="","",IF(LEN(O178)&gt;9,SUMIFS(Options!$H$3:$H$25,Options!$B$3:$B$25,Check!O178),SUMIFS('Master P&amp;L'!$H$11:$H$100,'Master P&amp;L'!$B$11:$B$100,Check!O178)))</f>
        <v/>
      </c>
      <c r="R178" s="217" t="str">
        <f t="shared" ref="R178:R183" si="62">IF(O178="","",P178-Q178)</f>
        <v/>
      </c>
      <c r="S178" s="361" t="str">
        <f t="shared" si="37"/>
        <v/>
      </c>
    </row>
    <row r="179" spans="3:19">
      <c r="C179" s="233" t="str">
        <f>IF(B179="","",IF(LEN(B179)&gt;9,SUMIFS(Options!$H$3:$H$25,Options!$B$3:$B$25,Check!B179),SUMIFS('Master P&amp;L'!$H$11:$H$100,'Master P&amp;L'!$B$11:$B$100,Check!B179)))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IF(O179="","",IF(LEN(O179)&gt;9,SUMIFS(Options!$H$3:$H$25,Options!$B$3:$B$25,Check!O179),SUMIFS('Master P&amp;L'!$H$11:$H$100,'Master P&amp;L'!$B$11:$B$100,Check!O179)))</f>
        <v/>
      </c>
      <c r="R179" s="217" t="str">
        <f t="shared" si="62"/>
        <v/>
      </c>
      <c r="S179" s="361" t="str">
        <f t="shared" si="37"/>
        <v/>
      </c>
    </row>
    <row r="180" spans="3:19">
      <c r="C180" s="233" t="str">
        <f>IF(B180="","",IF(LEN(B180)&gt;9,SUMIFS(Options!$H$3:$H$25,Options!$B$3:$B$25,Check!B180),SUMIFS('Master P&amp;L'!$H$11:$H$100,'Master P&amp;L'!$B$11:$B$100,Check!B180)))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IF(O180="","",IF(LEN(O180)&gt;9,SUMIFS(Options!$H$3:$H$25,Options!$B$3:$B$25,Check!O180),SUMIFS('Master P&amp;L'!$H$11:$H$100,'Master P&amp;L'!$B$11:$B$100,Check!O180)))</f>
        <v/>
      </c>
      <c r="R180" s="217" t="str">
        <f t="shared" si="62"/>
        <v/>
      </c>
      <c r="S180" s="361" t="str">
        <f t="shared" si="37"/>
        <v/>
      </c>
    </row>
    <row r="181" spans="3:19">
      <c r="C181" s="233" t="str">
        <f>IF(B181="","",IF(LEN(B181)&gt;9,SUMIFS(Options!$H$3:$H$25,Options!$B$3:$B$25,Check!B181),SUMIFS('Master P&amp;L'!$H$11:$H$100,'Master P&amp;L'!$B$11:$B$100,Check!B181)))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IF(O181="","",IF(LEN(O181)&gt;9,SUMIFS(Options!$H$3:$H$25,Options!$B$3:$B$25,Check!O181),SUMIFS('Master P&amp;L'!$H$11:$H$100,'Master P&amp;L'!$B$11:$B$100,Check!O181)))</f>
        <v/>
      </c>
      <c r="R181" s="217" t="str">
        <f t="shared" si="62"/>
        <v/>
      </c>
      <c r="S181" s="361" t="str">
        <f t="shared" si="37"/>
        <v/>
      </c>
    </row>
    <row r="182" spans="3:19">
      <c r="C182" s="233" t="str">
        <f>IF(B182="","",IF(LEN(B182)&gt;9,SUMIFS(Options!$H$3:$H$25,Options!$B$3:$B$25,Check!B182),SUMIFS('Master P&amp;L'!$H$11:$H$100,'Master P&amp;L'!$B$11:$B$100,Check!B182)))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IF(O182="","",IF(LEN(O182)&gt;9,SUMIFS(Options!$H$3:$H$25,Options!$B$3:$B$25,Check!O182),SUMIFS('Master P&amp;L'!$H$11:$H$100,'Master P&amp;L'!$B$11:$B$100,Check!O182)))</f>
        <v/>
      </c>
      <c r="R182" s="217" t="str">
        <f t="shared" si="62"/>
        <v/>
      </c>
      <c r="S182" s="361" t="str">
        <f t="shared" si="37"/>
        <v/>
      </c>
    </row>
    <row r="183" spans="3:19">
      <c r="C183" s="233" t="str">
        <f>IF(B183="","",IF(LEN(B183)&gt;9,SUMIFS(Options!$H$3:$H$25,Options!$B$3:$B$25,Check!B183),SUMIFS('Master P&amp;L'!$H$11:$H$100,'Master P&amp;L'!$B$11:$B$100,Check!B183)))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IF(O183="","",IF(LEN(O183)&gt;9,SUMIFS(Options!$H$3:$H$25,Options!$B$3:$B$25,Check!O183),SUMIFS('Master P&amp;L'!$H$11:$H$100,'Master P&amp;L'!$B$11:$B$100,Check!O183)))</f>
        <v/>
      </c>
      <c r="R183" s="217" t="str">
        <f t="shared" si="62"/>
        <v/>
      </c>
      <c r="S183" s="361" t="str">
        <f t="shared" si="37"/>
        <v/>
      </c>
    </row>
    <row r="184" spans="3:19">
      <c r="C184" s="233" t="str">
        <f>IF(B184="","",IF(LEN(B184)&gt;9,SUMIFS(Options!$H$3:$H$25,Options!$B$3:$B$25,Check!B184),SUMIFS('Master P&amp;L'!$H$11:$H$100,'Master P&amp;L'!$B$11:$B$100,Check!B184)))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IF(O184="","",IF(LEN(O184)&gt;9,SUMIFS(Options!$H$3:$H$25,Options!$B$3:$B$25,Check!O184),SUMIFS('Master P&amp;L'!$H$11:$H$100,'Master P&amp;L'!$B$11:$B$100,Check!O184)))</f>
        <v/>
      </c>
      <c r="R184" s="217" t="str">
        <f>IF(O184="","",P184-Q184)</f>
        <v/>
      </c>
      <c r="S184" s="361" t="str">
        <f t="shared" si="37"/>
        <v/>
      </c>
    </row>
    <row r="185" spans="3:19">
      <c r="C185" s="233" t="str">
        <f>IF(B185="","",IF(LEN(B185)&gt;9,SUMIFS(Options!$H$3:$H$25,Options!$B$3:$B$25,Check!B185),SUMIFS('Master P&amp;L'!$H$11:$H$100,'Master P&amp;L'!$B$11:$B$100,Check!B185)))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IF(O185="","",IF(LEN(O185)&gt;9,SUMIFS(Options!$H$3:$H$25,Options!$B$3:$B$25,Check!O185),SUMIFS('Master P&amp;L'!$H$11:$H$100,'Master P&amp;L'!$B$11:$B$100,Check!O185)))</f>
        <v/>
      </c>
      <c r="R185" s="217" t="str">
        <f>IF(O185="","",P185-Q185)</f>
        <v/>
      </c>
      <c r="S185" s="361" t="str">
        <f t="shared" si="37"/>
        <v/>
      </c>
    </row>
    <row r="186" spans="3:19">
      <c r="C186" s="233" t="str">
        <f>IF(B186="","",IF(LEN(B186)&gt;9,SUMIFS(Options!$H$3:$H$25,Options!$B$3:$B$25,Check!B186),SUMIFS('Master P&amp;L'!$H$11:$H$100,'Master P&amp;L'!$B$11:$B$100,Check!B186)))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IF(O186="","",IF(LEN(O186)&gt;9,SUMIFS(Options!$H$3:$H$25,Options!$B$3:$B$25,Check!O186),SUMIFS('Master P&amp;L'!$H$11:$H$100,'Master P&amp;L'!$B$11:$B$100,Check!O186)))</f>
        <v/>
      </c>
      <c r="R186" s="217" t="str">
        <f>IF(O186="","",P186-Q186)</f>
        <v/>
      </c>
      <c r="S186" s="361" t="str">
        <f t="shared" si="37"/>
        <v/>
      </c>
    </row>
    <row r="187" spans="3:19">
      <c r="C187" s="233" t="str">
        <f>IF(B187="","",IF(LEN(B187)&gt;9,SUMIFS(Options!$H$3:$H$25,Options!$B$3:$B$25,Check!B187),SUMIFS('Master P&amp;L'!$H$11:$H$100,'Master P&amp;L'!$B$11:$B$100,Check!B187)))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IF(O187="","",IF(LEN(O187)&gt;9,SUMIFS(Options!$H$3:$H$25,Options!$B$3:$B$25,Check!O187),SUMIFS('Master P&amp;L'!$H$11:$H$100,'Master P&amp;L'!$B$11:$B$100,Check!O187)))</f>
        <v/>
      </c>
      <c r="R187" s="217" t="str">
        <f>IF(O187="","",P187-Q187)</f>
        <v/>
      </c>
      <c r="S187" s="361" t="str">
        <f t="shared" si="37"/>
        <v/>
      </c>
    </row>
    <row r="188" spans="3:19">
      <c r="C188" s="233" t="str">
        <f>IF(B188="","",IF(LEN(B188)&gt;9,SUMIFS(Options!$H$3:$H$25,Options!$B$3:$B$25,Check!B188),SUMIFS('Master P&amp;L'!$H$11:$H$100,'Master P&amp;L'!$B$11:$B$100,Check!B188)))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IF(O188="","",IF(LEN(O188)&gt;9,SUMIFS(Options!$H$3:$H$25,Options!$B$3:$B$25,Check!O188),SUMIFS('Master P&amp;L'!$H$11:$H$100,'Master P&amp;L'!$B$11:$B$100,Check!O188)))</f>
        <v/>
      </c>
      <c r="R188" s="217" t="str">
        <f t="shared" ref="R188:R205" si="67">IF(O188="","",P188-Q188)</f>
        <v/>
      </c>
      <c r="S188" s="361" t="str">
        <f t="shared" si="37"/>
        <v/>
      </c>
    </row>
    <row r="189" spans="3:19">
      <c r="C189" s="233" t="str">
        <f>IF(B189="","",IF(LEN(B189)&gt;9,SUMIFS(Options!$H$3:$H$25,Options!$B$3:$B$25,Check!B189),SUMIFS('Master P&amp;L'!$H$11:$H$100,'Master P&amp;L'!$B$11:$B$100,Check!B189)))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IF(O189="","",IF(LEN(O189)&gt;9,SUMIFS(Options!$H$3:$H$25,Options!$B$3:$B$25,Check!O189),SUMIFS('Master P&amp;L'!$H$11:$H$100,'Master P&amp;L'!$B$11:$B$100,Check!O189)))</f>
        <v/>
      </c>
      <c r="R189" s="217" t="str">
        <f t="shared" si="67"/>
        <v/>
      </c>
      <c r="S189" s="361" t="str">
        <f t="shared" si="37"/>
        <v/>
      </c>
    </row>
    <row r="190" spans="3:19">
      <c r="C190" s="233" t="str">
        <f>IF(B190="","",IF(LEN(B190)&gt;9,SUMIFS(Options!$H$3:$H$25,Options!$B$3:$B$25,Check!B190),SUMIFS('Master P&amp;L'!$H$11:$H$100,'Master P&amp;L'!$B$11:$B$100,Check!B190)))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IF(O190="","",IF(LEN(O190)&gt;9,SUMIFS(Options!$H$3:$H$25,Options!$B$3:$B$25,Check!O190),SUMIFS('Master P&amp;L'!$H$11:$H$100,'Master P&amp;L'!$B$11:$B$100,Check!O190)))</f>
        <v/>
      </c>
      <c r="R190" s="217" t="str">
        <f t="shared" si="67"/>
        <v/>
      </c>
      <c r="S190" s="361" t="str">
        <f t="shared" si="37"/>
        <v/>
      </c>
    </row>
    <row r="191" spans="3:19">
      <c r="C191" s="233" t="str">
        <f>IF(B191="","",IF(LEN(B191)&gt;9,SUMIFS(Options!$H$3:$H$25,Options!$B$3:$B$25,Check!B191),SUMIFS('Master P&amp;L'!$H$11:$H$100,'Master P&amp;L'!$B$11:$B$100,Check!B191)))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IF(O191="","",IF(LEN(O191)&gt;9,SUMIFS(Options!$H$3:$H$25,Options!$B$3:$B$25,Check!O191),SUMIFS('Master P&amp;L'!$H$11:$H$100,'Master P&amp;L'!$B$11:$B$100,Check!O191)))</f>
        <v/>
      </c>
      <c r="R191" s="217" t="str">
        <f t="shared" si="67"/>
        <v/>
      </c>
      <c r="S191" s="361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IF(O192="","",IF(LEN(O192)&gt;9,SUMIFS(Options!$H$3:$H$25,Options!$B$3:$B$25,Check!O192),SUMIFS('Master P&amp;L'!$H$11:$H$100,'Master P&amp;L'!$B$11:$B$100,Check!O192)))</f>
        <v/>
      </c>
      <c r="R192" s="217" t="str">
        <f t="shared" si="67"/>
        <v/>
      </c>
      <c r="S192" s="361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IF(O193="","",IF(LEN(O193)&gt;9,SUMIFS(Options!$H$3:$H$25,Options!$B$3:$B$25,Check!O193),SUMIFS('Master P&amp;L'!$H$11:$H$100,'Master P&amp;L'!$B$11:$B$100,Check!O193)))</f>
        <v/>
      </c>
      <c r="R193" s="217" t="str">
        <f t="shared" si="67"/>
        <v/>
      </c>
      <c r="S193" s="361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IF(O194="","",IF(LEN(O194)&gt;9,SUMIFS(Options!$H$3:$H$25,Options!$B$3:$B$25,Check!O194),SUMIFS('Master P&amp;L'!$H$11:$H$100,'Master P&amp;L'!$B$11:$B$100,Check!O194)))</f>
        <v/>
      </c>
      <c r="R194" s="217" t="str">
        <f t="shared" si="67"/>
        <v/>
      </c>
      <c r="S194" s="361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IF(O195="","",IF(LEN(O195)&gt;9,SUMIFS(Options!$H$3:$H$25,Options!$B$3:$B$25,Check!O195),SUMIFS('Master P&amp;L'!$H$11:$H$100,'Master P&amp;L'!$B$11:$B$100,Check!O195)))</f>
        <v/>
      </c>
      <c r="R195" s="217" t="str">
        <f t="shared" si="67"/>
        <v/>
      </c>
      <c r="S195" s="361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IF(O196="","",IF(LEN(O196)&gt;9,SUMIFS(Options!$H$3:$H$25,Options!$B$3:$B$25,Check!O196),SUMIFS('Master P&amp;L'!$H$11:$H$100,'Master P&amp;L'!$B$11:$B$100,Check!O196)))</f>
        <v/>
      </c>
      <c r="R196" s="217" t="str">
        <f t="shared" si="67"/>
        <v/>
      </c>
      <c r="S196" s="361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IF(O197="","",IF(LEN(O197)&gt;9,SUMIFS(Options!$H$3:$H$25,Options!$B$3:$B$25,Check!O197),SUMIFS('Master P&amp;L'!$H$11:$H$100,'Master P&amp;L'!$B$11:$B$100,Check!O197)))</f>
        <v/>
      </c>
      <c r="R197" s="217" t="str">
        <f t="shared" si="67"/>
        <v/>
      </c>
      <c r="S197" s="361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IF(O198="","",IF(LEN(O198)&gt;9,SUMIFS(Options!$H$3:$H$25,Options!$B$3:$B$25,Check!O198),SUMIFS('Master P&amp;L'!$H$11:$H$100,'Master P&amp;L'!$B$11:$B$100,Check!O198)))</f>
        <v/>
      </c>
      <c r="R198" s="217" t="str">
        <f t="shared" si="67"/>
        <v/>
      </c>
      <c r="S198" s="361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IF(O199="","",IF(LEN(O199)&gt;9,SUMIFS(Options!$H$3:$H$25,Options!$B$3:$B$25,Check!O199),SUMIFS('Master P&amp;L'!$H$11:$H$100,'Master P&amp;L'!$B$11:$B$100,Check!O199)))</f>
        <v/>
      </c>
      <c r="R199" s="217" t="str">
        <f t="shared" si="67"/>
        <v/>
      </c>
      <c r="S199" s="361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IF(O200="","",IF(LEN(O200)&gt;9,SUMIFS(Options!$H$3:$H$25,Options!$B$3:$B$25,Check!O200),SUMIFS('Master P&amp;L'!$H$11:$H$100,'Master P&amp;L'!$B$11:$B$100,Check!O200)))</f>
        <v/>
      </c>
      <c r="R200" s="217" t="str">
        <f t="shared" si="67"/>
        <v/>
      </c>
      <c r="S200" s="361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IF(O201="","",IF(LEN(O201)&gt;9,SUMIFS(Options!$H$3:$H$25,Options!$B$3:$B$25,Check!O201),SUMIFS('Master P&amp;L'!$H$11:$H$100,'Master P&amp;L'!$B$11:$B$100,Check!O201)))</f>
        <v/>
      </c>
      <c r="R201" s="217" t="str">
        <f t="shared" si="67"/>
        <v/>
      </c>
      <c r="S201" s="361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IF(O202="","",IF(LEN(O202)&gt;9,SUMIFS(Options!$H$3:$H$25,Options!$B$3:$B$25,Check!O202),SUMIFS('Master P&amp;L'!$H$11:$H$100,'Master P&amp;L'!$B$11:$B$100,Check!O202)))</f>
        <v/>
      </c>
      <c r="R202" s="217" t="str">
        <f t="shared" si="67"/>
        <v/>
      </c>
      <c r="S202" s="361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IF(O203="","",IF(LEN(O203)&gt;9,SUMIFS(Options!$H$3:$H$25,Options!$B$3:$B$25,Check!O203),SUMIFS('Master P&amp;L'!$H$11:$H$100,'Master P&amp;L'!$B$11:$B$100,Check!O203)))</f>
        <v/>
      </c>
      <c r="R203" s="217" t="str">
        <f t="shared" si="67"/>
        <v/>
      </c>
      <c r="S203" s="361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IF(O204="","",IF(LEN(O204)&gt;9,SUMIFS(Options!$H$3:$H$25,Options!$B$3:$B$25,Check!O204),SUMIFS('Master P&amp;L'!$H$11:$H$100,'Master P&amp;L'!$B$11:$B$100,Check!O204)))</f>
        <v/>
      </c>
      <c r="R204" s="217" t="str">
        <f t="shared" si="67"/>
        <v/>
      </c>
      <c r="S204" s="361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IF(O205="","",IF(LEN(O205)&gt;9,SUMIFS(Options!$H$3:$H$25,Options!$B$3:$B$25,Check!O205),SUMIFS('Master P&amp;L'!$H$11:$H$100,'Master P&amp;L'!$B$11:$B$100,Check!O205)))</f>
        <v/>
      </c>
      <c r="R205" s="217" t="str">
        <f t="shared" si="67"/>
        <v/>
      </c>
      <c r="S205" s="361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IF(O206="","",IF(LEN(O206)&gt;9,SUMIFS(Options!$H$3:$H$25,Options!$B$3:$B$25,Check!O206),SUMIFS('Master P&amp;L'!$H$11:$H$100,'Master P&amp;L'!$B$11:$B$100,Check!O206)))</f>
        <v/>
      </c>
      <c r="R206" s="217" t="str">
        <f>IF(O206="","",P206-Q206)</f>
        <v/>
      </c>
      <c r="S206" s="361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46" priority="4">
      <formula>J5&lt;&gt;0</formula>
    </cfRule>
  </conditionalFormatting>
  <conditionalFormatting sqref="E5:E191">
    <cfRule type="expression" dxfId="45" priority="3">
      <formula>E5&lt;&gt;0</formula>
    </cfRule>
  </conditionalFormatting>
  <conditionalFormatting sqref="S5:S206">
    <cfRule type="cellIs" dxfId="44" priority="2" operator="lessThan">
      <formula>0.9</formula>
    </cfRule>
  </conditionalFormatting>
  <conditionalFormatting sqref="S5:S198">
    <cfRule type="expression" dxfId="43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82"/>
    </sheetView>
  </sheetViews>
  <sheetFormatPr defaultColWidth="9.140625" defaultRowHeight="12.75" outlineLevelCol="1"/>
  <cols>
    <col min="1" max="4" width="9.140625" style="213"/>
    <col min="5" max="5" width="31.28515625" style="213" bestFit="1" customWidth="1" outlineLevel="1"/>
    <col min="6" max="6" width="43.5703125" style="213" bestFit="1" customWidth="1" outlineLevel="1"/>
    <col min="7" max="7" width="24.42578125" style="213" bestFit="1" customWidth="1" outlineLevel="1"/>
    <col min="8" max="8" width="12.85546875" style="213" bestFit="1" customWidth="1" outlineLevel="1"/>
    <col min="9" max="9" width="11.85546875" style="213" bestFit="1" customWidth="1" outlineLevel="1"/>
    <col min="10" max="10" width="9.140625" style="213"/>
    <col min="11" max="11" width="28.140625" style="213" bestFit="1" customWidth="1"/>
    <col min="12" max="12" width="41.85546875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317</v>
      </c>
      <c r="F2" s="213" t="s">
        <v>79</v>
      </c>
      <c r="G2" s="213" t="s">
        <v>282</v>
      </c>
      <c r="H2" s="213">
        <v>0</v>
      </c>
      <c r="I2" s="213">
        <v>6094</v>
      </c>
      <c r="K2" s="214" t="str">
        <f>IF(E2="","",E2)</f>
        <v>US Equity</v>
      </c>
      <c r="L2" s="214" t="str">
        <f>IF(E2="","",IF(COUNTIFS(Table2[[#All],[De (Lote)]],Input_APM!F2)&gt;0,INDEX(Table2[[#All],[Para (Ticker Daniel)]],MATCH(Input_APM!F2,Table2[[#All],[De (Lote)]],0)),Input_APM!F2))</f>
        <v>AAPL</v>
      </c>
      <c r="M2" s="214" t="str">
        <f>IF(E2="","",G2)</f>
        <v>EQTY.IntlUS.off</v>
      </c>
      <c r="N2" s="215">
        <f>IF(E2="","",H2)</f>
        <v>0</v>
      </c>
      <c r="O2" s="215">
        <f>IF(E2="","",I2)</f>
        <v>6094</v>
      </c>
    </row>
    <row r="3" spans="5:15">
      <c r="E3" s="213" t="s">
        <v>319</v>
      </c>
      <c r="F3" s="213" t="s">
        <v>2457</v>
      </c>
      <c r="G3" s="213" t="s">
        <v>282</v>
      </c>
      <c r="H3" s="213">
        <v>329</v>
      </c>
      <c r="I3" s="213">
        <v>0</v>
      </c>
      <c r="K3" s="214" t="str">
        <f t="shared" ref="K3:K66" si="0">IF(E3="","",E3)</f>
        <v>US Equity Options</v>
      </c>
      <c r="L3" s="214" t="str">
        <f>IF(E3="","",IF(COUNTIFS(Table2[[#All],[De (Lote)]],Input_APM!F3)&gt;0,INDEX(Table2[[#All],[Para (Ticker Daniel)]],MATCH(Input_APM!F3,Table2[[#All],[De (Lote)]],0)),Input_APM!F3))</f>
        <v>AAPL US 04/17/26 C260</v>
      </c>
      <c r="M3" s="214" t="str">
        <f t="shared" ref="M3:M66" si="1">IF(E3="","",G3)</f>
        <v>EQTY.IntlUS.off</v>
      </c>
      <c r="N3" s="215">
        <f t="shared" ref="N3:N66" si="2">IF(E3="","",H3)</f>
        <v>329</v>
      </c>
      <c r="O3" s="215">
        <f t="shared" ref="O3:O66" si="3">IF(E3="","",I3)</f>
        <v>0</v>
      </c>
    </row>
    <row r="4" spans="5:15">
      <c r="E4" s="213" t="s">
        <v>319</v>
      </c>
      <c r="F4" s="213" t="s">
        <v>2458</v>
      </c>
      <c r="G4" s="213" t="s">
        <v>282</v>
      </c>
      <c r="H4" s="213">
        <v>-329</v>
      </c>
      <c r="I4" s="213">
        <v>0</v>
      </c>
      <c r="K4" s="214" t="str">
        <f t="shared" si="0"/>
        <v>US Equity Options</v>
      </c>
      <c r="L4" s="214" t="str">
        <f>IF(E4="","",IF(COUNTIFS(Table2[[#All],[De (Lote)]],Input_APM!F4)&gt;0,INDEX(Table2[[#All],[Para (Ticker Daniel)]],MATCH(Input_APM!F4,Table2[[#All],[De (Lote)]],0)),Input_APM!F4))</f>
        <v>AAPL US 04/17/26 C280</v>
      </c>
      <c r="M4" s="214" t="str">
        <f t="shared" si="1"/>
        <v>EQTY.IntlUS.off</v>
      </c>
      <c r="N4" s="215">
        <f t="shared" si="2"/>
        <v>-329</v>
      </c>
      <c r="O4" s="215">
        <f t="shared" si="3"/>
        <v>0</v>
      </c>
    </row>
    <row r="5" spans="5:15">
      <c r="E5" s="213" t="s">
        <v>317</v>
      </c>
      <c r="F5" s="213" t="s">
        <v>2354</v>
      </c>
      <c r="G5" s="213" t="s">
        <v>282</v>
      </c>
      <c r="H5" s="213">
        <v>7129</v>
      </c>
      <c r="I5" s="213">
        <v>5908</v>
      </c>
      <c r="K5" s="214" t="str">
        <f t="shared" si="0"/>
        <v>US Equity</v>
      </c>
      <c r="L5" s="214" t="str">
        <f>IF(E5="","",IF(COUNTIFS(Table2[[#All],[De (Lote)]],Input_APM!F5)&gt;0,INDEX(Table2[[#All],[Para (Ticker Daniel)]],MATCH(Input_APM!F5,Table2[[#All],[De (Lote)]],0)),Input_APM!F5))</f>
        <v>AKAM</v>
      </c>
      <c r="M5" s="214" t="str">
        <f t="shared" si="1"/>
        <v>EQTY.IntlUS.off</v>
      </c>
      <c r="N5" s="215">
        <f t="shared" si="2"/>
        <v>7129</v>
      </c>
      <c r="O5" s="215">
        <f t="shared" si="3"/>
        <v>5908</v>
      </c>
    </row>
    <row r="6" spans="5:15">
      <c r="E6" s="213" t="s">
        <v>317</v>
      </c>
      <c r="F6" s="213" t="s">
        <v>399</v>
      </c>
      <c r="G6" s="213" t="s">
        <v>282</v>
      </c>
      <c r="H6" s="213">
        <v>15307</v>
      </c>
      <c r="I6" s="213">
        <v>15307</v>
      </c>
      <c r="K6" s="214" t="str">
        <f t="shared" si="0"/>
        <v>US Equity</v>
      </c>
      <c r="L6" s="214" t="str">
        <f>IF(E6="","",IF(COUNTIFS(Table2[[#All],[De (Lote)]],Input_APM!F6)&gt;0,INDEX(Table2[[#All],[Para (Ticker Daniel)]],MATCH(Input_APM!F6,Table2[[#All],[De (Lote)]],0)),Input_APM!F6))</f>
        <v>AMZN</v>
      </c>
      <c r="M6" s="214" t="str">
        <f t="shared" si="1"/>
        <v>EQTY.IntlUS.off</v>
      </c>
      <c r="N6" s="215">
        <f t="shared" si="2"/>
        <v>15307</v>
      </c>
      <c r="O6" s="215">
        <f t="shared" si="3"/>
        <v>15307</v>
      </c>
    </row>
    <row r="7" spans="5:15">
      <c r="E7" s="213" t="s">
        <v>320</v>
      </c>
      <c r="F7" s="213" t="s">
        <v>38</v>
      </c>
      <c r="G7" s="213" t="s">
        <v>282</v>
      </c>
      <c r="H7" s="213">
        <v>19706</v>
      </c>
      <c r="I7" s="213">
        <v>19706</v>
      </c>
      <c r="K7" s="214" t="str">
        <f t="shared" si="0"/>
        <v>ETF</v>
      </c>
      <c r="L7" s="214" t="str">
        <f>IF(E7="","",IF(COUNTIFS(Table2[[#All],[De (Lote)]],Input_APM!F7)&gt;0,INDEX(Table2[[#All],[Para (Ticker Daniel)]],MATCH(Input_APM!F7,Table2[[#All],[De (Lote)]],0)),Input_APM!F7))</f>
        <v>ASHR</v>
      </c>
      <c r="M7" s="214" t="str">
        <f t="shared" si="1"/>
        <v>EQTY.IntlUS.off</v>
      </c>
      <c r="N7" s="215">
        <f t="shared" si="2"/>
        <v>19706</v>
      </c>
      <c r="O7" s="215">
        <f t="shared" si="3"/>
        <v>19706</v>
      </c>
    </row>
    <row r="8" spans="5:15">
      <c r="E8" s="213" t="s">
        <v>324</v>
      </c>
      <c r="F8" s="213" t="s">
        <v>2224</v>
      </c>
      <c r="G8" s="213" t="s">
        <v>282</v>
      </c>
      <c r="H8" s="213">
        <v>935</v>
      </c>
      <c r="I8" s="213">
        <v>935</v>
      </c>
      <c r="K8" s="214" t="str">
        <f t="shared" si="0"/>
        <v>ETF Options</v>
      </c>
      <c r="L8" s="214" t="str">
        <f>IF(E8="","",IF(COUNTIFS(Table2[[#All],[De (Lote)]],Input_APM!F8)&gt;0,INDEX(Table2[[#All],[Para (Ticker Daniel)]],MATCH(Input_APM!F8,Table2[[#All],[De (Lote)]],0)),Input_APM!F8))</f>
        <v>ASHR US 02/20/26 C35</v>
      </c>
      <c r="M8" s="214" t="str">
        <f t="shared" si="1"/>
        <v>EQTY.IntlUS.off</v>
      </c>
      <c r="N8" s="215">
        <f t="shared" si="2"/>
        <v>935</v>
      </c>
      <c r="O8" s="215">
        <f t="shared" si="3"/>
        <v>935</v>
      </c>
    </row>
    <row r="9" spans="5:15">
      <c r="E9" s="213" t="s">
        <v>317</v>
      </c>
      <c r="F9" s="213" t="s">
        <v>137</v>
      </c>
      <c r="G9" s="213" t="s">
        <v>282</v>
      </c>
      <c r="H9" s="213">
        <v>1409</v>
      </c>
      <c r="I9" s="213">
        <v>1409</v>
      </c>
      <c r="K9" s="214" t="str">
        <f t="shared" si="0"/>
        <v>US Equity</v>
      </c>
      <c r="L9" s="214" t="str">
        <f>IF(E9="","",IF(COUNTIFS(Table2[[#All],[De (Lote)]],Input_APM!F9)&gt;0,INDEX(Table2[[#All],[Para (Ticker Daniel)]],MATCH(Input_APM!F9,Table2[[#All],[De (Lote)]],0)),Input_APM!F9))</f>
        <v>AVGO</v>
      </c>
      <c r="M9" s="214" t="str">
        <f t="shared" si="1"/>
        <v>EQTY.IntlUS.off</v>
      </c>
      <c r="N9" s="215">
        <f t="shared" si="2"/>
        <v>1409</v>
      </c>
      <c r="O9" s="215">
        <f t="shared" si="3"/>
        <v>1409</v>
      </c>
    </row>
    <row r="10" spans="5:15">
      <c r="E10" s="213" t="s">
        <v>319</v>
      </c>
      <c r="F10" s="213" t="s">
        <v>2102</v>
      </c>
      <c r="G10" s="213" t="s">
        <v>282</v>
      </c>
      <c r="H10" s="213">
        <v>114</v>
      </c>
      <c r="I10" s="213">
        <v>114</v>
      </c>
      <c r="K10" s="214" t="str">
        <f t="shared" si="0"/>
        <v>US Equity Options</v>
      </c>
      <c r="L10" s="214" t="str">
        <f>IF(E10="","",IF(COUNTIFS(Table2[[#All],[De (Lote)]],Input_APM!F10)&gt;0,INDEX(Table2[[#All],[Para (Ticker Daniel)]],MATCH(Input_APM!F10,Table2[[#All],[De (Lote)]],0)),Input_APM!F10))</f>
        <v>AVGO US 06/18/26 C350</v>
      </c>
      <c r="M10" s="214" t="str">
        <f t="shared" si="1"/>
        <v>EQTY.IntlUS.off</v>
      </c>
      <c r="N10" s="215">
        <f t="shared" si="2"/>
        <v>114</v>
      </c>
      <c r="O10" s="215">
        <f t="shared" si="3"/>
        <v>114</v>
      </c>
    </row>
    <row r="11" spans="5:15">
      <c r="E11" s="213" t="s">
        <v>39</v>
      </c>
      <c r="F11" s="213" t="s">
        <v>461</v>
      </c>
      <c r="G11" s="213" t="s">
        <v>282</v>
      </c>
      <c r="H11" s="213">
        <v>3163</v>
      </c>
      <c r="I11" s="213">
        <v>3163</v>
      </c>
      <c r="K11" s="214" t="str">
        <f t="shared" si="0"/>
        <v>ADR</v>
      </c>
      <c r="L11" s="214" t="str">
        <f>IF(E11="","",IF(COUNTIFS(Table2[[#All],[De (Lote)]],Input_APM!F11)&gt;0,INDEX(Table2[[#All],[Para (Ticker Daniel)]],MATCH(Input_APM!F11,Table2[[#All],[De (Lote)]],0)),Input_APM!F11))</f>
        <v>BABA</v>
      </c>
      <c r="M11" s="214" t="str">
        <f t="shared" si="1"/>
        <v>EQTY.IntlUS.off</v>
      </c>
      <c r="N11" s="215">
        <f t="shared" si="2"/>
        <v>3163</v>
      </c>
      <c r="O11" s="215">
        <f t="shared" si="3"/>
        <v>3163</v>
      </c>
    </row>
    <row r="12" spans="5:15">
      <c r="E12" s="213" t="s">
        <v>39</v>
      </c>
      <c r="F12" s="213" t="s">
        <v>2138</v>
      </c>
      <c r="G12" s="213" t="s">
        <v>282</v>
      </c>
      <c r="H12" s="213">
        <v>3285</v>
      </c>
      <c r="I12" s="213">
        <v>3285</v>
      </c>
      <c r="K12" s="214" t="str">
        <f t="shared" si="0"/>
        <v>ADR</v>
      </c>
      <c r="L12" s="214" t="str">
        <f>IF(E12="","",IF(COUNTIFS(Table2[[#All],[De (Lote)]],Input_APM!F12)&gt;0,INDEX(Table2[[#All],[Para (Ticker Daniel)]],MATCH(Input_APM!F12,Table2[[#All],[De (Lote)]],0)),Input_APM!F12))</f>
        <v>BIDU</v>
      </c>
      <c r="M12" s="214" t="str">
        <f t="shared" si="1"/>
        <v>EQTY.IntlUS.off</v>
      </c>
      <c r="N12" s="215">
        <f t="shared" si="2"/>
        <v>3285</v>
      </c>
      <c r="O12" s="215">
        <f t="shared" si="3"/>
        <v>3285</v>
      </c>
    </row>
    <row r="13" spans="5:15">
      <c r="E13" s="213" t="s">
        <v>321</v>
      </c>
      <c r="F13" s="213" t="s">
        <v>295</v>
      </c>
      <c r="G13" s="213" t="s">
        <v>282</v>
      </c>
      <c r="H13" s="213">
        <v>-0.28999999999999998</v>
      </c>
      <c r="I13" s="213">
        <v>-0.28999999999999998</v>
      </c>
      <c r="K13" s="214" t="str">
        <f t="shared" si="0"/>
        <v>Cash</v>
      </c>
      <c r="L13" s="214" t="str">
        <f>IF(E13="","",IF(COUNTIFS(Table2[[#All],[De (Lote)]],Input_APM!F13)&gt;0,INDEX(Table2[[#All],[Para (Ticker Daniel)]],MATCH(Input_APM!F13,Table2[[#All],[De (Lote)]],0)),Input_APM!F13))</f>
        <v>Cash CAD</v>
      </c>
      <c r="M13" s="214" t="str">
        <f t="shared" si="1"/>
        <v>EQTY.IntlUS.off</v>
      </c>
      <c r="N13" s="215">
        <f t="shared" si="2"/>
        <v>-0.28999999999999998</v>
      </c>
      <c r="O13" s="215">
        <f t="shared" si="3"/>
        <v>-0.28999999999999998</v>
      </c>
    </row>
    <row r="14" spans="5:15">
      <c r="E14" s="213" t="s">
        <v>321</v>
      </c>
      <c r="F14" s="213" t="s">
        <v>296</v>
      </c>
      <c r="G14" s="213" t="s">
        <v>283</v>
      </c>
      <c r="H14" s="213">
        <v>0.39</v>
      </c>
      <c r="I14" s="213">
        <v>0.39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CHF</v>
      </c>
      <c r="M14" s="214" t="str">
        <f t="shared" si="1"/>
        <v>EQTY.InternacionalUS2.off</v>
      </c>
      <c r="N14" s="215">
        <f t="shared" si="2"/>
        <v>0.39</v>
      </c>
      <c r="O14" s="215">
        <f t="shared" si="3"/>
        <v>0.39</v>
      </c>
    </row>
    <row r="15" spans="5:15">
      <c r="E15" s="213" t="s">
        <v>321</v>
      </c>
      <c r="F15" s="213" t="s">
        <v>296</v>
      </c>
      <c r="G15" s="213" t="s">
        <v>282</v>
      </c>
      <c r="H15" s="213">
        <v>-34454.449999999997</v>
      </c>
      <c r="I15" s="213">
        <v>-34454.449999999997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CHF</v>
      </c>
      <c r="M15" s="214" t="str">
        <f t="shared" si="1"/>
        <v>EQTY.IntlUS.off</v>
      </c>
      <c r="N15" s="215">
        <f t="shared" si="2"/>
        <v>-34454.449999999997</v>
      </c>
      <c r="O15" s="215">
        <f t="shared" si="3"/>
        <v>-34454.449999999997</v>
      </c>
    </row>
    <row r="16" spans="5:15">
      <c r="E16" s="213" t="s">
        <v>321</v>
      </c>
      <c r="F16" s="213" t="s">
        <v>297</v>
      </c>
      <c r="G16" s="213" t="s">
        <v>282</v>
      </c>
      <c r="H16" s="213">
        <v>-0.36</v>
      </c>
      <c r="I16" s="213">
        <v>-0.36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CNH</v>
      </c>
      <c r="M16" s="214" t="str">
        <f t="shared" si="1"/>
        <v>EQTY.IntlUS.off</v>
      </c>
      <c r="N16" s="215">
        <f t="shared" si="2"/>
        <v>-0.36</v>
      </c>
      <c r="O16" s="215">
        <f t="shared" si="3"/>
        <v>-0.36</v>
      </c>
    </row>
    <row r="17" spans="5:15">
      <c r="E17" s="213" t="s">
        <v>321</v>
      </c>
      <c r="F17" s="213" t="s">
        <v>2123</v>
      </c>
      <c r="G17" s="213" t="s">
        <v>283</v>
      </c>
      <c r="H17" s="213">
        <v>-0.19</v>
      </c>
      <c r="I17" s="213">
        <v>-0.19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CNY</v>
      </c>
      <c r="M17" s="214" t="str">
        <f t="shared" si="1"/>
        <v>EQTY.InternacionalUS2.off</v>
      </c>
      <c r="N17" s="215">
        <f t="shared" si="2"/>
        <v>-0.19</v>
      </c>
      <c r="O17" s="215">
        <f t="shared" si="3"/>
        <v>-0.19</v>
      </c>
    </row>
    <row r="18" spans="5:15">
      <c r="E18" s="213" t="s">
        <v>321</v>
      </c>
      <c r="F18" s="213" t="s">
        <v>2123</v>
      </c>
      <c r="G18" s="213" t="s">
        <v>282</v>
      </c>
      <c r="H18" s="213">
        <v>-143145.81</v>
      </c>
      <c r="I18" s="213">
        <v>-143145.81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CNY</v>
      </c>
      <c r="M18" s="214" t="str">
        <f t="shared" si="1"/>
        <v>EQTY.IntlUS.off</v>
      </c>
      <c r="N18" s="215">
        <f t="shared" si="2"/>
        <v>-143145.81</v>
      </c>
      <c r="O18" s="215">
        <f t="shared" si="3"/>
        <v>-143145.81</v>
      </c>
    </row>
    <row r="19" spans="5:15">
      <c r="E19" s="213" t="s">
        <v>321</v>
      </c>
      <c r="F19" s="213" t="s">
        <v>298</v>
      </c>
      <c r="G19" s="213" t="s">
        <v>283</v>
      </c>
      <c r="H19" s="213">
        <v>-0.15</v>
      </c>
      <c r="I19" s="213">
        <v>-0.15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EUR</v>
      </c>
      <c r="M19" s="214" t="str">
        <f t="shared" si="1"/>
        <v>EQTY.InternacionalUS2.off</v>
      </c>
      <c r="N19" s="215">
        <f t="shared" si="2"/>
        <v>-0.15</v>
      </c>
      <c r="O19" s="215">
        <f t="shared" si="3"/>
        <v>-0.15</v>
      </c>
    </row>
    <row r="20" spans="5:15">
      <c r="E20" s="213" t="s">
        <v>321</v>
      </c>
      <c r="F20" s="213" t="s">
        <v>298</v>
      </c>
      <c r="G20" s="213" t="s">
        <v>282</v>
      </c>
      <c r="H20" s="213">
        <v>40729.67</v>
      </c>
      <c r="I20" s="213">
        <v>40729.67</v>
      </c>
      <c r="K20" s="214" t="str">
        <f t="shared" si="0"/>
        <v>Cash</v>
      </c>
      <c r="L20" s="214" t="str">
        <f>IF(E20="","",IF(COUNTIFS(Table2[[#All],[De (Lote)]],Input_APM!F20)&gt;0,INDEX(Table2[[#All],[Para (Ticker Daniel)]],MATCH(Input_APM!F20,Table2[[#All],[De (Lote)]],0)),Input_APM!F20))</f>
        <v>Cash EUR</v>
      </c>
      <c r="M20" s="214" t="str">
        <f t="shared" si="1"/>
        <v>EQTY.IntlUS.off</v>
      </c>
      <c r="N20" s="215">
        <f t="shared" si="2"/>
        <v>40729.67</v>
      </c>
      <c r="O20" s="215">
        <f t="shared" si="3"/>
        <v>40729.67</v>
      </c>
    </row>
    <row r="21" spans="5:15">
      <c r="E21" s="213" t="s">
        <v>321</v>
      </c>
      <c r="F21" s="213" t="s">
        <v>299</v>
      </c>
      <c r="G21" s="213" t="s">
        <v>282</v>
      </c>
      <c r="H21" s="213">
        <v>-0.47</v>
      </c>
      <c r="I21" s="213">
        <v>-0.47</v>
      </c>
      <c r="K21" s="214" t="str">
        <f t="shared" si="0"/>
        <v>Cash</v>
      </c>
      <c r="L21" s="214" t="str">
        <f>IF(E21="","",IF(COUNTIFS(Table2[[#All],[De (Lote)]],Input_APM!F21)&gt;0,INDEX(Table2[[#All],[Para (Ticker Daniel)]],MATCH(Input_APM!F21,Table2[[#All],[De (Lote)]],0)),Input_APM!F21))</f>
        <v>Cash GBP</v>
      </c>
      <c r="M21" s="214" t="str">
        <f t="shared" si="1"/>
        <v>EQTY.IntlUS.off</v>
      </c>
      <c r="N21" s="215">
        <f t="shared" si="2"/>
        <v>-0.47</v>
      </c>
      <c r="O21" s="215">
        <f t="shared" si="3"/>
        <v>-0.47</v>
      </c>
    </row>
    <row r="22" spans="5:15">
      <c r="E22" s="213" t="s">
        <v>321</v>
      </c>
      <c r="F22" s="213" t="s">
        <v>300</v>
      </c>
      <c r="G22" s="213" t="s">
        <v>283</v>
      </c>
      <c r="H22" s="213">
        <v>0.2</v>
      </c>
      <c r="I22" s="213">
        <v>0.2</v>
      </c>
      <c r="K22" s="214" t="str">
        <f t="shared" si="0"/>
        <v>Cash</v>
      </c>
      <c r="L22" s="214" t="str">
        <f>IF(E22="","",IF(COUNTIFS(Table2[[#All],[De (Lote)]],Input_APM!F22)&gt;0,INDEX(Table2[[#All],[Para (Ticker Daniel)]],MATCH(Input_APM!F22,Table2[[#All],[De (Lote)]],0)),Input_APM!F22))</f>
        <v>Cash HKD</v>
      </c>
      <c r="M22" s="214" t="str">
        <f t="shared" si="1"/>
        <v>EQTY.InternacionalUS2.off</v>
      </c>
      <c r="N22" s="215">
        <f t="shared" si="2"/>
        <v>0.2</v>
      </c>
      <c r="O22" s="215">
        <f t="shared" si="3"/>
        <v>0.2</v>
      </c>
    </row>
    <row r="23" spans="5:15">
      <c r="E23" s="213" t="s">
        <v>321</v>
      </c>
      <c r="F23" s="213" t="s">
        <v>300</v>
      </c>
      <c r="G23" s="213" t="s">
        <v>282</v>
      </c>
      <c r="H23" s="213">
        <v>-341409.97</v>
      </c>
      <c r="I23" s="213">
        <v>-341409.97</v>
      </c>
      <c r="K23" s="214" t="str">
        <f t="shared" si="0"/>
        <v>Cash</v>
      </c>
      <c r="L23" s="214" t="str">
        <f>IF(E23="","",IF(COUNTIFS(Table2[[#All],[De (Lote)]],Input_APM!F23)&gt;0,INDEX(Table2[[#All],[Para (Ticker Daniel)]],MATCH(Input_APM!F23,Table2[[#All],[De (Lote)]],0)),Input_APM!F23))</f>
        <v>Cash HKD</v>
      </c>
      <c r="M23" s="214" t="str">
        <f t="shared" si="1"/>
        <v>EQTY.IntlUS.off</v>
      </c>
      <c r="N23" s="215">
        <f t="shared" si="2"/>
        <v>-341409.97</v>
      </c>
      <c r="O23" s="215">
        <f t="shared" si="3"/>
        <v>-341409.97</v>
      </c>
    </row>
    <row r="24" spans="5:15">
      <c r="E24" s="213" t="s">
        <v>321</v>
      </c>
      <c r="F24" s="213" t="s">
        <v>301</v>
      </c>
      <c r="G24" s="213" t="s">
        <v>282</v>
      </c>
      <c r="H24" s="213">
        <v>1.000005E-2</v>
      </c>
      <c r="I24" s="213">
        <v>1.000005E-2</v>
      </c>
      <c r="K24" s="214" t="str">
        <f t="shared" si="0"/>
        <v>Cash</v>
      </c>
      <c r="L24" s="214" t="str">
        <f>IF(E24="","",IF(COUNTIFS(Table2[[#All],[De (Lote)]],Input_APM!F24)&gt;0,INDEX(Table2[[#All],[Para (Ticker Daniel)]],MATCH(Input_APM!F24,Table2[[#All],[De (Lote)]],0)),Input_APM!F24))</f>
        <v>Cash KRW</v>
      </c>
      <c r="M24" s="214" t="str">
        <f t="shared" si="1"/>
        <v>EQTY.IntlUS.off</v>
      </c>
      <c r="N24" s="215">
        <f t="shared" si="2"/>
        <v>1.000005E-2</v>
      </c>
      <c r="O24" s="215">
        <f t="shared" si="3"/>
        <v>1.000005E-2</v>
      </c>
    </row>
    <row r="25" spans="5:15">
      <c r="E25" s="213" t="s">
        <v>321</v>
      </c>
      <c r="F25" s="213" t="s">
        <v>302</v>
      </c>
      <c r="G25" s="213" t="s">
        <v>283</v>
      </c>
      <c r="H25" s="213">
        <v>-9.9999999974897894E-3</v>
      </c>
      <c r="I25" s="213">
        <v>0</v>
      </c>
      <c r="K25" s="214" t="str">
        <f t="shared" si="0"/>
        <v>Cash</v>
      </c>
      <c r="L25" s="214" t="str">
        <f>IF(E25="","",IF(COUNTIFS(Table2[[#All],[De (Lote)]],Input_APM!F25)&gt;0,INDEX(Table2[[#All],[Para (Ticker Daniel)]],MATCH(Input_APM!F25,Table2[[#All],[De (Lote)]],0)),Input_APM!F25))</f>
        <v>Cash USD</v>
      </c>
      <c r="M25" s="214" t="str">
        <f t="shared" si="1"/>
        <v>EQTY.InternacionalUS2.off</v>
      </c>
      <c r="N25" s="215">
        <f t="shared" si="2"/>
        <v>-9.9999999974897894E-3</v>
      </c>
      <c r="O25" s="215">
        <f t="shared" si="3"/>
        <v>0</v>
      </c>
    </row>
    <row r="26" spans="5:15">
      <c r="E26" s="213" t="s">
        <v>321</v>
      </c>
      <c r="F26" s="213" t="s">
        <v>302</v>
      </c>
      <c r="G26" s="213" t="s">
        <v>282</v>
      </c>
      <c r="H26" s="213">
        <v>-2385854.9756468502</v>
      </c>
      <c r="I26" s="213">
        <v>4.3531500000000001E-3</v>
      </c>
      <c r="K26" s="214" t="str">
        <f t="shared" si="0"/>
        <v>Cash</v>
      </c>
      <c r="L26" s="214" t="str">
        <f>IF(E26="","",IF(COUNTIFS(Table2[[#All],[De (Lote)]],Input_APM!F26)&gt;0,INDEX(Table2[[#All],[Para (Ticker Daniel)]],MATCH(Input_APM!F26,Table2[[#All],[De (Lote)]],0)),Input_APM!F26))</f>
        <v>Cash USD</v>
      </c>
      <c r="M26" s="214" t="str">
        <f t="shared" si="1"/>
        <v>EQTY.IntlUS.off</v>
      </c>
      <c r="N26" s="215">
        <f t="shared" si="2"/>
        <v>-2385854.9756468502</v>
      </c>
      <c r="O26" s="215">
        <f t="shared" si="3"/>
        <v>4.3531500000000001E-3</v>
      </c>
    </row>
    <row r="27" spans="5:15">
      <c r="E27" s="213" t="s">
        <v>477</v>
      </c>
      <c r="F27" s="213" t="s">
        <v>1906</v>
      </c>
      <c r="G27" s="213" t="s">
        <v>282</v>
      </c>
      <c r="H27" s="213">
        <v>4625000</v>
      </c>
      <c r="I27" s="213">
        <v>4625000</v>
      </c>
      <c r="K27" s="214" t="str">
        <f t="shared" si="0"/>
        <v>CDS</v>
      </c>
      <c r="L27" s="214" t="str">
        <f>IF(E27="","",IF(COUNTIFS(Table2[[#All],[De (Lote)]],Input_APM!F27)&gt;0,INDEX(Table2[[#All],[Para (Ticker Daniel)]],MATCH(Input_APM!F27,Table2[[#All],[De (Lote)]],0)),Input_APM!F27))</f>
        <v>CHINAGOV 12/20/30</v>
      </c>
      <c r="M27" s="214" t="str">
        <f t="shared" si="1"/>
        <v>EQTY.IntlUS.off</v>
      </c>
      <c r="N27" s="215">
        <f t="shared" si="2"/>
        <v>4625000</v>
      </c>
      <c r="O27" s="215">
        <f t="shared" si="3"/>
        <v>4625000</v>
      </c>
    </row>
    <row r="28" spans="5:15">
      <c r="E28" s="213" t="s">
        <v>317</v>
      </c>
      <c r="F28" s="213" t="s">
        <v>2345</v>
      </c>
      <c r="G28" s="213" t="s">
        <v>282</v>
      </c>
      <c r="H28" s="213">
        <v>28536</v>
      </c>
      <c r="I28" s="213">
        <v>28536</v>
      </c>
      <c r="K28" s="214" t="str">
        <f t="shared" si="0"/>
        <v>US Equity</v>
      </c>
      <c r="L28" s="214" t="str">
        <f>IF(E28="","",IF(COUNTIFS(Table2[[#All],[De (Lote)]],Input_APM!F28)&gt;0,INDEX(Table2[[#All],[Para (Ticker Daniel)]],MATCH(Input_APM!F28,Table2[[#All],[De (Lote)]],0)),Input_APM!F28))</f>
        <v>CSCO</v>
      </c>
      <c r="M28" s="214" t="str">
        <f t="shared" si="1"/>
        <v>EQTY.IntlUS.off</v>
      </c>
      <c r="N28" s="215">
        <f t="shared" si="2"/>
        <v>28536</v>
      </c>
      <c r="O28" s="215">
        <f t="shared" si="3"/>
        <v>28536</v>
      </c>
    </row>
    <row r="29" spans="5:15">
      <c r="E29" s="213" t="s">
        <v>320</v>
      </c>
      <c r="F29" s="213" t="s">
        <v>1754</v>
      </c>
      <c r="G29" s="213" t="s">
        <v>282</v>
      </c>
      <c r="H29" s="213">
        <v>44211</v>
      </c>
      <c r="I29" s="213">
        <v>44211</v>
      </c>
      <c r="K29" s="214" t="str">
        <f t="shared" si="0"/>
        <v>ETF</v>
      </c>
      <c r="L29" s="214" t="str">
        <f>IF(E29="","",IF(COUNTIFS(Table2[[#All],[De (Lote)]],Input_APM!F29)&gt;0,INDEX(Table2[[#All],[Para (Ticker Daniel)]],MATCH(Input_APM!F29,Table2[[#All],[De (Lote)]],0)),Input_APM!F29))</f>
        <v>EWY</v>
      </c>
      <c r="M29" s="214" t="str">
        <f t="shared" si="1"/>
        <v>EQTY.IntlUS.off</v>
      </c>
      <c r="N29" s="215">
        <f t="shared" si="2"/>
        <v>44211</v>
      </c>
      <c r="O29" s="215">
        <f t="shared" si="3"/>
        <v>44211</v>
      </c>
    </row>
    <row r="30" spans="5:15">
      <c r="E30" s="213" t="s">
        <v>320</v>
      </c>
      <c r="F30" s="213" t="s">
        <v>131</v>
      </c>
      <c r="G30" s="213" t="s">
        <v>282</v>
      </c>
      <c r="H30" s="213">
        <v>18727</v>
      </c>
      <c r="I30" s="213">
        <v>24842</v>
      </c>
      <c r="K30" s="214" t="str">
        <f t="shared" si="0"/>
        <v>ETF</v>
      </c>
      <c r="L30" s="214" t="str">
        <f>IF(E30="","",IF(COUNTIFS(Table2[[#All],[De (Lote)]],Input_APM!F30)&gt;0,INDEX(Table2[[#All],[Para (Ticker Daniel)]],MATCH(Input_APM!F30,Table2[[#All],[De (Lote)]],0)),Input_APM!F30))</f>
        <v xml:space="preserve">GDX </v>
      </c>
      <c r="M30" s="214" t="str">
        <f t="shared" si="1"/>
        <v>EQTY.IntlUS.off</v>
      </c>
      <c r="N30" s="215">
        <f t="shared" si="2"/>
        <v>18727</v>
      </c>
      <c r="O30" s="215">
        <f t="shared" si="3"/>
        <v>24842</v>
      </c>
    </row>
    <row r="31" spans="5:15">
      <c r="E31" s="213" t="s">
        <v>324</v>
      </c>
      <c r="F31" s="213" t="s">
        <v>2259</v>
      </c>
      <c r="G31" s="213" t="s">
        <v>282</v>
      </c>
      <c r="H31" s="213">
        <v>797</v>
      </c>
      <c r="I31" s="213">
        <v>1031</v>
      </c>
      <c r="K31" s="214" t="str">
        <f t="shared" si="0"/>
        <v>ETF Options</v>
      </c>
      <c r="L31" s="214" t="str">
        <f>IF(E31="","",IF(COUNTIFS(Table2[[#All],[De (Lote)]],Input_APM!F31)&gt;0,INDEX(Table2[[#All],[Para (Ticker Daniel)]],MATCH(Input_APM!F31,Table2[[#All],[De (Lote)]],0)),Input_APM!F31))</f>
        <v>GDX US 09/18/26 C105</v>
      </c>
      <c r="M31" s="214" t="str">
        <f t="shared" si="1"/>
        <v>EQTY.IntlUS.off</v>
      </c>
      <c r="N31" s="215">
        <f t="shared" si="2"/>
        <v>797</v>
      </c>
      <c r="O31" s="215">
        <f t="shared" si="3"/>
        <v>1031</v>
      </c>
    </row>
    <row r="32" spans="5:15">
      <c r="E32" s="213" t="s">
        <v>324</v>
      </c>
      <c r="F32" s="213" t="s">
        <v>2260</v>
      </c>
      <c r="G32" s="213" t="s">
        <v>282</v>
      </c>
      <c r="H32" s="213">
        <v>-797</v>
      </c>
      <c r="I32" s="213">
        <v>-1031</v>
      </c>
      <c r="K32" s="214" t="str">
        <f t="shared" si="0"/>
        <v>ETF Options</v>
      </c>
      <c r="L32" s="214" t="str">
        <f>IF(E32="","",IF(COUNTIFS(Table2[[#All],[De (Lote)]],Input_APM!F32)&gt;0,INDEX(Table2[[#All],[Para (Ticker Daniel)]],MATCH(Input_APM!F32,Table2[[#All],[De (Lote)]],0)),Input_APM!F32))</f>
        <v>GDX US 09/18/26 C115</v>
      </c>
      <c r="M32" s="214" t="str">
        <f t="shared" si="1"/>
        <v>EQTY.IntlUS.off</v>
      </c>
      <c r="N32" s="215">
        <f t="shared" si="2"/>
        <v>-797</v>
      </c>
      <c r="O32" s="215">
        <f t="shared" si="3"/>
        <v>-1031</v>
      </c>
    </row>
    <row r="33" spans="5:15">
      <c r="E33" s="213" t="s">
        <v>317</v>
      </c>
      <c r="F33" s="213" t="s">
        <v>2145</v>
      </c>
      <c r="G33" s="213" t="s">
        <v>282</v>
      </c>
      <c r="H33" s="213">
        <v>13594</v>
      </c>
      <c r="I33" s="213">
        <v>13594</v>
      </c>
      <c r="K33" s="214" t="str">
        <f t="shared" si="0"/>
        <v>US Equity</v>
      </c>
      <c r="L33" s="214" t="str">
        <f>IF(E33="","",IF(COUNTIFS(Table2[[#All],[De (Lote)]],Input_APM!F33)&gt;0,INDEX(Table2[[#All],[Para (Ticker Daniel)]],MATCH(Input_APM!F33,Table2[[#All],[De (Lote)]],0)),Input_APM!F33))</f>
        <v>GOOG</v>
      </c>
      <c r="M33" s="214" t="str">
        <f t="shared" si="1"/>
        <v>EQTY.IntlUS.off</v>
      </c>
      <c r="N33" s="215">
        <f t="shared" si="2"/>
        <v>13594</v>
      </c>
      <c r="O33" s="215">
        <f t="shared" si="3"/>
        <v>13594</v>
      </c>
    </row>
    <row r="34" spans="5:15">
      <c r="E34" s="213" t="s">
        <v>325</v>
      </c>
      <c r="F34" s="213" t="s">
        <v>1896</v>
      </c>
      <c r="G34" s="213" t="s">
        <v>282</v>
      </c>
      <c r="H34" s="213">
        <v>276451</v>
      </c>
      <c r="I34" s="213">
        <v>276451</v>
      </c>
      <c r="K34" s="214" t="str">
        <f t="shared" si="0"/>
        <v>Basket Index Options</v>
      </c>
      <c r="L34" s="214" t="str">
        <f>IF(E34="","",IF(COUNTIFS(Table2[[#All],[De (Lote)]],Input_APM!F34)&gt;0,INDEX(Table2[[#All],[Para (Ticker Daniel)]],MATCH(Input_APM!F34,Table2[[#All],[De (Lote)]],0)),Input_APM!F34))</f>
        <v>GSC1000P 03/20/26 C104</v>
      </c>
      <c r="M34" s="214" t="str">
        <f t="shared" si="1"/>
        <v>EQTY.IntlUS.off</v>
      </c>
      <c r="N34" s="215">
        <f t="shared" si="2"/>
        <v>276451</v>
      </c>
      <c r="O34" s="215">
        <f t="shared" si="3"/>
        <v>276451</v>
      </c>
    </row>
    <row r="35" spans="5:15">
      <c r="E35" s="213" t="s">
        <v>325</v>
      </c>
      <c r="F35" s="213" t="s">
        <v>1897</v>
      </c>
      <c r="G35" s="213" t="s">
        <v>282</v>
      </c>
      <c r="H35" s="213">
        <v>-276451</v>
      </c>
      <c r="I35" s="213">
        <v>-276451</v>
      </c>
      <c r="K35" s="214" t="str">
        <f t="shared" si="0"/>
        <v>Basket Index Options</v>
      </c>
      <c r="L35" s="214" t="str">
        <f>IF(E35="","",IF(COUNTIFS(Table2[[#All],[De (Lote)]],Input_APM!F35)&gt;0,INDEX(Table2[[#All],[Para (Ticker Daniel)]],MATCH(Input_APM!F35,Table2[[#All],[De (Lote)]],0)),Input_APM!F35))</f>
        <v>GSC1000P 03/20/26 C119</v>
      </c>
      <c r="M35" s="214" t="str">
        <f t="shared" si="1"/>
        <v>EQTY.IntlUS.off</v>
      </c>
      <c r="N35" s="215">
        <f t="shared" si="2"/>
        <v>-276451</v>
      </c>
      <c r="O35" s="215">
        <f t="shared" si="3"/>
        <v>-276451</v>
      </c>
    </row>
    <row r="36" spans="5:15">
      <c r="E36" s="213" t="s">
        <v>317</v>
      </c>
      <c r="F36" s="213" t="s">
        <v>1740</v>
      </c>
      <c r="G36" s="213" t="s">
        <v>282</v>
      </c>
      <c r="H36" s="213">
        <v>0</v>
      </c>
      <c r="I36" s="213">
        <v>0</v>
      </c>
      <c r="K36" s="214" t="str">
        <f t="shared" si="0"/>
        <v>US Equity</v>
      </c>
      <c r="L36" s="214" t="str">
        <f>IF(E36="","",IF(COUNTIFS(Table2[[#All],[De (Lote)]],Input_APM!F36)&gt;0,INDEX(Table2[[#All],[Para (Ticker Daniel)]],MATCH(Input_APM!F36,Table2[[#All],[De (Lote)]],0)),Input_APM!F36))</f>
        <v>HOOD</v>
      </c>
      <c r="M36" s="214" t="str">
        <f t="shared" si="1"/>
        <v>EQTY.IntlUS.off</v>
      </c>
      <c r="N36" s="215">
        <f t="shared" si="2"/>
        <v>0</v>
      </c>
      <c r="O36" s="215">
        <f t="shared" si="3"/>
        <v>0</v>
      </c>
    </row>
    <row r="37" spans="5:15">
      <c r="E37" s="213" t="s">
        <v>320</v>
      </c>
      <c r="F37" s="213" t="s">
        <v>89</v>
      </c>
      <c r="G37" s="213" t="s">
        <v>282</v>
      </c>
      <c r="H37" s="213">
        <v>-24420</v>
      </c>
      <c r="I37" s="213">
        <v>-12208</v>
      </c>
      <c r="K37" s="214" t="str">
        <f t="shared" si="0"/>
        <v>ETF</v>
      </c>
      <c r="L37" s="214" t="str">
        <f>IF(E37="","",IF(COUNTIFS(Table2[[#All],[De (Lote)]],Input_APM!F37)&gt;0,INDEX(Table2[[#All],[Para (Ticker Daniel)]],MATCH(Input_APM!F37,Table2[[#All],[De (Lote)]],0)),Input_APM!F37))</f>
        <v>IGV</v>
      </c>
      <c r="M37" s="214" t="str">
        <f t="shared" si="1"/>
        <v>EQTY.IntlUS.off</v>
      </c>
      <c r="N37" s="215">
        <f t="shared" si="2"/>
        <v>-24420</v>
      </c>
      <c r="O37" s="215">
        <f t="shared" si="3"/>
        <v>-12208</v>
      </c>
    </row>
    <row r="38" spans="5:15">
      <c r="E38" s="213" t="s">
        <v>319</v>
      </c>
      <c r="F38" s="213" t="s">
        <v>2325</v>
      </c>
      <c r="G38" s="213" t="s">
        <v>282</v>
      </c>
      <c r="H38" s="213">
        <v>260</v>
      </c>
      <c r="I38" s="213">
        <v>237</v>
      </c>
      <c r="K38" s="214" t="str">
        <f t="shared" si="0"/>
        <v>US Equity Options</v>
      </c>
      <c r="L38" s="214" t="str">
        <f>IF(E38="","",IF(COUNTIFS(Table2[[#All],[De (Lote)]],Input_APM!F38)&gt;0,INDEX(Table2[[#All],[Para (Ticker Daniel)]],MATCH(Input_APM!F38,Table2[[#All],[De (Lote)]],0)),Input_APM!F38))</f>
        <v>INTC US 07/17/26 C50</v>
      </c>
      <c r="M38" s="214" t="str">
        <f t="shared" si="1"/>
        <v>EQTY.IntlUS.off</v>
      </c>
      <c r="N38" s="215">
        <f t="shared" si="2"/>
        <v>260</v>
      </c>
      <c r="O38" s="215">
        <f t="shared" si="3"/>
        <v>237</v>
      </c>
    </row>
    <row r="39" spans="5:15">
      <c r="E39" s="213" t="s">
        <v>319</v>
      </c>
      <c r="F39" s="213" t="s">
        <v>2326</v>
      </c>
      <c r="G39" s="213" t="s">
        <v>282</v>
      </c>
      <c r="H39" s="213">
        <v>-141</v>
      </c>
      <c r="I39" s="213">
        <v>-141</v>
      </c>
      <c r="K39" s="214" t="str">
        <f t="shared" si="0"/>
        <v>US Equity Options</v>
      </c>
      <c r="L39" s="214" t="str">
        <f>IF(E39="","",IF(COUNTIFS(Table2[[#All],[De (Lote)]],Input_APM!F39)&gt;0,INDEX(Table2[[#All],[Para (Ticker Daniel)]],MATCH(Input_APM!F39,Table2[[#All],[De (Lote)]],0)),Input_APM!F39))</f>
        <v>INTC US 07/17/26 C60</v>
      </c>
      <c r="M39" s="214" t="str">
        <f t="shared" si="1"/>
        <v>EQTY.IntlUS.off</v>
      </c>
      <c r="N39" s="215">
        <f t="shared" si="2"/>
        <v>-141</v>
      </c>
      <c r="O39" s="215">
        <f t="shared" si="3"/>
        <v>-141</v>
      </c>
    </row>
    <row r="40" spans="5:15">
      <c r="E40" s="213" t="s">
        <v>319</v>
      </c>
      <c r="F40" s="213" t="s">
        <v>2324</v>
      </c>
      <c r="G40" s="213" t="s">
        <v>282</v>
      </c>
      <c r="H40" s="213">
        <v>-141</v>
      </c>
      <c r="I40" s="213">
        <v>-141</v>
      </c>
      <c r="K40" s="214" t="str">
        <f t="shared" si="0"/>
        <v>US Equity Options</v>
      </c>
      <c r="L40" s="214" t="str">
        <f>IF(E40="","",IF(COUNTIFS(Table2[[#All],[De (Lote)]],Input_APM!F40)&gt;0,INDEX(Table2[[#All],[Para (Ticker Daniel)]],MATCH(Input_APM!F40,Table2[[#All],[De (Lote)]],0)),Input_APM!F40))</f>
        <v>INTC US 07/17/26 P40</v>
      </c>
      <c r="M40" s="214" t="str">
        <f t="shared" si="1"/>
        <v>EQTY.IntlUS.off</v>
      </c>
      <c r="N40" s="215">
        <f t="shared" si="2"/>
        <v>-141</v>
      </c>
      <c r="O40" s="215">
        <f t="shared" si="3"/>
        <v>-141</v>
      </c>
    </row>
    <row r="41" spans="5:15">
      <c r="E41" s="213" t="s">
        <v>317</v>
      </c>
      <c r="F41" s="213" t="s">
        <v>2261</v>
      </c>
      <c r="G41" s="213" t="s">
        <v>282</v>
      </c>
      <c r="H41" s="213">
        <v>-10782</v>
      </c>
      <c r="I41" s="213">
        <v>-10782</v>
      </c>
      <c r="K41" s="214" t="str">
        <f t="shared" si="0"/>
        <v>US Equity</v>
      </c>
      <c r="L41" s="214" t="str">
        <f>IF(E41="","",IF(COUNTIFS(Table2[[#All],[De (Lote)]],Input_APM!F41)&gt;0,INDEX(Table2[[#All],[Para (Ticker Daniel)]],MATCH(Input_APM!F41,Table2[[#All],[De (Lote)]],0)),Input_APM!F41))</f>
        <v>KHC</v>
      </c>
      <c r="M41" s="214" t="str">
        <f t="shared" si="1"/>
        <v>EQTY.IntlUS.off</v>
      </c>
      <c r="N41" s="215">
        <f t="shared" si="2"/>
        <v>-10782</v>
      </c>
      <c r="O41" s="215">
        <f t="shared" si="3"/>
        <v>-10782</v>
      </c>
    </row>
    <row r="42" spans="5:15">
      <c r="E42" s="213" t="s">
        <v>2322</v>
      </c>
      <c r="F42" s="213" t="s">
        <v>2299</v>
      </c>
      <c r="G42" s="213" t="s">
        <v>282</v>
      </c>
      <c r="H42" s="213">
        <v>10349446</v>
      </c>
      <c r="I42" s="213">
        <v>10349446</v>
      </c>
      <c r="K42" s="214" t="str">
        <f t="shared" si="0"/>
        <v>KOSPI 200 Index Options - KRX</v>
      </c>
      <c r="L42" s="214" t="str">
        <f>IF(E42="","",IF(COUNTIFS(Table2[[#All],[De (Lote)]],Input_APM!F42)&gt;0,INDEX(Table2[[#All],[Para (Ticker Daniel)]],MATCH(Input_APM!F42,Table2[[#All],[De (Lote)]],0)),Input_APM!F42))</f>
        <v>KOSPI2 12/10/26 C1000</v>
      </c>
      <c r="M42" s="214" t="str">
        <f t="shared" si="1"/>
        <v>EQTY.IntlUS.off</v>
      </c>
      <c r="N42" s="215">
        <f t="shared" si="2"/>
        <v>10349446</v>
      </c>
      <c r="O42" s="215">
        <f t="shared" si="3"/>
        <v>10349446</v>
      </c>
    </row>
    <row r="43" spans="5:15">
      <c r="E43" s="213" t="s">
        <v>317</v>
      </c>
      <c r="F43" s="213" t="s">
        <v>2063</v>
      </c>
      <c r="G43" s="213" t="s">
        <v>282</v>
      </c>
      <c r="H43" s="213">
        <v>841</v>
      </c>
      <c r="I43" s="213">
        <v>841</v>
      </c>
      <c r="K43" s="214" t="str">
        <f t="shared" si="0"/>
        <v>US Equity</v>
      </c>
      <c r="L43" s="214" t="str">
        <f>IF(E43="","",IF(COUNTIFS(Table2[[#All],[De (Lote)]],Input_APM!F43)&gt;0,INDEX(Table2[[#All],[Para (Ticker Daniel)]],MATCH(Input_APM!F43,Table2[[#All],[De (Lote)]],0)),Input_APM!F43))</f>
        <v>LITE</v>
      </c>
      <c r="M43" s="214" t="str">
        <f t="shared" si="1"/>
        <v>EQTY.IntlUS.off</v>
      </c>
      <c r="N43" s="215">
        <f t="shared" si="2"/>
        <v>841</v>
      </c>
      <c r="O43" s="215">
        <f t="shared" si="3"/>
        <v>841</v>
      </c>
    </row>
    <row r="44" spans="5:15">
      <c r="E44" s="213" t="s">
        <v>319</v>
      </c>
      <c r="F44" s="213" t="s">
        <v>2283</v>
      </c>
      <c r="G44" s="213" t="s">
        <v>282</v>
      </c>
      <c r="H44" s="213">
        <v>56</v>
      </c>
      <c r="I44" s="213">
        <v>56</v>
      </c>
      <c r="K44" s="214" t="str">
        <f t="shared" si="0"/>
        <v>US Equity Options</v>
      </c>
      <c r="L44" s="214" t="str">
        <f>IF(E44="","",IF(COUNTIFS(Table2[[#All],[De (Lote)]],Input_APM!F44)&gt;0,INDEX(Table2[[#All],[Para (Ticker Daniel)]],MATCH(Input_APM!F44,Table2[[#All],[De (Lote)]],0)),Input_APM!F44))</f>
        <v>LITE US 03/20/26 C420</v>
      </c>
      <c r="M44" s="214" t="str">
        <f t="shared" si="1"/>
        <v>EQTY.IntlUS.off</v>
      </c>
      <c r="N44" s="215">
        <f t="shared" si="2"/>
        <v>56</v>
      </c>
      <c r="O44" s="215">
        <f t="shared" si="3"/>
        <v>56</v>
      </c>
    </row>
    <row r="45" spans="5:15">
      <c r="E45" s="213" t="s">
        <v>464</v>
      </c>
      <c r="F45" s="213" t="s">
        <v>2404</v>
      </c>
      <c r="G45" s="213" t="s">
        <v>282</v>
      </c>
      <c r="H45" s="213">
        <v>-9372000</v>
      </c>
      <c r="I45" s="213">
        <v>-9372000</v>
      </c>
      <c r="K45" s="214" t="str">
        <f t="shared" si="0"/>
        <v>Global Bonds</v>
      </c>
      <c r="L45" s="214" t="str">
        <f>IF(E45="","",IF(COUNTIFS(Table2[[#All],[De (Lote)]],Input_APM!F45)&gt;0,INDEX(Table2[[#All],[Para (Ticker Daniel)]],MATCH(Input_APM!F45,Table2[[#All],[De (Lote)]],0)),Input_APM!F45))</f>
        <v>META 4.875% 11/15/35</v>
      </c>
      <c r="M45" s="214" t="str">
        <f t="shared" si="1"/>
        <v>EQTY.IntlUS.off</v>
      </c>
      <c r="N45" s="215">
        <f t="shared" si="2"/>
        <v>-9372000</v>
      </c>
      <c r="O45" s="215">
        <f t="shared" si="3"/>
        <v>-9372000</v>
      </c>
    </row>
    <row r="46" spans="5:15">
      <c r="E46" s="213" t="s">
        <v>317</v>
      </c>
      <c r="F46" s="213" t="s">
        <v>326</v>
      </c>
      <c r="G46" s="213" t="s">
        <v>282</v>
      </c>
      <c r="H46" s="213">
        <v>5403</v>
      </c>
      <c r="I46" s="213">
        <v>3759</v>
      </c>
      <c r="K46" s="214" t="str">
        <f t="shared" si="0"/>
        <v>US Equity</v>
      </c>
      <c r="L46" s="214" t="str">
        <f>IF(E46="","",IF(COUNTIFS(Table2[[#All],[De (Lote)]],Input_APM!F46)&gt;0,INDEX(Table2[[#All],[Para (Ticker Daniel)]],MATCH(Input_APM!F46,Table2[[#All],[De (Lote)]],0)),Input_APM!F46))</f>
        <v>META</v>
      </c>
      <c r="M46" s="214" t="str">
        <f t="shared" si="1"/>
        <v>EQTY.IntlUS.off</v>
      </c>
      <c r="N46" s="215">
        <f t="shared" si="2"/>
        <v>5403</v>
      </c>
      <c r="O46" s="215">
        <f t="shared" si="3"/>
        <v>3759</v>
      </c>
    </row>
    <row r="47" spans="5:15">
      <c r="E47" s="213" t="s">
        <v>319</v>
      </c>
      <c r="F47" s="213" t="s">
        <v>2068</v>
      </c>
      <c r="G47" s="213" t="s">
        <v>282</v>
      </c>
      <c r="H47" s="213">
        <v>0</v>
      </c>
      <c r="I47" s="213">
        <v>57</v>
      </c>
      <c r="K47" s="214" t="str">
        <f t="shared" si="0"/>
        <v>US Equity Options</v>
      </c>
      <c r="L47" s="214" t="str">
        <f>IF(E47="","",IF(COUNTIFS(Table2[[#All],[De (Lote)]],Input_APM!F47)&gt;0,INDEX(Table2[[#All],[Para (Ticker Daniel)]],MATCH(Input_APM!F47,Table2[[#All],[De (Lote)]],0)),Input_APM!F47))</f>
        <v>META US 04/17/26 C690</v>
      </c>
      <c r="M47" s="214" t="str">
        <f t="shared" si="1"/>
        <v>EQTY.IntlUS.off</v>
      </c>
      <c r="N47" s="215">
        <f t="shared" si="2"/>
        <v>0</v>
      </c>
      <c r="O47" s="215">
        <f t="shared" si="3"/>
        <v>57</v>
      </c>
    </row>
    <row r="48" spans="5:15">
      <c r="E48" s="213" t="s">
        <v>319</v>
      </c>
      <c r="F48" s="213" t="s">
        <v>2402</v>
      </c>
      <c r="G48" s="213" t="s">
        <v>282</v>
      </c>
      <c r="H48" s="213">
        <v>70</v>
      </c>
      <c r="I48" s="213">
        <v>70</v>
      </c>
      <c r="K48" s="214" t="str">
        <f t="shared" si="0"/>
        <v>US Equity Options</v>
      </c>
      <c r="L48" s="214" t="str">
        <f>IF(E48="","",IF(COUNTIFS(Table2[[#All],[De (Lote)]],Input_APM!F48)&gt;0,INDEX(Table2[[#All],[Para (Ticker Daniel)]],MATCH(Input_APM!F48,Table2[[#All],[De (Lote)]],0)),Input_APM!F48))</f>
        <v>META US 07/17/26 C700</v>
      </c>
      <c r="M48" s="214" t="str">
        <f t="shared" si="1"/>
        <v>EQTY.IntlUS.off</v>
      </c>
      <c r="N48" s="215">
        <f t="shared" si="2"/>
        <v>70</v>
      </c>
      <c r="O48" s="215">
        <f t="shared" si="3"/>
        <v>70</v>
      </c>
    </row>
    <row r="49" spans="5:15">
      <c r="E49" s="213" t="s">
        <v>319</v>
      </c>
      <c r="F49" s="213" t="s">
        <v>2456</v>
      </c>
      <c r="G49" s="213" t="s">
        <v>282</v>
      </c>
      <c r="H49" s="213">
        <v>58</v>
      </c>
      <c r="I49" s="213">
        <v>0</v>
      </c>
      <c r="K49" s="214" t="str">
        <f t="shared" si="0"/>
        <v>US Equity Options</v>
      </c>
      <c r="L49" s="214" t="str">
        <f>IF(E49="","",IF(COUNTIFS(Table2[[#All],[De (Lote)]],Input_APM!F49)&gt;0,INDEX(Table2[[#All],[Para (Ticker Daniel)]],MATCH(Input_APM!F49,Table2[[#All],[De (Lote)]],0)),Input_APM!F49))</f>
        <v>META US 07/17/26 C750</v>
      </c>
      <c r="M49" s="214" t="str">
        <f t="shared" si="1"/>
        <v>EQTY.IntlUS.off</v>
      </c>
      <c r="N49" s="215">
        <f t="shared" si="2"/>
        <v>58</v>
      </c>
      <c r="O49" s="215">
        <f t="shared" si="3"/>
        <v>0</v>
      </c>
    </row>
    <row r="50" spans="5:15">
      <c r="E50" s="213" t="s">
        <v>317</v>
      </c>
      <c r="F50" s="213" t="s">
        <v>138</v>
      </c>
      <c r="G50" s="213" t="s">
        <v>282</v>
      </c>
      <c r="H50" s="213">
        <v>2771</v>
      </c>
      <c r="I50" s="213">
        <v>2771</v>
      </c>
      <c r="K50" s="214" t="str">
        <f t="shared" si="0"/>
        <v>US Equity</v>
      </c>
      <c r="L50" s="214" t="str">
        <f>IF(E50="","",IF(COUNTIFS(Table2[[#All],[De (Lote)]],Input_APM!F50)&gt;0,INDEX(Table2[[#All],[Para (Ticker Daniel)]],MATCH(Input_APM!F50,Table2[[#All],[De (Lote)]],0)),Input_APM!F50))</f>
        <v>MRVL</v>
      </c>
      <c r="M50" s="214" t="str">
        <f t="shared" si="1"/>
        <v>EQTY.IntlUS.off</v>
      </c>
      <c r="N50" s="215">
        <f t="shared" si="2"/>
        <v>2771</v>
      </c>
      <c r="O50" s="215">
        <f t="shared" si="3"/>
        <v>2771</v>
      </c>
    </row>
    <row r="51" spans="5:15">
      <c r="E51" s="213" t="s">
        <v>319</v>
      </c>
      <c r="F51" s="213" t="s">
        <v>2271</v>
      </c>
      <c r="G51" s="213" t="s">
        <v>282</v>
      </c>
      <c r="H51" s="213">
        <v>-141</v>
      </c>
      <c r="I51" s="213">
        <v>-141</v>
      </c>
      <c r="K51" s="214" t="str">
        <f t="shared" si="0"/>
        <v>US Equity Options</v>
      </c>
      <c r="L51" s="214" t="str">
        <f>IF(E51="","",IF(COUNTIFS(Table2[[#All],[De (Lote)]],Input_APM!F51)&gt;0,INDEX(Table2[[#All],[Para (Ticker Daniel)]],MATCH(Input_APM!F51,Table2[[#All],[De (Lote)]],0)),Input_APM!F51))</f>
        <v>MRVL US 03/20/26 P70</v>
      </c>
      <c r="M51" s="214" t="str">
        <f t="shared" si="1"/>
        <v>EQTY.IntlUS.off</v>
      </c>
      <c r="N51" s="215">
        <f t="shared" si="2"/>
        <v>-141</v>
      </c>
      <c r="O51" s="215">
        <f t="shared" si="3"/>
        <v>-141</v>
      </c>
    </row>
    <row r="52" spans="5:15">
      <c r="E52" s="213" t="s">
        <v>319</v>
      </c>
      <c r="F52" s="213" t="s">
        <v>2095</v>
      </c>
      <c r="G52" s="213" t="s">
        <v>282</v>
      </c>
      <c r="H52" s="213">
        <v>-188</v>
      </c>
      <c r="I52" s="213">
        <v>-188</v>
      </c>
      <c r="K52" s="214" t="str">
        <f t="shared" si="0"/>
        <v>US Equity Options</v>
      </c>
      <c r="L52" s="214" t="str">
        <f>IF(E52="","",IF(COUNTIFS(Table2[[#All],[De (Lote)]],Input_APM!F52)&gt;0,INDEX(Table2[[#All],[Para (Ticker Daniel)]],MATCH(Input_APM!F52,Table2[[#All],[De (Lote)]],0)),Input_APM!F52))</f>
        <v>MRVL US 03/20/26 P75</v>
      </c>
      <c r="M52" s="214" t="str">
        <f t="shared" si="1"/>
        <v>EQTY.IntlUS.off</v>
      </c>
      <c r="N52" s="215">
        <f t="shared" si="2"/>
        <v>-188</v>
      </c>
      <c r="O52" s="215">
        <f t="shared" si="3"/>
        <v>-188</v>
      </c>
    </row>
    <row r="53" spans="5:15">
      <c r="E53" s="213" t="s">
        <v>319</v>
      </c>
      <c r="F53" s="213" t="s">
        <v>2058</v>
      </c>
      <c r="G53" s="213" t="s">
        <v>282</v>
      </c>
      <c r="H53" s="213">
        <v>141</v>
      </c>
      <c r="I53" s="213">
        <v>141</v>
      </c>
      <c r="K53" s="214" t="str">
        <f t="shared" si="0"/>
        <v>US Equity Options</v>
      </c>
      <c r="L53" s="214" t="str">
        <f>IF(E53="","",IF(COUNTIFS(Table2[[#All],[De (Lote)]],Input_APM!F53)&gt;0,INDEX(Table2[[#All],[Para (Ticker Daniel)]],MATCH(Input_APM!F53,Table2[[#All],[De (Lote)]],0)),Input_APM!F53))</f>
        <v>MRVL US 03/20/26 P80</v>
      </c>
      <c r="M53" s="214" t="str">
        <f t="shared" si="1"/>
        <v>EQTY.IntlUS.off</v>
      </c>
      <c r="N53" s="215">
        <f t="shared" si="2"/>
        <v>141</v>
      </c>
      <c r="O53" s="215">
        <f t="shared" si="3"/>
        <v>141</v>
      </c>
    </row>
    <row r="54" spans="5:15">
      <c r="E54" s="213" t="s">
        <v>319</v>
      </c>
      <c r="F54" s="213" t="s">
        <v>2094</v>
      </c>
      <c r="G54" s="213" t="s">
        <v>282</v>
      </c>
      <c r="H54" s="213">
        <v>186</v>
      </c>
      <c r="I54" s="213">
        <v>186</v>
      </c>
      <c r="K54" s="214" t="str">
        <f t="shared" si="0"/>
        <v>US Equity Options</v>
      </c>
      <c r="L54" s="214" t="str">
        <f>IF(E54="","",IF(COUNTIFS(Table2[[#All],[De (Lote)]],Input_APM!F54)&gt;0,INDEX(Table2[[#All],[Para (Ticker Daniel)]],MATCH(Input_APM!F54,Table2[[#All],[De (Lote)]],0)),Input_APM!F54))</f>
        <v>MRVL US 03/20/26 P85</v>
      </c>
      <c r="M54" s="214" t="str">
        <f t="shared" si="1"/>
        <v>EQTY.IntlUS.off</v>
      </c>
      <c r="N54" s="215">
        <f t="shared" si="2"/>
        <v>186</v>
      </c>
      <c r="O54" s="215">
        <f t="shared" si="3"/>
        <v>186</v>
      </c>
    </row>
    <row r="55" spans="5:15">
      <c r="E55" s="213" t="s">
        <v>317</v>
      </c>
      <c r="F55" s="213" t="s">
        <v>90</v>
      </c>
      <c r="G55" s="213" t="s">
        <v>282</v>
      </c>
      <c r="H55" s="213">
        <v>3910</v>
      </c>
      <c r="I55" s="213">
        <v>3910</v>
      </c>
      <c r="K55" s="214" t="str">
        <f t="shared" si="0"/>
        <v>US Equity</v>
      </c>
      <c r="L55" s="214" t="str">
        <f>IF(E55="","",IF(COUNTIFS(Table2[[#All],[De (Lote)]],Input_APM!F55)&gt;0,INDEX(Table2[[#All],[Para (Ticker Daniel)]],MATCH(Input_APM!F55,Table2[[#All],[De (Lote)]],0)),Input_APM!F55))</f>
        <v>MSFT</v>
      </c>
      <c r="M55" s="214" t="str">
        <f t="shared" si="1"/>
        <v>EQTY.IntlUS.off</v>
      </c>
      <c r="N55" s="215">
        <f t="shared" si="2"/>
        <v>3910</v>
      </c>
      <c r="O55" s="215">
        <f t="shared" si="3"/>
        <v>3910</v>
      </c>
    </row>
    <row r="56" spans="5:15">
      <c r="E56" s="213" t="s">
        <v>2465</v>
      </c>
      <c r="F56" s="213" t="s">
        <v>2466</v>
      </c>
      <c r="G56" s="213" t="s">
        <v>282</v>
      </c>
      <c r="H56" s="213">
        <v>-44</v>
      </c>
      <c r="I56" s="213">
        <v>0</v>
      </c>
      <c r="K56" s="214" t="str">
        <f t="shared" si="0"/>
        <v>NASDAQ-100 E-mini Futures - CME</v>
      </c>
      <c r="L56" s="214" t="str">
        <f>IF(E56="","",IF(COUNTIFS(Table2[[#All],[De (Lote)]],Input_APM!F56)&gt;0,INDEX(Table2[[#All],[Para (Ticker Daniel)]],MATCH(Input_APM!F56,Table2[[#All],[De (Lote)]],0)),Input_APM!F56))</f>
        <v>NQH6</v>
      </c>
      <c r="M56" s="214" t="str">
        <f t="shared" si="1"/>
        <v>EQTY.IntlUS.off</v>
      </c>
      <c r="N56" s="215">
        <f t="shared" si="2"/>
        <v>-44</v>
      </c>
      <c r="O56" s="215">
        <f t="shared" si="3"/>
        <v>0</v>
      </c>
    </row>
    <row r="57" spans="5:15">
      <c r="E57" s="213" t="s">
        <v>317</v>
      </c>
      <c r="F57" s="213" t="s">
        <v>94</v>
      </c>
      <c r="G57" s="213" t="s">
        <v>282</v>
      </c>
      <c r="H57" s="213">
        <v>18703</v>
      </c>
      <c r="I57" s="213">
        <v>18703</v>
      </c>
      <c r="K57" s="214" t="str">
        <f t="shared" si="0"/>
        <v>US Equity</v>
      </c>
      <c r="L57" s="214" t="str">
        <f>IF(E57="","",IF(COUNTIFS(Table2[[#All],[De (Lote)]],Input_APM!F57)&gt;0,INDEX(Table2[[#All],[Para (Ticker Daniel)]],MATCH(Input_APM!F57,Table2[[#All],[De (Lote)]],0)),Input_APM!F57))</f>
        <v>NVDA</v>
      </c>
      <c r="M57" s="214" t="str">
        <f t="shared" si="1"/>
        <v>EQTY.IntlUS.off</v>
      </c>
      <c r="N57" s="215">
        <f t="shared" si="2"/>
        <v>18703</v>
      </c>
      <c r="O57" s="215">
        <f t="shared" si="3"/>
        <v>18703</v>
      </c>
    </row>
    <row r="58" spans="5:15">
      <c r="E58" s="213" t="s">
        <v>319</v>
      </c>
      <c r="F58" s="213" t="s">
        <v>2388</v>
      </c>
      <c r="G58" s="213" t="s">
        <v>282</v>
      </c>
      <c r="H58" s="213">
        <v>142</v>
      </c>
      <c r="I58" s="213">
        <v>142</v>
      </c>
      <c r="K58" s="214" t="str">
        <f t="shared" si="0"/>
        <v>US Equity Options</v>
      </c>
      <c r="L58" s="214" t="str">
        <f>IF(E58="","",IF(COUNTIFS(Table2[[#All],[De (Lote)]],Input_APM!F58)&gt;0,INDEX(Table2[[#All],[Para (Ticker Daniel)]],MATCH(Input_APM!F58,Table2[[#All],[De (Lote)]],0)),Input_APM!F58))</f>
        <v>NVDA US 05/15/26 C200</v>
      </c>
      <c r="M58" s="214" t="str">
        <f t="shared" si="1"/>
        <v>EQTY.IntlUS.off</v>
      </c>
      <c r="N58" s="215">
        <f t="shared" si="2"/>
        <v>142</v>
      </c>
      <c r="O58" s="215">
        <f t="shared" si="3"/>
        <v>142</v>
      </c>
    </row>
    <row r="59" spans="5:15">
      <c r="E59" s="213" t="s">
        <v>318</v>
      </c>
      <c r="F59" s="213" t="s">
        <v>2405</v>
      </c>
      <c r="G59" s="213" t="s">
        <v>282</v>
      </c>
      <c r="H59" s="213">
        <v>0</v>
      </c>
      <c r="I59" s="213">
        <v>15393.26</v>
      </c>
      <c r="K59" s="214" t="str">
        <f t="shared" si="0"/>
        <v>Provisions and Costs</v>
      </c>
      <c r="L59" s="214" t="str">
        <f>IF(E59="","",IF(COUNTIFS(Table2[[#All],[De (Lote)]],Input_APM!F59)&gt;0,INDEX(Table2[[#All],[Para (Ticker Daniel)]],MATCH(Input_APM!F59,Table2[[#All],[De (Lote)]],0)),Input_APM!F59))</f>
        <v>Provision Equity Total Return Swap USD_</v>
      </c>
      <c r="M59" s="214" t="str">
        <f t="shared" si="1"/>
        <v>EQTY.IntlUS.off</v>
      </c>
      <c r="N59" s="215">
        <f t="shared" si="2"/>
        <v>0</v>
      </c>
      <c r="O59" s="215">
        <f t="shared" si="3"/>
        <v>15393.26</v>
      </c>
    </row>
    <row r="60" spans="5:15">
      <c r="E60" s="213" t="s">
        <v>318</v>
      </c>
      <c r="F60" s="213" t="s">
        <v>336</v>
      </c>
      <c r="G60" s="213" t="s">
        <v>282</v>
      </c>
      <c r="H60" s="213">
        <v>0</v>
      </c>
      <c r="I60" s="213">
        <v>-57669</v>
      </c>
      <c r="K60" s="214" t="str">
        <f t="shared" si="0"/>
        <v>Provisions and Costs</v>
      </c>
      <c r="L60" s="214" t="str">
        <f>IF(E60="","",IF(COUNTIFS(Table2[[#All],[De (Lote)]],Input_APM!F60)&gt;0,INDEX(Table2[[#All],[Para (Ticker Daniel)]],MATCH(Input_APM!F60,Table2[[#All],[De (Lote)]],0)),Input_APM!F60))</f>
        <v>Provision ETF Options USD_</v>
      </c>
      <c r="M60" s="214" t="str">
        <f t="shared" si="1"/>
        <v>EQTY.IntlUS.off</v>
      </c>
      <c r="N60" s="215">
        <f t="shared" si="2"/>
        <v>0</v>
      </c>
      <c r="O60" s="215">
        <f t="shared" si="3"/>
        <v>-57669</v>
      </c>
    </row>
    <row r="61" spans="5:15">
      <c r="E61" s="213" t="s">
        <v>318</v>
      </c>
      <c r="F61" s="213" t="s">
        <v>306</v>
      </c>
      <c r="G61" s="213" t="s">
        <v>282</v>
      </c>
      <c r="H61" s="213">
        <v>0</v>
      </c>
      <c r="I61" s="213">
        <v>2410529.11</v>
      </c>
      <c r="K61" s="214" t="str">
        <f t="shared" si="0"/>
        <v>Provisions and Costs</v>
      </c>
      <c r="L61" s="214" t="str">
        <f>IF(E61="","",IF(COUNTIFS(Table2[[#All],[De (Lote)]],Input_APM!F61)&gt;0,INDEX(Table2[[#All],[Para (Ticker Daniel)]],MATCH(Input_APM!F61,Table2[[#All],[De (Lote)]],0)),Input_APM!F61))</f>
        <v>Provision ETF USD_</v>
      </c>
      <c r="M61" s="214" t="str">
        <f t="shared" si="1"/>
        <v>EQTY.IntlUS.off</v>
      </c>
      <c r="N61" s="215">
        <f t="shared" si="2"/>
        <v>0</v>
      </c>
      <c r="O61" s="215">
        <f t="shared" si="3"/>
        <v>2410529.11</v>
      </c>
    </row>
    <row r="62" spans="5:15">
      <c r="E62" s="213" t="s">
        <v>318</v>
      </c>
      <c r="F62" s="213" t="s">
        <v>1666</v>
      </c>
      <c r="G62" s="213" t="s">
        <v>282</v>
      </c>
      <c r="H62" s="213">
        <v>0</v>
      </c>
      <c r="I62" s="213">
        <v>-808628.03</v>
      </c>
      <c r="K62" s="214" t="str">
        <f t="shared" si="0"/>
        <v>Provisions and Costs</v>
      </c>
      <c r="L62" s="214" t="str">
        <f>IF(E62="","",IF(COUNTIFS(Table2[[#All],[De (Lote)]],Input_APM!F62)&gt;0,INDEX(Table2[[#All],[Para (Ticker Daniel)]],MATCH(Input_APM!F62,Table2[[#All],[De (Lote)]],0)),Input_APM!F62))</f>
        <v>Provision NYSE USD_</v>
      </c>
      <c r="M62" s="214" t="str">
        <f t="shared" si="1"/>
        <v>EQTY.IntlUS.off</v>
      </c>
      <c r="N62" s="215">
        <f t="shared" si="2"/>
        <v>0</v>
      </c>
      <c r="O62" s="215">
        <f t="shared" si="3"/>
        <v>-808628.03</v>
      </c>
    </row>
    <row r="63" spans="5:15">
      <c r="E63" s="213" t="s">
        <v>318</v>
      </c>
      <c r="F63" s="213" t="s">
        <v>337</v>
      </c>
      <c r="G63" s="213" t="s">
        <v>282</v>
      </c>
      <c r="H63" s="213">
        <v>0</v>
      </c>
      <c r="I63" s="213">
        <v>169366</v>
      </c>
      <c r="K63" s="214" t="str">
        <f t="shared" si="0"/>
        <v>Provisions and Costs</v>
      </c>
      <c r="L63" s="214" t="str">
        <f>IF(E63="","",IF(COUNTIFS(Table2[[#All],[De (Lote)]],Input_APM!F63)&gt;0,INDEX(Table2[[#All],[Para (Ticker Daniel)]],MATCH(Input_APM!F63,Table2[[#All],[De (Lote)]],0)),Input_APM!F63))</f>
        <v>Provision US Equity Options USD_</v>
      </c>
      <c r="M63" s="214" t="str">
        <f t="shared" si="1"/>
        <v>EQTY.IntlUS.off</v>
      </c>
      <c r="N63" s="215">
        <f t="shared" si="2"/>
        <v>0</v>
      </c>
      <c r="O63" s="215">
        <f t="shared" si="3"/>
        <v>169366</v>
      </c>
    </row>
    <row r="64" spans="5:15">
      <c r="E64" s="213" t="s">
        <v>318</v>
      </c>
      <c r="F64" s="213" t="s">
        <v>307</v>
      </c>
      <c r="G64" s="213" t="s">
        <v>282</v>
      </c>
      <c r="H64" s="225">
        <v>9.3132257461547893E-10</v>
      </c>
      <c r="I64" s="213">
        <v>-4114846.33</v>
      </c>
      <c r="K64" s="214" t="str">
        <f t="shared" si="0"/>
        <v>Provisions and Costs</v>
      </c>
      <c r="L64" s="214" t="str">
        <f>IF(E64="","",IF(COUNTIFS(Table2[[#All],[De (Lote)]],Input_APM!F64)&gt;0,INDEX(Table2[[#All],[Para (Ticker Daniel)]],MATCH(Input_APM!F64,Table2[[#All],[De (Lote)]],0)),Input_APM!F64))</f>
        <v>Provision US Equity USD_</v>
      </c>
      <c r="M64" s="214" t="str">
        <f t="shared" si="1"/>
        <v>EQTY.IntlUS.off</v>
      </c>
      <c r="N64" s="215">
        <f t="shared" si="2"/>
        <v>9.3132257461547893E-10</v>
      </c>
      <c r="O64" s="215">
        <f t="shared" si="3"/>
        <v>-4114846.33</v>
      </c>
    </row>
    <row r="65" spans="5:15">
      <c r="E65" s="213" t="s">
        <v>320</v>
      </c>
      <c r="F65" s="213" t="s">
        <v>135</v>
      </c>
      <c r="G65" s="213" t="s">
        <v>282</v>
      </c>
      <c r="H65" s="213">
        <v>0</v>
      </c>
      <c r="I65" s="213">
        <v>0</v>
      </c>
      <c r="K65" s="214" t="str">
        <f t="shared" si="0"/>
        <v>ETF</v>
      </c>
      <c r="L65" s="214" t="str">
        <f>IF(E65="","",IF(COUNTIFS(Table2[[#All],[De (Lote)]],Input_APM!F65)&gt;0,INDEX(Table2[[#All],[Para (Ticker Daniel)]],MATCH(Input_APM!F65,Table2[[#All],[De (Lote)]],0)),Input_APM!F65))</f>
        <v>QQQ</v>
      </c>
      <c r="M65" s="214" t="str">
        <f t="shared" si="1"/>
        <v>EQTY.IntlUS.off</v>
      </c>
      <c r="N65" s="215">
        <f t="shared" si="2"/>
        <v>0</v>
      </c>
      <c r="O65" s="215">
        <f t="shared" si="3"/>
        <v>0</v>
      </c>
    </row>
    <row r="66" spans="5:15">
      <c r="E66" s="213" t="s">
        <v>324</v>
      </c>
      <c r="F66" s="213" t="s">
        <v>2459</v>
      </c>
      <c r="G66" s="213" t="s">
        <v>282</v>
      </c>
      <c r="H66" s="213">
        <v>-939</v>
      </c>
      <c r="I66" s="213">
        <v>0</v>
      </c>
      <c r="K66" s="214" t="str">
        <f t="shared" si="0"/>
        <v>ETF Options</v>
      </c>
      <c r="L66" s="214" t="str">
        <f>IF(E66="","",IF(COUNTIFS(Table2[[#All],[De (Lote)]],Input_APM!F66)&gt;0,INDEX(Table2[[#All],[Para (Ticker Daniel)]],MATCH(Input_APM!F66,Table2[[#All],[De (Lote)]],0)),Input_APM!F66))</f>
        <v>QQQ US 01/30/26 P619</v>
      </c>
      <c r="M66" s="214" t="str">
        <f t="shared" si="1"/>
        <v>EQTY.IntlUS.off</v>
      </c>
      <c r="N66" s="215">
        <f t="shared" si="2"/>
        <v>-939</v>
      </c>
      <c r="O66" s="215">
        <f t="shared" si="3"/>
        <v>0</v>
      </c>
    </row>
    <row r="67" spans="5:15">
      <c r="E67" s="213" t="s">
        <v>324</v>
      </c>
      <c r="F67" s="213" t="s">
        <v>2443</v>
      </c>
      <c r="G67" s="213" t="s">
        <v>282</v>
      </c>
      <c r="H67" s="213">
        <v>1409</v>
      </c>
      <c r="I67" s="213">
        <v>470</v>
      </c>
      <c r="K67" s="214" t="str">
        <f t="shared" ref="K67:K130" si="4">IF(E67="","",E67)</f>
        <v>ETF Options</v>
      </c>
      <c r="L67" s="214" t="str">
        <f>IF(E67="","",IF(COUNTIFS(Table2[[#All],[De (Lote)]],Input_APM!F67)&gt;0,INDEX(Table2[[#All],[Para (Ticker Daniel)]],MATCH(Input_APM!F67,Table2[[#All],[De (Lote)]],0)),Input_APM!F67))</f>
        <v>QQQ US 01/30/26 P620</v>
      </c>
      <c r="M67" s="214" t="str">
        <f t="shared" ref="M67:M130" si="5">IF(E67="","",G67)</f>
        <v>EQTY.IntlUS.off</v>
      </c>
      <c r="N67" s="215">
        <f t="shared" ref="N67:N130" si="6">IF(E67="","",H67)</f>
        <v>1409</v>
      </c>
      <c r="O67" s="215">
        <f t="shared" ref="O67:O130" si="7">IF(E67="","",I67)</f>
        <v>470</v>
      </c>
    </row>
    <row r="68" spans="5:15">
      <c r="E68" s="213" t="s">
        <v>324</v>
      </c>
      <c r="F68" s="213" t="s">
        <v>2467</v>
      </c>
      <c r="G68" s="213" t="s">
        <v>282</v>
      </c>
      <c r="H68" s="213">
        <v>117</v>
      </c>
      <c r="I68" s="213">
        <v>0</v>
      </c>
      <c r="K68" s="214" t="str">
        <f t="shared" si="4"/>
        <v>ETF Options</v>
      </c>
      <c r="L68" s="214" t="str">
        <f>IF(E68="","",IF(COUNTIFS(Table2[[#All],[De (Lote)]],Input_APM!F68)&gt;0,INDEX(Table2[[#All],[Para (Ticker Daniel)]],MATCH(Input_APM!F68,Table2[[#All],[De (Lote)]],0)),Input_APM!F68))</f>
        <v>QQQ US 01/30/26 P621</v>
      </c>
      <c r="M68" s="214" t="str">
        <f t="shared" si="5"/>
        <v>EQTY.IntlUS.off</v>
      </c>
      <c r="N68" s="215">
        <f t="shared" si="6"/>
        <v>117</v>
      </c>
      <c r="O68" s="215">
        <f t="shared" si="7"/>
        <v>0</v>
      </c>
    </row>
    <row r="69" spans="5:15">
      <c r="E69" s="213" t="s">
        <v>317</v>
      </c>
      <c r="F69" s="213" t="s">
        <v>2128</v>
      </c>
      <c r="G69" s="213" t="s">
        <v>282</v>
      </c>
      <c r="H69" s="213">
        <v>33235</v>
      </c>
      <c r="I69" s="213">
        <v>29600</v>
      </c>
      <c r="K69" s="214" t="str">
        <f t="shared" si="4"/>
        <v>US Equity</v>
      </c>
      <c r="L69" s="214" t="str">
        <f>IF(E69="","",IF(COUNTIFS(Table2[[#All],[De (Lote)]],Input_APM!F69)&gt;0,INDEX(Table2[[#All],[Para (Ticker Daniel)]],MATCH(Input_APM!F69,Table2[[#All],[De (Lote)]],0)),Input_APM!F69))</f>
        <v>RIOT</v>
      </c>
      <c r="M69" s="214" t="str">
        <f t="shared" si="5"/>
        <v>EQTY.IntlUS.off</v>
      </c>
      <c r="N69" s="215">
        <f t="shared" si="6"/>
        <v>33235</v>
      </c>
      <c r="O69" s="215">
        <f t="shared" si="7"/>
        <v>29600</v>
      </c>
    </row>
    <row r="70" spans="5:15">
      <c r="E70" s="213" t="s">
        <v>320</v>
      </c>
      <c r="F70" s="213" t="s">
        <v>3</v>
      </c>
      <c r="G70" s="213" t="s">
        <v>282</v>
      </c>
      <c r="H70" s="213">
        <v>-44983</v>
      </c>
      <c r="I70" s="213">
        <v>-21497</v>
      </c>
      <c r="K70" s="214" t="str">
        <f t="shared" si="4"/>
        <v>ETF</v>
      </c>
      <c r="L70" s="214" t="str">
        <f>IF(E70="","",IF(COUNTIFS(Table2[[#All],[De (Lote)]],Input_APM!F70)&gt;0,INDEX(Table2[[#All],[Para (Ticker Daniel)]],MATCH(Input_APM!F70,Table2[[#All],[De (Lote)]],0)),Input_APM!F70))</f>
        <v>RSP</v>
      </c>
      <c r="M70" s="214" t="str">
        <f t="shared" si="5"/>
        <v>EQTY.IntlUS.off</v>
      </c>
      <c r="N70" s="215">
        <f t="shared" si="6"/>
        <v>-44983</v>
      </c>
      <c r="O70" s="215">
        <f t="shared" si="7"/>
        <v>-21497</v>
      </c>
    </row>
    <row r="71" spans="5:15">
      <c r="E71" s="213" t="s">
        <v>318</v>
      </c>
      <c r="F71" s="213" t="s">
        <v>2124</v>
      </c>
      <c r="G71" s="213" t="s">
        <v>283</v>
      </c>
      <c r="H71" s="225">
        <v>-2.5102055850600999E-12</v>
      </c>
      <c r="I71" s="213">
        <v>-0.01</v>
      </c>
      <c r="K71" s="214" t="str">
        <f t="shared" si="4"/>
        <v>Provisions and Costs</v>
      </c>
      <c r="L71" s="214" t="str">
        <f>IF(E71="","",IF(COUNTIFS(Table2[[#All],[De (Lote)]],Input_APM!F71)&gt;0,INDEX(Table2[[#All],[Para (Ticker Daniel)]],MATCH(Input_APM!F71,Table2[[#All],[De (Lote)]],0)),Input_APM!F71))</f>
        <v>SPY DIVIDEND_</v>
      </c>
      <c r="M71" s="214" t="str">
        <f t="shared" si="5"/>
        <v>EQTY.InternacionalUS2.off</v>
      </c>
      <c r="N71" s="215">
        <f t="shared" si="6"/>
        <v>-2.5102055850600999E-12</v>
      </c>
      <c r="O71" s="215">
        <f t="shared" si="7"/>
        <v>-0.01</v>
      </c>
    </row>
    <row r="72" spans="5:15">
      <c r="E72" s="213" t="s">
        <v>318</v>
      </c>
      <c r="F72" s="213" t="s">
        <v>2124</v>
      </c>
      <c r="G72" s="213" t="s">
        <v>282</v>
      </c>
      <c r="H72" s="225">
        <v>-3.8562573273504002E-12</v>
      </c>
      <c r="I72" s="213">
        <v>0.01</v>
      </c>
      <c r="K72" s="214" t="str">
        <f t="shared" si="4"/>
        <v>Provisions and Costs</v>
      </c>
      <c r="L72" s="214" t="str">
        <f>IF(E72="","",IF(COUNTIFS(Table2[[#All],[De (Lote)]],Input_APM!F72)&gt;0,INDEX(Table2[[#All],[Para (Ticker Daniel)]],MATCH(Input_APM!F72,Table2[[#All],[De (Lote)]],0)),Input_APM!F72))</f>
        <v>SPY DIVIDEND_</v>
      </c>
      <c r="M72" s="214" t="str">
        <f t="shared" si="5"/>
        <v>EQTY.IntlUS.off</v>
      </c>
      <c r="N72" s="215">
        <f t="shared" si="6"/>
        <v>-3.8562573273504002E-12</v>
      </c>
      <c r="O72" s="215">
        <f t="shared" si="7"/>
        <v>0.01</v>
      </c>
    </row>
    <row r="73" spans="5:15">
      <c r="E73" s="213" t="s">
        <v>2130</v>
      </c>
      <c r="F73" s="213" t="s">
        <v>2131</v>
      </c>
      <c r="G73" s="213" t="s">
        <v>282</v>
      </c>
      <c r="H73" s="213">
        <v>655</v>
      </c>
      <c r="I73" s="213">
        <v>1400</v>
      </c>
      <c r="K73" s="214" t="str">
        <f t="shared" si="4"/>
        <v>Equity Total Return Swap</v>
      </c>
      <c r="L73" s="214" t="str">
        <f>IF(E73="","",IF(COUNTIFS(Table2[[#All],[De (Lote)]],Input_APM!F73)&gt;0,INDEX(Table2[[#All],[Para (Ticker Daniel)]],MATCH(Input_APM!F73,Table2[[#All],[De (Lote)]],0)),Input_APM!F73))</f>
        <v>000660 KS</v>
      </c>
      <c r="M73" s="214" t="str">
        <f t="shared" si="5"/>
        <v>EQTY.IntlUS.off</v>
      </c>
      <c r="N73" s="215">
        <f t="shared" si="6"/>
        <v>655</v>
      </c>
      <c r="O73" s="215">
        <f t="shared" si="7"/>
        <v>1400</v>
      </c>
    </row>
    <row r="74" spans="5:15">
      <c r="E74" s="213" t="s">
        <v>2130</v>
      </c>
      <c r="F74" s="213" t="s">
        <v>2323</v>
      </c>
      <c r="G74" s="213" t="s">
        <v>282</v>
      </c>
      <c r="H74" s="213">
        <v>643</v>
      </c>
      <c r="I74" s="213">
        <v>643</v>
      </c>
      <c r="K74" s="214" t="str">
        <f t="shared" si="4"/>
        <v>Equity Total Return Swap</v>
      </c>
      <c r="L74" s="214" t="str">
        <f>IF(E74="","",IF(COUNTIFS(Table2[[#All],[De (Lote)]],Input_APM!F74)&gt;0,INDEX(Table2[[#All],[Para (Ticker Daniel)]],MATCH(Input_APM!F74,Table2[[#All],[De (Lote)]],0)),Input_APM!F74))</f>
        <v>SWAP 000660 KS 26JAN2026 26JAN2027 509.6192</v>
      </c>
      <c r="M74" s="214" t="str">
        <f t="shared" si="5"/>
        <v>EQTY.IntlUS.off</v>
      </c>
      <c r="N74" s="215">
        <f t="shared" si="6"/>
        <v>643</v>
      </c>
      <c r="O74" s="215">
        <f t="shared" si="7"/>
        <v>643</v>
      </c>
    </row>
    <row r="75" spans="5:15">
      <c r="E75" s="213" t="s">
        <v>2130</v>
      </c>
      <c r="F75" s="213" t="s">
        <v>2406</v>
      </c>
      <c r="G75" s="213" t="s">
        <v>282</v>
      </c>
      <c r="H75" s="213">
        <v>2470</v>
      </c>
      <c r="I75" s="213">
        <v>2470</v>
      </c>
      <c r="K75" s="214" t="str">
        <f t="shared" si="4"/>
        <v>Equity Total Return Swap</v>
      </c>
      <c r="L75" s="214" t="str">
        <f>IF(E75="","",IF(COUNTIFS(Table2[[#All],[De (Lote)]],Input_APM!F75)&gt;0,INDEX(Table2[[#All],[Para (Ticker Daniel)]],MATCH(Input_APM!F75,Table2[[#All],[De (Lote)]],0)),Input_APM!F75))</f>
        <v>SWAP 300502 CH 30JAN2026 01FEB2027 57.9966</v>
      </c>
      <c r="M75" s="214" t="str">
        <f t="shared" si="5"/>
        <v>EQTY.IntlUS.off</v>
      </c>
      <c r="N75" s="215">
        <f t="shared" si="6"/>
        <v>2470</v>
      </c>
      <c r="O75" s="215">
        <f t="shared" si="7"/>
        <v>2470</v>
      </c>
    </row>
    <row r="76" spans="5:15">
      <c r="E76" s="213" t="s">
        <v>2407</v>
      </c>
      <c r="F76" s="213" t="s">
        <v>2408</v>
      </c>
      <c r="G76" s="213" t="s">
        <v>282</v>
      </c>
      <c r="H76" s="213">
        <v>9090840</v>
      </c>
      <c r="I76" s="213">
        <v>9090840</v>
      </c>
      <c r="K76" s="214" t="str">
        <f t="shared" si="4"/>
        <v>TBOND</v>
      </c>
      <c r="L76" s="214" t="str">
        <f>IF(E76="","",IF(COUNTIFS(Table2[[#All],[De (Lote)]],Input_APM!F76)&gt;0,INDEX(Table2[[#All],[Para (Ticker Daniel)]],MATCH(Input_APM!F76,Table2[[#All],[De (Lote)]],0)),Input_APM!F76))</f>
        <v>T 4.000% 11/15/35</v>
      </c>
      <c r="M76" s="214" t="str">
        <f t="shared" si="5"/>
        <v>EQTY.IntlUS.off</v>
      </c>
      <c r="N76" s="215">
        <f t="shared" si="6"/>
        <v>9090840</v>
      </c>
      <c r="O76" s="215">
        <f t="shared" si="7"/>
        <v>9090840</v>
      </c>
    </row>
    <row r="77" spans="5:15">
      <c r="E77" s="213" t="s">
        <v>39</v>
      </c>
      <c r="F77" s="213" t="s">
        <v>96</v>
      </c>
      <c r="G77" s="213" t="s">
        <v>282</v>
      </c>
      <c r="H77" s="213">
        <v>4838</v>
      </c>
      <c r="I77" s="213">
        <v>4838</v>
      </c>
      <c r="K77" s="214" t="str">
        <f t="shared" si="4"/>
        <v>ADR</v>
      </c>
      <c r="L77" s="214" t="str">
        <f>IF(E77="","",IF(COUNTIFS(Table2[[#All],[De (Lote)]],Input_APM!F77)&gt;0,INDEX(Table2[[#All],[Para (Ticker Daniel)]],MATCH(Input_APM!F77,Table2[[#All],[De (Lote)]],0)),Input_APM!F77))</f>
        <v>TSM</v>
      </c>
      <c r="M77" s="214" t="str">
        <f t="shared" si="5"/>
        <v>EQTY.IntlUS.off</v>
      </c>
      <c r="N77" s="215">
        <f t="shared" si="6"/>
        <v>4838</v>
      </c>
      <c r="O77" s="215">
        <f t="shared" si="7"/>
        <v>4838</v>
      </c>
    </row>
    <row r="78" spans="5:15">
      <c r="E78" s="213" t="s">
        <v>327</v>
      </c>
      <c r="F78" s="213" t="s">
        <v>2225</v>
      </c>
      <c r="G78" s="213" t="s">
        <v>282</v>
      </c>
      <c r="H78" s="213">
        <v>1453</v>
      </c>
      <c r="I78" s="213">
        <v>1453</v>
      </c>
      <c r="K78" s="214" t="str">
        <f t="shared" si="4"/>
        <v>ADR Options</v>
      </c>
      <c r="L78" s="214" t="str">
        <f>IF(E78="","",IF(COUNTIFS(Table2[[#All],[De (Lote)]],Input_APM!F78)&gt;0,INDEX(Table2[[#All],[Para (Ticker Daniel)]],MATCH(Input_APM!F78,Table2[[#All],[De (Lote)]],0)),Input_APM!F78))</f>
        <v>TSM US 06/18/26 C340</v>
      </c>
      <c r="M78" s="214" t="str">
        <f t="shared" si="5"/>
        <v>EQTY.IntlUS.off</v>
      </c>
      <c r="N78" s="215">
        <f t="shared" si="6"/>
        <v>1453</v>
      </c>
      <c r="O78" s="215">
        <f t="shared" si="7"/>
        <v>1453</v>
      </c>
    </row>
    <row r="79" spans="5:15">
      <c r="E79" s="213" t="s">
        <v>327</v>
      </c>
      <c r="F79" s="213" t="s">
        <v>2226</v>
      </c>
      <c r="G79" s="213" t="s">
        <v>282</v>
      </c>
      <c r="H79" s="213">
        <v>-1195</v>
      </c>
      <c r="I79" s="213">
        <v>-1295</v>
      </c>
      <c r="K79" s="214" t="str">
        <f t="shared" si="4"/>
        <v>ADR Options</v>
      </c>
      <c r="L79" s="214" t="str">
        <f>IF(E79="","",IF(COUNTIFS(Table2[[#All],[De (Lote)]],Input_APM!F79)&gt;0,INDEX(Table2[[#All],[Para (Ticker Daniel)]],MATCH(Input_APM!F79,Table2[[#All],[De (Lote)]],0)),Input_APM!F79))</f>
        <v>TSM US 06/18/26 C380</v>
      </c>
      <c r="M79" s="214" t="str">
        <f t="shared" si="5"/>
        <v>EQTY.IntlUS.off</v>
      </c>
      <c r="N79" s="215">
        <f t="shared" si="6"/>
        <v>-1195</v>
      </c>
      <c r="O79" s="215">
        <f t="shared" si="7"/>
        <v>-1295</v>
      </c>
    </row>
    <row r="80" spans="5:15">
      <c r="E80" s="213" t="s">
        <v>320</v>
      </c>
      <c r="F80" s="213" t="s">
        <v>88</v>
      </c>
      <c r="G80" s="213" t="s">
        <v>282</v>
      </c>
      <c r="H80" s="213">
        <v>42865</v>
      </c>
      <c r="I80" s="213">
        <v>42865</v>
      </c>
      <c r="K80" s="214" t="str">
        <f t="shared" si="4"/>
        <v>ETF</v>
      </c>
      <c r="L80" s="214" t="str">
        <f>IF(E80="","",IF(COUNTIFS(Table2[[#All],[De (Lote)]],Input_APM!F80)&gt;0,INDEX(Table2[[#All],[Para (Ticker Daniel)]],MATCH(Input_APM!F80,Table2[[#All],[De (Lote)]],0)),Input_APM!F80))</f>
        <v>XLF</v>
      </c>
      <c r="M80" s="214" t="str">
        <f t="shared" si="5"/>
        <v>EQTY.IntlUS.off</v>
      </c>
      <c r="N80" s="215">
        <f t="shared" si="6"/>
        <v>42865</v>
      </c>
      <c r="O80" s="215">
        <f t="shared" si="7"/>
        <v>42865</v>
      </c>
    </row>
    <row r="81" spans="5:15">
      <c r="E81" s="213" t="s">
        <v>320</v>
      </c>
      <c r="F81" s="213" t="s">
        <v>4</v>
      </c>
      <c r="G81" s="213" t="s">
        <v>282</v>
      </c>
      <c r="H81" s="213">
        <v>-25765</v>
      </c>
      <c r="I81" s="213">
        <v>-25765</v>
      </c>
      <c r="K81" s="214" t="str">
        <f t="shared" si="4"/>
        <v>ETF</v>
      </c>
      <c r="L81" s="214" t="str">
        <f>IF(E81="","",IF(COUNTIFS(Table2[[#All],[De (Lote)]],Input_APM!F81)&gt;0,INDEX(Table2[[#All],[Para (Ticker Daniel)]],MATCH(Input_APM!F81,Table2[[#All],[De (Lote)]],0)),Input_APM!F81))</f>
        <v>XLP</v>
      </c>
      <c r="M81" s="214" t="str">
        <f t="shared" si="5"/>
        <v>EQTY.IntlUS.off</v>
      </c>
      <c r="N81" s="215">
        <f t="shared" si="6"/>
        <v>-25765</v>
      </c>
      <c r="O81" s="215">
        <f t="shared" si="7"/>
        <v>-25765</v>
      </c>
    </row>
    <row r="82" spans="5:15">
      <c r="E82" s="213" t="s">
        <v>317</v>
      </c>
      <c r="F82" s="213" t="s">
        <v>2453</v>
      </c>
      <c r="G82" s="213" t="s">
        <v>282</v>
      </c>
      <c r="H82" s="213">
        <v>-470</v>
      </c>
      <c r="I82" s="213">
        <v>-470</v>
      </c>
      <c r="K82" s="214" t="str">
        <f t="shared" si="4"/>
        <v>US Equity</v>
      </c>
      <c r="L82" s="214" t="str">
        <f>IF(E82="","",IF(COUNTIFS(Table2[[#All],[De (Lote)]],Input_APM!F82)&gt;0,INDEX(Table2[[#All],[Para (Ticker Daniel)]],MATCH(Input_APM!F82,Table2[[#All],[De (Lote)]],0)),Input_APM!F82))</f>
        <v>YSS</v>
      </c>
      <c r="M82" s="214" t="str">
        <f t="shared" si="5"/>
        <v>EQTY.IntlUS.off</v>
      </c>
      <c r="N82" s="215">
        <f t="shared" si="6"/>
        <v>-470</v>
      </c>
      <c r="O82" s="215">
        <f t="shared" si="7"/>
        <v>-470</v>
      </c>
    </row>
    <row r="83" spans="5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5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5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5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5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5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5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5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5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5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5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5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5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5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0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0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0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0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0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0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0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0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0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0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0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0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0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0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0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0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0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0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0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0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0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0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0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0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0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0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0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0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0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0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0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0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0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0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0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0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0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0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0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0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0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0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0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0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0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0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0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0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0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0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0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0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0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0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0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0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0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0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0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0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0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0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0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0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0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0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0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0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0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0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0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0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0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0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0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0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0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0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0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0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0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0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0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0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0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0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0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0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0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0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0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0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0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0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0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0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0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0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0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0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0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0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0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0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0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0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0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0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0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0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0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0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0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0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0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0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0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0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0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0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0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0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0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0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0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0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0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0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0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0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0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0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0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0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0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0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0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0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0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0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0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0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0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0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0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0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0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0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0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0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0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0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0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0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0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0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0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0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0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0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0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0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0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0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0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0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0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0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0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0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0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0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0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0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0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0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0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0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0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0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0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0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0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0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0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0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0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0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0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0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0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0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0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0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0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0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0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0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0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0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0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0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0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0"/>
    </row>
    <row r="399" spans="5:15">
      <c r="E399" s="370"/>
    </row>
    <row r="400" spans="5:15">
      <c r="E400" s="370"/>
    </row>
    <row r="401" spans="5:5">
      <c r="E401" s="370"/>
    </row>
    <row r="402" spans="5:5">
      <c r="E402" s="370"/>
    </row>
    <row r="403" spans="5:5">
      <c r="E403" s="370"/>
    </row>
    <row r="404" spans="5:5">
      <c r="E404" s="370"/>
    </row>
    <row r="405" spans="5:5">
      <c r="E405" s="370"/>
    </row>
    <row r="406" spans="5:5">
      <c r="E406" s="370"/>
    </row>
    <row r="407" spans="5:5">
      <c r="E407" s="370"/>
    </row>
    <row r="408" spans="5:5">
      <c r="E408" s="370"/>
    </row>
    <row r="409" spans="5:5">
      <c r="E409" s="370"/>
    </row>
    <row r="410" spans="5:5">
      <c r="E410" s="370"/>
    </row>
    <row r="411" spans="5:5">
      <c r="E411" s="370"/>
    </row>
    <row r="412" spans="5:5">
      <c r="E412" s="370"/>
    </row>
    <row r="413" spans="5:5">
      <c r="E413" s="370"/>
    </row>
    <row r="414" spans="5:5">
      <c r="E414" s="370"/>
    </row>
    <row r="415" spans="5:5">
      <c r="E415" s="370"/>
    </row>
    <row r="416" spans="5:5">
      <c r="E416" s="370"/>
    </row>
    <row r="417" spans="5:5">
      <c r="E417" s="370"/>
    </row>
    <row r="418" spans="5:5">
      <c r="E418" s="370"/>
    </row>
    <row r="419" spans="5:5">
      <c r="E419" s="370"/>
    </row>
    <row r="420" spans="5:5">
      <c r="E420" s="370"/>
    </row>
    <row r="421" spans="5:5">
      <c r="E421" s="370"/>
    </row>
    <row r="422" spans="5:5">
      <c r="E422" s="370"/>
    </row>
    <row r="423" spans="5:5">
      <c r="E423" s="370"/>
    </row>
    <row r="424" spans="5:5">
      <c r="E424" s="370"/>
    </row>
    <row r="425" spans="5:5">
      <c r="E425" s="370"/>
    </row>
    <row r="426" spans="5:5">
      <c r="E426" s="370"/>
    </row>
    <row r="427" spans="5:5">
      <c r="E427" s="370"/>
    </row>
    <row r="428" spans="5:5">
      <c r="E428" s="370"/>
    </row>
    <row r="429" spans="5:5">
      <c r="E429" s="370"/>
    </row>
    <row r="430" spans="5:5">
      <c r="E430" s="370"/>
    </row>
    <row r="431" spans="5:5">
      <c r="E431" s="370"/>
    </row>
    <row r="432" spans="5:5">
      <c r="E432" s="370"/>
    </row>
    <row r="433" spans="5:5">
      <c r="E433" s="370"/>
    </row>
    <row r="434" spans="5:5">
      <c r="E434" s="370"/>
    </row>
    <row r="435" spans="5:5">
      <c r="E435" s="370"/>
    </row>
    <row r="436" spans="5:5">
      <c r="E436" s="370"/>
    </row>
    <row r="437" spans="5:5">
      <c r="E437" s="370"/>
    </row>
    <row r="438" spans="5:5">
      <c r="E438" s="370"/>
    </row>
    <row r="439" spans="5:5">
      <c r="E439" s="370"/>
    </row>
    <row r="440" spans="5:5">
      <c r="E440" s="370"/>
    </row>
    <row r="441" spans="5:5">
      <c r="E441" s="370"/>
    </row>
    <row r="442" spans="5:5">
      <c r="E442" s="370"/>
    </row>
    <row r="443" spans="5:5">
      <c r="E443" s="370"/>
    </row>
    <row r="444" spans="5:5">
      <c r="E444" s="370"/>
    </row>
    <row r="445" spans="5:5">
      <c r="E445" s="370"/>
    </row>
    <row r="446" spans="5:5">
      <c r="E446" s="370"/>
    </row>
    <row r="447" spans="5:5">
      <c r="E447" s="370"/>
    </row>
    <row r="448" spans="5:5">
      <c r="E448" s="370"/>
    </row>
    <row r="449" spans="5:5">
      <c r="E449" s="370"/>
    </row>
    <row r="450" spans="5:5">
      <c r="E450" s="370"/>
    </row>
    <row r="451" spans="5:5">
      <c r="E451" s="370"/>
    </row>
    <row r="452" spans="5:5">
      <c r="E452" s="370"/>
    </row>
    <row r="453" spans="5:5">
      <c r="E453" s="370"/>
    </row>
    <row r="454" spans="5:5">
      <c r="E454" s="370"/>
    </row>
    <row r="455" spans="5:5">
      <c r="E455" s="370"/>
    </row>
    <row r="456" spans="5:5">
      <c r="E456" s="370"/>
    </row>
    <row r="457" spans="5:5">
      <c r="E457" s="370"/>
    </row>
    <row r="458" spans="5:5">
      <c r="E458" s="370"/>
    </row>
    <row r="459" spans="5:5">
      <c r="E459" s="370"/>
    </row>
    <row r="460" spans="5:5">
      <c r="E460" s="370"/>
    </row>
    <row r="461" spans="5:5">
      <c r="E461" s="370"/>
    </row>
    <row r="462" spans="5:5">
      <c r="E462" s="370"/>
    </row>
    <row r="463" spans="5:5">
      <c r="E463" s="370"/>
    </row>
    <row r="464" spans="5:5">
      <c r="E464" s="370"/>
    </row>
    <row r="465" spans="5:5">
      <c r="E465" s="370"/>
    </row>
    <row r="466" spans="5:5">
      <c r="E466" s="370"/>
    </row>
    <row r="467" spans="5:5">
      <c r="E467" s="370"/>
    </row>
    <row r="468" spans="5:5">
      <c r="E468" s="370"/>
    </row>
    <row r="469" spans="5:5">
      <c r="E469" s="370"/>
    </row>
    <row r="470" spans="5:5">
      <c r="E470" s="370"/>
    </row>
    <row r="471" spans="5:5">
      <c r="E471" s="370"/>
    </row>
    <row r="472" spans="5:5">
      <c r="E472" s="370"/>
    </row>
    <row r="473" spans="5:5">
      <c r="E473" s="370"/>
    </row>
    <row r="474" spans="5:5">
      <c r="E474" s="370"/>
    </row>
    <row r="475" spans="5:5">
      <c r="E475" s="370"/>
    </row>
    <row r="476" spans="5:5">
      <c r="E476" s="370"/>
    </row>
    <row r="477" spans="5:5">
      <c r="E477" s="370"/>
    </row>
    <row r="478" spans="5:5">
      <c r="E478" s="370"/>
    </row>
    <row r="479" spans="5:5">
      <c r="E479" s="370"/>
    </row>
    <row r="480" spans="5:5">
      <c r="E480" s="370"/>
    </row>
    <row r="481" spans="5:5">
      <c r="E481" s="370"/>
    </row>
    <row r="482" spans="5:5">
      <c r="E482" s="370"/>
    </row>
    <row r="483" spans="5:5">
      <c r="E483" s="370"/>
    </row>
    <row r="484" spans="5:5">
      <c r="E484" s="370"/>
    </row>
    <row r="485" spans="5:5">
      <c r="E485" s="370"/>
    </row>
    <row r="486" spans="5:5">
      <c r="E486" s="370"/>
    </row>
    <row r="487" spans="5:5">
      <c r="E487" s="370"/>
    </row>
    <row r="488" spans="5:5">
      <c r="E488" s="370"/>
    </row>
    <row r="489" spans="5:5">
      <c r="E489" s="370"/>
    </row>
    <row r="490" spans="5:5">
      <c r="E490" s="370"/>
    </row>
    <row r="491" spans="5:5">
      <c r="E491" s="370"/>
    </row>
    <row r="492" spans="5:5">
      <c r="E492" s="370"/>
    </row>
    <row r="493" spans="5:5">
      <c r="E493" s="370"/>
    </row>
    <row r="494" spans="5:5">
      <c r="E494" s="370"/>
    </row>
    <row r="495" spans="5:5">
      <c r="E495" s="370"/>
    </row>
    <row r="496" spans="5:5">
      <c r="E496" s="370"/>
    </row>
    <row r="497" spans="5:5">
      <c r="E497" s="370"/>
    </row>
    <row r="498" spans="5:5">
      <c r="E498" s="370"/>
    </row>
    <row r="499" spans="5:5">
      <c r="E499" s="370"/>
    </row>
    <row r="500" spans="5:5">
      <c r="E500" s="370"/>
    </row>
    <row r="501" spans="5:5">
      <c r="E501" s="370"/>
    </row>
    <row r="502" spans="5:5">
      <c r="E502" s="370"/>
    </row>
    <row r="503" spans="5:5">
      <c r="E503" s="370"/>
    </row>
    <row r="504" spans="5:5">
      <c r="E504" s="370"/>
    </row>
    <row r="505" spans="5:5">
      <c r="E505" s="370"/>
    </row>
    <row r="506" spans="5:5">
      <c r="E506" s="370"/>
    </row>
    <row r="507" spans="5:5">
      <c r="E507" s="370"/>
    </row>
    <row r="508" spans="5:5">
      <c r="E508" s="370"/>
    </row>
    <row r="509" spans="5:5">
      <c r="E509" s="370"/>
    </row>
    <row r="510" spans="5:5">
      <c r="E510" s="370"/>
    </row>
    <row r="511" spans="5:5">
      <c r="E511" s="370"/>
    </row>
    <row r="512" spans="5:5">
      <c r="E512" s="370"/>
    </row>
    <row r="513" spans="5:5">
      <c r="E513" s="370"/>
    </row>
    <row r="514" spans="5:5">
      <c r="E514" s="370"/>
    </row>
    <row r="515" spans="5:5">
      <c r="E515" s="370"/>
    </row>
    <row r="516" spans="5:5">
      <c r="E516" s="370"/>
    </row>
    <row r="517" spans="5:5">
      <c r="E517" s="370"/>
    </row>
    <row r="518" spans="5:5">
      <c r="E518" s="370"/>
    </row>
    <row r="519" spans="5:5">
      <c r="E519" s="370"/>
    </row>
    <row r="520" spans="5:5">
      <c r="E520" s="370"/>
    </row>
    <row r="521" spans="5:5">
      <c r="E521" s="370"/>
    </row>
    <row r="522" spans="5:5">
      <c r="E522" s="370"/>
    </row>
    <row r="523" spans="5:5">
      <c r="E523" s="370"/>
    </row>
    <row r="524" spans="5:5">
      <c r="E524" s="370"/>
    </row>
    <row r="525" spans="5:5">
      <c r="E525" s="370"/>
    </row>
    <row r="526" spans="5:5">
      <c r="E526" s="370"/>
    </row>
    <row r="527" spans="5:5">
      <c r="E527" s="370"/>
    </row>
    <row r="528" spans="5:5">
      <c r="E528" s="370"/>
    </row>
    <row r="529" spans="5:5">
      <c r="E529" s="370"/>
    </row>
    <row r="530" spans="5:5">
      <c r="E530" s="370"/>
    </row>
    <row r="531" spans="5:5">
      <c r="E531" s="370"/>
    </row>
    <row r="532" spans="5:5">
      <c r="E532" s="370"/>
    </row>
    <row r="533" spans="5:5">
      <c r="E533" s="370"/>
    </row>
    <row r="534" spans="5:5">
      <c r="E534" s="370"/>
    </row>
    <row r="535" spans="5:5">
      <c r="E535" s="370"/>
    </row>
    <row r="536" spans="5:5">
      <c r="E536" s="370"/>
    </row>
    <row r="537" spans="5:5">
      <c r="E537" s="370"/>
    </row>
    <row r="538" spans="5:5">
      <c r="E538" s="370"/>
    </row>
    <row r="539" spans="5:5">
      <c r="E539" s="370"/>
    </row>
    <row r="540" spans="5:5">
      <c r="E540" s="370"/>
    </row>
    <row r="541" spans="5:5">
      <c r="E541" s="370"/>
    </row>
    <row r="542" spans="5:5">
      <c r="E542" s="370"/>
    </row>
    <row r="543" spans="5:5">
      <c r="E543" s="370"/>
    </row>
    <row r="544" spans="5:5">
      <c r="E544" s="370"/>
    </row>
    <row r="545" spans="5:5">
      <c r="E545" s="370"/>
    </row>
    <row r="546" spans="5:5">
      <c r="E546" s="370"/>
    </row>
    <row r="547" spans="5:5">
      <c r="E547" s="370"/>
    </row>
    <row r="548" spans="5:5">
      <c r="E548" s="370"/>
    </row>
    <row r="549" spans="5:5">
      <c r="E549" s="370"/>
    </row>
    <row r="550" spans="5:5">
      <c r="E550" s="370"/>
    </row>
    <row r="551" spans="5:5">
      <c r="E551" s="370"/>
    </row>
    <row r="552" spans="5:5">
      <c r="E552" s="370"/>
    </row>
    <row r="553" spans="5:5">
      <c r="E553" s="370"/>
    </row>
    <row r="554" spans="5:5">
      <c r="E554" s="370"/>
    </row>
    <row r="555" spans="5:5">
      <c r="E555" s="370"/>
    </row>
    <row r="556" spans="5:5">
      <c r="E556" s="370"/>
    </row>
    <row r="557" spans="5:5">
      <c r="E557" s="370"/>
    </row>
    <row r="558" spans="5:5">
      <c r="E558" s="370"/>
    </row>
    <row r="559" spans="5:5">
      <c r="E559" s="370"/>
    </row>
    <row r="560" spans="5:5">
      <c r="E560" s="370"/>
    </row>
    <row r="561" spans="5:5">
      <c r="E561" s="370"/>
    </row>
    <row r="562" spans="5:5">
      <c r="E562" s="370"/>
    </row>
    <row r="563" spans="5:5">
      <c r="E563" s="370"/>
    </row>
    <row r="564" spans="5:5">
      <c r="E564" s="370"/>
    </row>
    <row r="565" spans="5:5">
      <c r="E565" s="370"/>
    </row>
    <row r="566" spans="5:5">
      <c r="E566" s="370"/>
    </row>
    <row r="567" spans="5:5">
      <c r="E567" s="370"/>
    </row>
    <row r="568" spans="5:5">
      <c r="E568" s="370"/>
    </row>
    <row r="569" spans="5:5">
      <c r="E569" s="370"/>
    </row>
    <row r="570" spans="5:5">
      <c r="E570" s="370"/>
    </row>
    <row r="571" spans="5:5">
      <c r="E571" s="370"/>
    </row>
    <row r="572" spans="5:5">
      <c r="E572" s="370"/>
    </row>
    <row r="573" spans="5:5">
      <c r="E573" s="370"/>
    </row>
    <row r="574" spans="5:5">
      <c r="E574" s="370"/>
    </row>
    <row r="575" spans="5:5">
      <c r="E575" s="370"/>
    </row>
    <row r="576" spans="5:5">
      <c r="E576" s="370"/>
    </row>
    <row r="577" spans="5:5">
      <c r="E577" s="370"/>
    </row>
    <row r="578" spans="5:5">
      <c r="E578" s="370"/>
    </row>
    <row r="579" spans="5:5">
      <c r="E579" s="370"/>
    </row>
    <row r="580" spans="5:5">
      <c r="E580" s="370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81"/>
    </sheetView>
  </sheetViews>
  <sheetFormatPr defaultColWidth="9.140625" defaultRowHeight="12.75" outlineLevelCol="1"/>
  <cols>
    <col min="1" max="4" width="9.140625" style="213"/>
    <col min="5" max="5" width="31.28515625" style="213" bestFit="1" customWidth="1" outlineLevel="1"/>
    <col min="6" max="6" width="45.5703125" style="213" bestFit="1" customWidth="1" outlineLevel="1"/>
    <col min="7" max="7" width="24.42578125" style="213" customWidth="1" outlineLevel="1"/>
    <col min="8" max="8" width="14" style="213" bestFit="1" customWidth="1" outlineLevel="1"/>
    <col min="9" max="9" width="12.140625" style="213" bestFit="1" customWidth="1" outlineLevel="1"/>
    <col min="10" max="10" width="9.140625" style="213"/>
    <col min="11" max="11" width="30.28515625" style="213" bestFit="1" customWidth="1"/>
    <col min="12" max="12" width="41.42578125" style="213" bestFit="1" customWidth="1"/>
    <col min="13" max="13" width="24" style="213" bestFit="1" customWidth="1"/>
    <col min="14" max="14" width="10.42578125" style="213" bestFit="1" customWidth="1"/>
    <col min="15" max="15" width="10.8554687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5:15">
      <c r="E2" s="213" t="s">
        <v>317</v>
      </c>
      <c r="F2" s="213" t="s">
        <v>79</v>
      </c>
      <c r="G2" s="213" t="s">
        <v>282</v>
      </c>
      <c r="H2" s="213">
        <v>0</v>
      </c>
      <c r="I2" s="213">
        <v>406</v>
      </c>
      <c r="K2" s="214" t="str">
        <f>IF(E2="","",E2)</f>
        <v>US Equity</v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>AAPL</v>
      </c>
      <c r="M2" s="214" t="str">
        <f>IF(E2="","",G2)</f>
        <v>EQTY.IntlUS.off</v>
      </c>
      <c r="N2" s="215">
        <f>IF(E2="","",H2)</f>
        <v>0</v>
      </c>
      <c r="O2" s="215">
        <f>IF(E2="","",I2)</f>
        <v>406</v>
      </c>
    </row>
    <row r="3" spans="5:15">
      <c r="E3" s="213" t="s">
        <v>319</v>
      </c>
      <c r="F3" s="213" t="s">
        <v>2457</v>
      </c>
      <c r="G3" s="213" t="s">
        <v>282</v>
      </c>
      <c r="H3" s="213">
        <v>21</v>
      </c>
      <c r="I3" s="213">
        <v>0</v>
      </c>
      <c r="K3" s="214" t="str">
        <f t="shared" ref="K3:K66" si="0">IF(E3="","",E3)</f>
        <v>US Equity Options</v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>AAPL US 04/17/26 C260</v>
      </c>
      <c r="M3" s="214" t="str">
        <f t="shared" ref="M3:M66" si="1">IF(E3="","",G3)</f>
        <v>EQTY.IntlUS.off</v>
      </c>
      <c r="N3" s="215">
        <f t="shared" ref="N3:N66" si="2">IF(E3="","",H3)</f>
        <v>21</v>
      </c>
      <c r="O3" s="215">
        <f t="shared" ref="O3:O66" si="3">IF(E3="","",I3)</f>
        <v>0</v>
      </c>
    </row>
    <row r="4" spans="5:15">
      <c r="E4" s="213" t="s">
        <v>319</v>
      </c>
      <c r="F4" s="213" t="s">
        <v>2458</v>
      </c>
      <c r="G4" s="213" t="s">
        <v>282</v>
      </c>
      <c r="H4" s="213">
        <v>-21</v>
      </c>
      <c r="I4" s="213">
        <v>0</v>
      </c>
      <c r="K4" s="214" t="str">
        <f t="shared" si="0"/>
        <v>US Equity Options</v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>AAPL US 04/17/26 C280</v>
      </c>
      <c r="M4" s="214" t="str">
        <f t="shared" si="1"/>
        <v>EQTY.IntlUS.off</v>
      </c>
      <c r="N4" s="215">
        <f t="shared" si="2"/>
        <v>-21</v>
      </c>
      <c r="O4" s="215">
        <f t="shared" si="3"/>
        <v>0</v>
      </c>
    </row>
    <row r="5" spans="5:15">
      <c r="E5" s="213" t="s">
        <v>317</v>
      </c>
      <c r="F5" s="213" t="s">
        <v>2354</v>
      </c>
      <c r="G5" s="213" t="s">
        <v>282</v>
      </c>
      <c r="H5" s="213">
        <v>471</v>
      </c>
      <c r="I5" s="213">
        <v>392</v>
      </c>
      <c r="K5" s="214" t="str">
        <f t="shared" si="0"/>
        <v>US Equity</v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>AKAM</v>
      </c>
      <c r="M5" s="214" t="str">
        <f t="shared" si="1"/>
        <v>EQTY.IntlUS.off</v>
      </c>
      <c r="N5" s="215">
        <f t="shared" si="2"/>
        <v>471</v>
      </c>
      <c r="O5" s="215">
        <f t="shared" si="3"/>
        <v>392</v>
      </c>
    </row>
    <row r="6" spans="5:15">
      <c r="E6" s="213" t="s">
        <v>317</v>
      </c>
      <c r="F6" s="213" t="s">
        <v>399</v>
      </c>
      <c r="G6" s="213" t="s">
        <v>282</v>
      </c>
      <c r="H6" s="213">
        <v>1028</v>
      </c>
      <c r="I6" s="213">
        <v>1028</v>
      </c>
      <c r="K6" s="214" t="str">
        <f t="shared" si="0"/>
        <v>US Equity</v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>AMZN</v>
      </c>
      <c r="M6" s="214" t="str">
        <f t="shared" si="1"/>
        <v>EQTY.IntlUS.off</v>
      </c>
      <c r="N6" s="215">
        <f t="shared" si="2"/>
        <v>1028</v>
      </c>
      <c r="O6" s="215">
        <f t="shared" si="3"/>
        <v>1028</v>
      </c>
    </row>
    <row r="7" spans="5:15">
      <c r="E7" s="213" t="s">
        <v>320</v>
      </c>
      <c r="F7" s="213" t="s">
        <v>38</v>
      </c>
      <c r="G7" s="213" t="s">
        <v>282</v>
      </c>
      <c r="H7" s="213">
        <v>1294</v>
      </c>
      <c r="I7" s="213">
        <v>1294</v>
      </c>
      <c r="K7" s="214" t="str">
        <f t="shared" si="0"/>
        <v>ETF</v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>ASHR</v>
      </c>
      <c r="M7" s="214" t="str">
        <f t="shared" si="1"/>
        <v>EQTY.IntlUS.off</v>
      </c>
      <c r="N7" s="215">
        <f t="shared" si="2"/>
        <v>1294</v>
      </c>
      <c r="O7" s="215">
        <f t="shared" si="3"/>
        <v>1294</v>
      </c>
    </row>
    <row r="8" spans="5:15">
      <c r="E8" s="213" t="s">
        <v>324</v>
      </c>
      <c r="F8" s="213" t="s">
        <v>2224</v>
      </c>
      <c r="G8" s="213" t="s">
        <v>282</v>
      </c>
      <c r="H8" s="213">
        <v>65</v>
      </c>
      <c r="I8" s="213">
        <v>65</v>
      </c>
      <c r="K8" s="214" t="str">
        <f t="shared" si="0"/>
        <v>ETF Options</v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>ASHR US 02/20/26 C35</v>
      </c>
      <c r="M8" s="214" t="str">
        <f t="shared" si="1"/>
        <v>EQTY.IntlUS.off</v>
      </c>
      <c r="N8" s="215">
        <f t="shared" si="2"/>
        <v>65</v>
      </c>
      <c r="O8" s="215">
        <f t="shared" si="3"/>
        <v>65</v>
      </c>
    </row>
    <row r="9" spans="5:15">
      <c r="E9" s="213" t="s">
        <v>317</v>
      </c>
      <c r="F9" s="213" t="s">
        <v>137</v>
      </c>
      <c r="G9" s="213" t="s">
        <v>282</v>
      </c>
      <c r="H9" s="213">
        <v>91</v>
      </c>
      <c r="I9" s="213">
        <v>91</v>
      </c>
      <c r="K9" s="214" t="str">
        <f t="shared" si="0"/>
        <v>US Equity</v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>AVGO</v>
      </c>
      <c r="M9" s="214" t="str">
        <f t="shared" si="1"/>
        <v>EQTY.IntlUS.off</v>
      </c>
      <c r="N9" s="215">
        <f t="shared" si="2"/>
        <v>91</v>
      </c>
      <c r="O9" s="215">
        <f t="shared" si="3"/>
        <v>91</v>
      </c>
    </row>
    <row r="10" spans="5:15">
      <c r="E10" s="213" t="s">
        <v>319</v>
      </c>
      <c r="F10" s="213" t="s">
        <v>2102</v>
      </c>
      <c r="G10" s="213" t="s">
        <v>282</v>
      </c>
      <c r="H10" s="213">
        <v>6</v>
      </c>
      <c r="I10" s="213">
        <v>6</v>
      </c>
      <c r="K10" s="214" t="str">
        <f t="shared" si="0"/>
        <v>US Equity Options</v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>AVGO US 06/18/26 C350</v>
      </c>
      <c r="M10" s="214" t="str">
        <f t="shared" si="1"/>
        <v>EQTY.IntlUS.off</v>
      </c>
      <c r="N10" s="215">
        <f t="shared" si="2"/>
        <v>6</v>
      </c>
      <c r="O10" s="215">
        <f t="shared" si="3"/>
        <v>6</v>
      </c>
    </row>
    <row r="11" spans="5:15">
      <c r="E11" s="213" t="s">
        <v>39</v>
      </c>
      <c r="F11" s="213" t="s">
        <v>461</v>
      </c>
      <c r="G11" s="213" t="s">
        <v>282</v>
      </c>
      <c r="H11" s="213">
        <v>215</v>
      </c>
      <c r="I11" s="213">
        <v>215</v>
      </c>
      <c r="K11" s="214" t="str">
        <f t="shared" si="0"/>
        <v>ADR</v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>BABA</v>
      </c>
      <c r="M11" s="214" t="str">
        <f t="shared" si="1"/>
        <v>EQTY.IntlUS.off</v>
      </c>
      <c r="N11" s="215">
        <f t="shared" si="2"/>
        <v>215</v>
      </c>
      <c r="O11" s="215">
        <f t="shared" si="3"/>
        <v>215</v>
      </c>
    </row>
    <row r="12" spans="5:15">
      <c r="E12" s="213" t="s">
        <v>39</v>
      </c>
      <c r="F12" s="213" t="s">
        <v>2138</v>
      </c>
      <c r="G12" s="213" t="s">
        <v>282</v>
      </c>
      <c r="H12" s="213">
        <v>225</v>
      </c>
      <c r="I12" s="213">
        <v>225</v>
      </c>
      <c r="K12" s="214" t="str">
        <f t="shared" si="0"/>
        <v>ADR</v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>BIDU</v>
      </c>
      <c r="M12" s="214" t="str">
        <f t="shared" si="1"/>
        <v>EQTY.IntlUS.off</v>
      </c>
      <c r="N12" s="215">
        <f t="shared" si="2"/>
        <v>225</v>
      </c>
      <c r="O12" s="215">
        <f t="shared" si="3"/>
        <v>225</v>
      </c>
    </row>
    <row r="13" spans="5:15">
      <c r="E13" s="213" t="s">
        <v>321</v>
      </c>
      <c r="F13" s="213" t="s">
        <v>295</v>
      </c>
      <c r="G13" s="213" t="s">
        <v>282</v>
      </c>
      <c r="H13" s="213">
        <v>0.05</v>
      </c>
      <c r="I13" s="213">
        <v>0.05</v>
      </c>
      <c r="K13" s="214" t="str">
        <f t="shared" si="0"/>
        <v>Cash</v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>Cash CAD</v>
      </c>
      <c r="M13" s="214" t="str">
        <f t="shared" si="1"/>
        <v>EQTY.IntlUS.off</v>
      </c>
      <c r="N13" s="215">
        <f t="shared" si="2"/>
        <v>0.05</v>
      </c>
      <c r="O13" s="215">
        <f t="shared" si="3"/>
        <v>0.05</v>
      </c>
    </row>
    <row r="14" spans="5:15">
      <c r="E14" s="213" t="s">
        <v>321</v>
      </c>
      <c r="F14" s="213" t="s">
        <v>296</v>
      </c>
      <c r="G14" s="213" t="s">
        <v>283</v>
      </c>
      <c r="H14" s="213">
        <v>0.49</v>
      </c>
      <c r="I14" s="213">
        <v>0.49</v>
      </c>
      <c r="K14" s="214" t="str">
        <f t="shared" si="0"/>
        <v>Cash</v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>Cash CHF</v>
      </c>
      <c r="M14" s="214" t="str">
        <f t="shared" si="1"/>
        <v>EQTY.InternacionalUS2.off</v>
      </c>
      <c r="N14" s="215">
        <f t="shared" si="2"/>
        <v>0.49</v>
      </c>
      <c r="O14" s="215">
        <f t="shared" si="3"/>
        <v>0.49</v>
      </c>
    </row>
    <row r="15" spans="5:15">
      <c r="E15" s="213" t="s">
        <v>321</v>
      </c>
      <c r="F15" s="213" t="s">
        <v>296</v>
      </c>
      <c r="G15" s="213" t="s">
        <v>282</v>
      </c>
      <c r="H15" s="213">
        <v>-2610.69</v>
      </c>
      <c r="I15" s="213">
        <v>-2610.69</v>
      </c>
      <c r="K15" s="214" t="str">
        <f t="shared" si="0"/>
        <v>Cash</v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>Cash CHF</v>
      </c>
      <c r="M15" s="214" t="str">
        <f t="shared" si="1"/>
        <v>EQTY.IntlUS.off</v>
      </c>
      <c r="N15" s="215">
        <f t="shared" si="2"/>
        <v>-2610.69</v>
      </c>
      <c r="O15" s="215">
        <f t="shared" si="3"/>
        <v>-2610.69</v>
      </c>
    </row>
    <row r="16" spans="5:15">
      <c r="E16" s="213" t="s">
        <v>321</v>
      </c>
      <c r="F16" s="213" t="s">
        <v>297</v>
      </c>
      <c r="G16" s="213" t="s">
        <v>282</v>
      </c>
      <c r="H16" s="213">
        <v>0.16</v>
      </c>
      <c r="I16" s="213">
        <v>0.16</v>
      </c>
      <c r="K16" s="214" t="str">
        <f t="shared" si="0"/>
        <v>Cash</v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>Cash CNH</v>
      </c>
      <c r="M16" s="214" t="str">
        <f t="shared" si="1"/>
        <v>EQTY.IntlUS.off</v>
      </c>
      <c r="N16" s="215">
        <f t="shared" si="2"/>
        <v>0.16</v>
      </c>
      <c r="O16" s="215">
        <f t="shared" si="3"/>
        <v>0.16</v>
      </c>
    </row>
    <row r="17" spans="5:15">
      <c r="E17" s="213" t="s">
        <v>321</v>
      </c>
      <c r="F17" s="213" t="s">
        <v>2123</v>
      </c>
      <c r="G17" s="213" t="s">
        <v>283</v>
      </c>
      <c r="H17" s="213">
        <v>-0.21</v>
      </c>
      <c r="I17" s="213">
        <v>-0.21</v>
      </c>
      <c r="K17" s="214" t="str">
        <f t="shared" si="0"/>
        <v>Cash</v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>Cash CNY</v>
      </c>
      <c r="M17" s="214" t="str">
        <f t="shared" si="1"/>
        <v>EQTY.InternacionalUS2.off</v>
      </c>
      <c r="N17" s="215">
        <f t="shared" si="2"/>
        <v>-0.21</v>
      </c>
      <c r="O17" s="215">
        <f t="shared" si="3"/>
        <v>-0.21</v>
      </c>
    </row>
    <row r="18" spans="5:15">
      <c r="E18" s="213" t="s">
        <v>321</v>
      </c>
      <c r="F18" s="213" t="s">
        <v>2123</v>
      </c>
      <c r="G18" s="213" t="s">
        <v>282</v>
      </c>
      <c r="H18" s="213">
        <v>-10000.790000000001</v>
      </c>
      <c r="I18" s="213">
        <v>-10000.790000000001</v>
      </c>
      <c r="K18" s="214" t="str">
        <f t="shared" si="0"/>
        <v>Cash</v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>Cash CNY</v>
      </c>
      <c r="M18" s="214" t="str">
        <f t="shared" si="1"/>
        <v>EQTY.IntlUS.off</v>
      </c>
      <c r="N18" s="215">
        <f t="shared" si="2"/>
        <v>-10000.790000000001</v>
      </c>
      <c r="O18" s="215">
        <f t="shared" si="3"/>
        <v>-10000.790000000001</v>
      </c>
    </row>
    <row r="19" spans="5:15">
      <c r="E19" s="213" t="s">
        <v>321</v>
      </c>
      <c r="F19" s="213" t="s">
        <v>298</v>
      </c>
      <c r="G19" s="213" t="s">
        <v>283</v>
      </c>
      <c r="H19" s="213">
        <v>0.47</v>
      </c>
      <c r="I19" s="213">
        <v>0.47</v>
      </c>
      <c r="K19" s="214" t="str">
        <f t="shared" si="0"/>
        <v>Cash</v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>Cash EUR</v>
      </c>
      <c r="M19" s="214" t="str">
        <f t="shared" si="1"/>
        <v>EQTY.InternacionalUS2.off</v>
      </c>
      <c r="N19" s="215">
        <f t="shared" si="2"/>
        <v>0.47</v>
      </c>
      <c r="O19" s="215">
        <f t="shared" si="3"/>
        <v>0.47</v>
      </c>
    </row>
    <row r="20" spans="5:15">
      <c r="E20" s="213" t="s">
        <v>321</v>
      </c>
      <c r="F20" s="213" t="s">
        <v>298</v>
      </c>
      <c r="G20" s="213" t="s">
        <v>282</v>
      </c>
      <c r="H20" s="213">
        <v>3233.9</v>
      </c>
      <c r="I20" s="213">
        <v>3233.9</v>
      </c>
      <c r="K20" s="214" t="str">
        <f t="shared" si="0"/>
        <v>Cash</v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>Cash EUR</v>
      </c>
      <c r="M20" s="214" t="str">
        <f t="shared" si="1"/>
        <v>EQTY.IntlUS.off</v>
      </c>
      <c r="N20" s="215">
        <f t="shared" si="2"/>
        <v>3233.9</v>
      </c>
      <c r="O20" s="215">
        <f t="shared" si="3"/>
        <v>3233.9</v>
      </c>
    </row>
    <row r="21" spans="5:15">
      <c r="E21" s="213" t="s">
        <v>321</v>
      </c>
      <c r="F21" s="213" t="s">
        <v>299</v>
      </c>
      <c r="G21" s="213" t="s">
        <v>282</v>
      </c>
      <c r="H21" s="213">
        <v>0.82</v>
      </c>
      <c r="I21" s="213">
        <v>0.82</v>
      </c>
      <c r="K21" s="214" t="str">
        <f t="shared" si="0"/>
        <v>Cash</v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>Cash GBP</v>
      </c>
      <c r="M21" s="214" t="str">
        <f t="shared" si="1"/>
        <v>EQTY.IntlUS.off</v>
      </c>
      <c r="N21" s="215">
        <f t="shared" si="2"/>
        <v>0.82</v>
      </c>
      <c r="O21" s="215">
        <f t="shared" si="3"/>
        <v>0.82</v>
      </c>
    </row>
    <row r="22" spans="5:15">
      <c r="E22" s="213" t="s">
        <v>321</v>
      </c>
      <c r="F22" s="213" t="s">
        <v>300</v>
      </c>
      <c r="G22" s="213" t="s">
        <v>283</v>
      </c>
      <c r="H22" s="213">
        <v>-0.06</v>
      </c>
      <c r="I22" s="213">
        <v>-0.06</v>
      </c>
      <c r="K22" s="214" t="str">
        <f t="shared" si="0"/>
        <v>Cash</v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>Cash HKD</v>
      </c>
      <c r="M22" s="214" t="str">
        <f t="shared" si="1"/>
        <v>EQTY.InternacionalUS2.off</v>
      </c>
      <c r="N22" s="215">
        <f t="shared" si="2"/>
        <v>-0.06</v>
      </c>
      <c r="O22" s="215">
        <f t="shared" si="3"/>
        <v>-0.06</v>
      </c>
    </row>
    <row r="23" spans="5:15">
      <c r="E23" s="213" t="s">
        <v>321</v>
      </c>
      <c r="F23" s="213" t="s">
        <v>300</v>
      </c>
      <c r="G23" s="213" t="s">
        <v>282</v>
      </c>
      <c r="H23" s="213">
        <v>-17957.060000000001</v>
      </c>
      <c r="I23" s="213">
        <v>-17957.060000000001</v>
      </c>
      <c r="K23" s="214" t="str">
        <f t="shared" si="0"/>
        <v>Cash</v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>Cash HKD</v>
      </c>
      <c r="M23" s="214" t="str">
        <f t="shared" si="1"/>
        <v>EQTY.IntlUS.off</v>
      </c>
      <c r="N23" s="215">
        <f t="shared" si="2"/>
        <v>-17957.060000000001</v>
      </c>
      <c r="O23" s="215">
        <f t="shared" si="3"/>
        <v>-17957.060000000001</v>
      </c>
    </row>
    <row r="24" spans="5:15">
      <c r="E24" s="213" t="s">
        <v>321</v>
      </c>
      <c r="F24" s="213" t="s">
        <v>301</v>
      </c>
      <c r="G24" s="213" t="s">
        <v>282</v>
      </c>
      <c r="H24" s="213">
        <v>-0.01</v>
      </c>
      <c r="I24" s="213">
        <v>-0.01</v>
      </c>
      <c r="K24" s="214" t="str">
        <f t="shared" si="0"/>
        <v>Cash</v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>Cash KRW</v>
      </c>
      <c r="M24" s="214" t="str">
        <f t="shared" si="1"/>
        <v>EQTY.IntlUS.off</v>
      </c>
      <c r="N24" s="215">
        <f t="shared" si="2"/>
        <v>-0.01</v>
      </c>
      <c r="O24" s="215">
        <f t="shared" si="3"/>
        <v>-0.01</v>
      </c>
    </row>
    <row r="25" spans="5:15">
      <c r="E25" s="213" t="s">
        <v>321</v>
      </c>
      <c r="F25" s="213" t="s">
        <v>302</v>
      </c>
      <c r="G25" s="213" t="s">
        <v>283</v>
      </c>
      <c r="H25" s="213">
        <v>9.9999999997066897E-3</v>
      </c>
      <c r="I25" s="213">
        <v>0</v>
      </c>
      <c r="K25" s="214" t="str">
        <f t="shared" si="0"/>
        <v>Cash</v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>Cash USD</v>
      </c>
      <c r="M25" s="214" t="str">
        <f t="shared" si="1"/>
        <v>EQTY.InternacionalUS2.off</v>
      </c>
      <c r="N25" s="215">
        <f t="shared" si="2"/>
        <v>9.9999999997066897E-3</v>
      </c>
      <c r="O25" s="215">
        <f t="shared" si="3"/>
        <v>0</v>
      </c>
    </row>
    <row r="26" spans="5:15">
      <c r="E26" s="213" t="s">
        <v>321</v>
      </c>
      <c r="F26" s="213" t="s">
        <v>302</v>
      </c>
      <c r="G26" s="213" t="s">
        <v>282</v>
      </c>
      <c r="H26" s="213">
        <v>-151975.24614408999</v>
      </c>
      <c r="I26" s="213">
        <v>3.8559100000000002E-3</v>
      </c>
      <c r="K26" s="214" t="str">
        <f t="shared" si="0"/>
        <v>Cash</v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>Cash USD</v>
      </c>
      <c r="M26" s="214" t="str">
        <f t="shared" si="1"/>
        <v>EQTY.IntlUS.off</v>
      </c>
      <c r="N26" s="215">
        <f t="shared" si="2"/>
        <v>-151975.24614408999</v>
      </c>
      <c r="O26" s="215">
        <f t="shared" si="3"/>
        <v>3.8559100000000002E-3</v>
      </c>
    </row>
    <row r="27" spans="5:15">
      <c r="E27" s="213" t="s">
        <v>477</v>
      </c>
      <c r="F27" s="213" t="s">
        <v>1906</v>
      </c>
      <c r="G27" s="213" t="s">
        <v>282</v>
      </c>
      <c r="H27" s="213">
        <v>375000</v>
      </c>
      <c r="I27" s="213">
        <v>375000</v>
      </c>
      <c r="K27" s="214" t="str">
        <f t="shared" si="0"/>
        <v>CDS</v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>CHINAGOV 12/20/30</v>
      </c>
      <c r="M27" s="214" t="str">
        <f t="shared" si="1"/>
        <v>EQTY.IntlUS.off</v>
      </c>
      <c r="N27" s="215">
        <f t="shared" si="2"/>
        <v>375000</v>
      </c>
      <c r="O27" s="215">
        <f t="shared" si="3"/>
        <v>375000</v>
      </c>
    </row>
    <row r="28" spans="5:15">
      <c r="E28" s="213" t="s">
        <v>317</v>
      </c>
      <c r="F28" s="213" t="s">
        <v>2345</v>
      </c>
      <c r="G28" s="213" t="s">
        <v>282</v>
      </c>
      <c r="H28" s="213">
        <v>1874</v>
      </c>
      <c r="I28" s="213">
        <v>1874</v>
      </c>
      <c r="K28" s="214" t="str">
        <f t="shared" si="0"/>
        <v>US Equity</v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>CSCO</v>
      </c>
      <c r="M28" s="214" t="str">
        <f t="shared" si="1"/>
        <v>EQTY.IntlUS.off</v>
      </c>
      <c r="N28" s="215">
        <f t="shared" si="2"/>
        <v>1874</v>
      </c>
      <c r="O28" s="215">
        <f t="shared" si="3"/>
        <v>1874</v>
      </c>
    </row>
    <row r="29" spans="5:15">
      <c r="E29" s="213" t="s">
        <v>318</v>
      </c>
      <c r="F29" s="213" t="s">
        <v>2268</v>
      </c>
      <c r="G29" s="213" t="s">
        <v>283</v>
      </c>
      <c r="H29" s="225">
        <v>-3.3537408961059599E-14</v>
      </c>
      <c r="I29" s="213">
        <v>0.01</v>
      </c>
      <c r="K29" s="214" t="str">
        <f t="shared" si="0"/>
        <v>Provisions and Costs</v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>DELL DIVIDEND_</v>
      </c>
      <c r="M29" s="214" t="str">
        <f t="shared" si="1"/>
        <v>EQTY.InternacionalUS2.off</v>
      </c>
      <c r="N29" s="215">
        <f t="shared" si="2"/>
        <v>-3.3537408961059599E-14</v>
      </c>
      <c r="O29" s="215">
        <f t="shared" si="3"/>
        <v>0.01</v>
      </c>
    </row>
    <row r="30" spans="5:15">
      <c r="E30" s="213" t="s">
        <v>320</v>
      </c>
      <c r="F30" s="213" t="s">
        <v>1754</v>
      </c>
      <c r="G30" s="213" t="s">
        <v>282</v>
      </c>
      <c r="H30" s="213">
        <v>3005</v>
      </c>
      <c r="I30" s="213">
        <v>3005</v>
      </c>
      <c r="K30" s="214" t="str">
        <f t="shared" si="0"/>
        <v>ETF</v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>EWY</v>
      </c>
      <c r="M30" s="214" t="str">
        <f t="shared" si="1"/>
        <v>EQTY.IntlUS.off</v>
      </c>
      <c r="N30" s="215">
        <f t="shared" si="2"/>
        <v>3005</v>
      </c>
      <c r="O30" s="215">
        <f t="shared" si="3"/>
        <v>3005</v>
      </c>
    </row>
    <row r="31" spans="5:15">
      <c r="E31" s="213" t="s">
        <v>320</v>
      </c>
      <c r="F31" s="213" t="s">
        <v>131</v>
      </c>
      <c r="G31" s="213" t="s">
        <v>282</v>
      </c>
      <c r="H31" s="213">
        <v>1273</v>
      </c>
      <c r="I31" s="213">
        <v>1668</v>
      </c>
      <c r="K31" s="214" t="str">
        <f t="shared" si="0"/>
        <v>ETF</v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 xml:space="preserve">GDX </v>
      </c>
      <c r="M31" s="214" t="str">
        <f t="shared" si="1"/>
        <v>EQTY.IntlUS.off</v>
      </c>
      <c r="N31" s="215">
        <f t="shared" si="2"/>
        <v>1273</v>
      </c>
      <c r="O31" s="215">
        <f t="shared" si="3"/>
        <v>1668</v>
      </c>
    </row>
    <row r="32" spans="5:15">
      <c r="E32" s="213" t="s">
        <v>324</v>
      </c>
      <c r="F32" s="213" t="s">
        <v>2259</v>
      </c>
      <c r="G32" s="213" t="s">
        <v>282</v>
      </c>
      <c r="H32" s="213">
        <v>53</v>
      </c>
      <c r="I32" s="213">
        <v>69</v>
      </c>
      <c r="K32" s="214" t="str">
        <f t="shared" si="0"/>
        <v>ETF Options</v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>GDX US 09/18/26 C105</v>
      </c>
      <c r="M32" s="214" t="str">
        <f t="shared" si="1"/>
        <v>EQTY.IntlUS.off</v>
      </c>
      <c r="N32" s="215">
        <f t="shared" si="2"/>
        <v>53</v>
      </c>
      <c r="O32" s="215">
        <f t="shared" si="3"/>
        <v>69</v>
      </c>
    </row>
    <row r="33" spans="5:15">
      <c r="E33" s="213" t="s">
        <v>324</v>
      </c>
      <c r="F33" s="213" t="s">
        <v>2260</v>
      </c>
      <c r="G33" s="213" t="s">
        <v>282</v>
      </c>
      <c r="H33" s="213">
        <v>-53</v>
      </c>
      <c r="I33" s="213">
        <v>-69</v>
      </c>
      <c r="K33" s="214" t="str">
        <f t="shared" si="0"/>
        <v>ETF Options</v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>GDX US 09/18/26 C115</v>
      </c>
      <c r="M33" s="214" t="str">
        <f t="shared" si="1"/>
        <v>EQTY.IntlUS.off</v>
      </c>
      <c r="N33" s="215">
        <f t="shared" si="2"/>
        <v>-53</v>
      </c>
      <c r="O33" s="215">
        <f t="shared" si="3"/>
        <v>-69</v>
      </c>
    </row>
    <row r="34" spans="5:15">
      <c r="E34" s="213" t="s">
        <v>317</v>
      </c>
      <c r="F34" s="213" t="s">
        <v>2145</v>
      </c>
      <c r="G34" s="213" t="s">
        <v>282</v>
      </c>
      <c r="H34" s="213">
        <v>906</v>
      </c>
      <c r="I34" s="213">
        <v>906</v>
      </c>
      <c r="K34" s="214" t="str">
        <f t="shared" si="0"/>
        <v>US Equity</v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>GOOG</v>
      </c>
      <c r="M34" s="214" t="str">
        <f t="shared" si="1"/>
        <v>EQTY.IntlUS.off</v>
      </c>
      <c r="N34" s="215">
        <f t="shared" si="2"/>
        <v>906</v>
      </c>
      <c r="O34" s="215">
        <f t="shared" si="3"/>
        <v>906</v>
      </c>
    </row>
    <row r="35" spans="5:15">
      <c r="E35" s="213" t="s">
        <v>325</v>
      </c>
      <c r="F35" s="213" t="s">
        <v>1896</v>
      </c>
      <c r="G35" s="213" t="s">
        <v>282</v>
      </c>
      <c r="H35" s="213">
        <v>19314</v>
      </c>
      <c r="I35" s="213">
        <v>19314</v>
      </c>
      <c r="K35" s="214" t="str">
        <f t="shared" si="0"/>
        <v>Basket Index Options</v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>GSC1000P 03/20/26 C104</v>
      </c>
      <c r="M35" s="214" t="str">
        <f t="shared" si="1"/>
        <v>EQTY.IntlUS.off</v>
      </c>
      <c r="N35" s="215">
        <f t="shared" si="2"/>
        <v>19314</v>
      </c>
      <c r="O35" s="215">
        <f t="shared" si="3"/>
        <v>19314</v>
      </c>
    </row>
    <row r="36" spans="5:15">
      <c r="E36" s="213" t="s">
        <v>325</v>
      </c>
      <c r="F36" s="213" t="s">
        <v>1897</v>
      </c>
      <c r="G36" s="213" t="s">
        <v>282</v>
      </c>
      <c r="H36" s="213">
        <v>-19314</v>
      </c>
      <c r="I36" s="213">
        <v>-19314</v>
      </c>
      <c r="K36" s="214" t="str">
        <f t="shared" si="0"/>
        <v>Basket Index Options</v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>GSC1000P 03/20/26 C119</v>
      </c>
      <c r="M36" s="214" t="str">
        <f t="shared" si="1"/>
        <v>EQTY.IntlUS.off</v>
      </c>
      <c r="N36" s="215">
        <f t="shared" si="2"/>
        <v>-19314</v>
      </c>
      <c r="O36" s="215">
        <f t="shared" si="3"/>
        <v>-19314</v>
      </c>
    </row>
    <row r="37" spans="5:15">
      <c r="E37" s="213" t="s">
        <v>317</v>
      </c>
      <c r="F37" s="213" t="s">
        <v>1740</v>
      </c>
      <c r="G37" s="213" t="s">
        <v>282</v>
      </c>
      <c r="H37" s="213">
        <v>0</v>
      </c>
      <c r="I37" s="213">
        <v>0</v>
      </c>
      <c r="K37" s="214" t="str">
        <f t="shared" si="0"/>
        <v>US Equity</v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>HOOD</v>
      </c>
      <c r="M37" s="214" t="str">
        <f t="shared" si="1"/>
        <v>EQTY.IntlUS.off</v>
      </c>
      <c r="N37" s="215">
        <f t="shared" si="2"/>
        <v>0</v>
      </c>
      <c r="O37" s="215">
        <f t="shared" si="3"/>
        <v>0</v>
      </c>
    </row>
    <row r="38" spans="5:15">
      <c r="E38" s="213" t="s">
        <v>320</v>
      </c>
      <c r="F38" s="213" t="s">
        <v>89</v>
      </c>
      <c r="G38" s="213" t="s">
        <v>282</v>
      </c>
      <c r="H38" s="213">
        <v>-1580</v>
      </c>
      <c r="I38" s="213">
        <v>-792</v>
      </c>
      <c r="K38" s="214" t="str">
        <f t="shared" si="0"/>
        <v>ETF</v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>IGV</v>
      </c>
      <c r="M38" s="214" t="str">
        <f t="shared" si="1"/>
        <v>EQTY.IntlUS.off</v>
      </c>
      <c r="N38" s="215">
        <f t="shared" si="2"/>
        <v>-1580</v>
      </c>
      <c r="O38" s="215">
        <f t="shared" si="3"/>
        <v>-792</v>
      </c>
    </row>
    <row r="39" spans="5:15">
      <c r="E39" s="213" t="s">
        <v>319</v>
      </c>
      <c r="F39" s="213" t="s">
        <v>2325</v>
      </c>
      <c r="G39" s="213" t="s">
        <v>282</v>
      </c>
      <c r="H39" s="213">
        <v>15</v>
      </c>
      <c r="I39" s="213">
        <v>13</v>
      </c>
      <c r="K39" s="214" t="str">
        <f t="shared" si="0"/>
        <v>US Equity Options</v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>INTC US 07/17/26 C50</v>
      </c>
      <c r="M39" s="214" t="str">
        <f t="shared" si="1"/>
        <v>EQTY.IntlUS.off</v>
      </c>
      <c r="N39" s="215">
        <f t="shared" si="2"/>
        <v>15</v>
      </c>
      <c r="O39" s="215">
        <f t="shared" si="3"/>
        <v>13</v>
      </c>
    </row>
    <row r="40" spans="5:15">
      <c r="E40" s="213" t="s">
        <v>319</v>
      </c>
      <c r="F40" s="213" t="s">
        <v>2326</v>
      </c>
      <c r="G40" s="213" t="s">
        <v>282</v>
      </c>
      <c r="H40" s="213">
        <v>-9</v>
      </c>
      <c r="I40" s="213">
        <v>-9</v>
      </c>
      <c r="K40" s="214" t="str">
        <f t="shared" si="0"/>
        <v>US Equity Options</v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>INTC US 07/17/26 C60</v>
      </c>
      <c r="M40" s="214" t="str">
        <f t="shared" si="1"/>
        <v>EQTY.IntlUS.off</v>
      </c>
      <c r="N40" s="215">
        <f t="shared" si="2"/>
        <v>-9</v>
      </c>
      <c r="O40" s="215">
        <f t="shared" si="3"/>
        <v>-9</v>
      </c>
    </row>
    <row r="41" spans="5:15">
      <c r="E41" s="213" t="s">
        <v>319</v>
      </c>
      <c r="F41" s="213" t="s">
        <v>2324</v>
      </c>
      <c r="G41" s="213" t="s">
        <v>282</v>
      </c>
      <c r="H41" s="213">
        <v>-9</v>
      </c>
      <c r="I41" s="213">
        <v>-9</v>
      </c>
      <c r="K41" s="214" t="str">
        <f t="shared" si="0"/>
        <v>US Equity Options</v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>INTC US 07/17/26 P40</v>
      </c>
      <c r="M41" s="214" t="str">
        <f t="shared" si="1"/>
        <v>EQTY.IntlUS.off</v>
      </c>
      <c r="N41" s="215">
        <f t="shared" si="2"/>
        <v>-9</v>
      </c>
      <c r="O41" s="215">
        <f t="shared" si="3"/>
        <v>-9</v>
      </c>
    </row>
    <row r="42" spans="5:15">
      <c r="E42" s="213" t="s">
        <v>317</v>
      </c>
      <c r="F42" s="213" t="s">
        <v>2261</v>
      </c>
      <c r="G42" s="213" t="s">
        <v>282</v>
      </c>
      <c r="H42" s="213">
        <v>-718</v>
      </c>
      <c r="I42" s="213">
        <v>-718</v>
      </c>
      <c r="K42" s="214" t="str">
        <f t="shared" si="0"/>
        <v>US Equity</v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>KHC</v>
      </c>
      <c r="M42" s="214" t="str">
        <f t="shared" si="1"/>
        <v>EQTY.IntlUS.off</v>
      </c>
      <c r="N42" s="215">
        <f t="shared" si="2"/>
        <v>-718</v>
      </c>
      <c r="O42" s="215">
        <f t="shared" si="3"/>
        <v>-718</v>
      </c>
    </row>
    <row r="43" spans="5:15">
      <c r="E43" s="213" t="s">
        <v>2322</v>
      </c>
      <c r="F43" s="213" t="s">
        <v>2299</v>
      </c>
      <c r="G43" s="213" t="s">
        <v>282</v>
      </c>
      <c r="H43" s="213">
        <v>685255</v>
      </c>
      <c r="I43" s="213">
        <v>685255</v>
      </c>
      <c r="K43" s="214" t="str">
        <f t="shared" si="0"/>
        <v>KOSPI 200 Index Options - KRX</v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>KOSPI2 12/10/26 C1000</v>
      </c>
      <c r="M43" s="214" t="str">
        <f t="shared" si="1"/>
        <v>EQTY.IntlUS.off</v>
      </c>
      <c r="N43" s="215">
        <f t="shared" si="2"/>
        <v>685255</v>
      </c>
      <c r="O43" s="215">
        <f t="shared" si="3"/>
        <v>685255</v>
      </c>
    </row>
    <row r="44" spans="5:15">
      <c r="E44" s="213" t="s">
        <v>317</v>
      </c>
      <c r="F44" s="213" t="s">
        <v>2063</v>
      </c>
      <c r="G44" s="213" t="s">
        <v>282</v>
      </c>
      <c r="H44" s="213">
        <v>59</v>
      </c>
      <c r="I44" s="213">
        <v>59</v>
      </c>
      <c r="K44" s="214" t="str">
        <f t="shared" si="0"/>
        <v>US Equity</v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>LITE</v>
      </c>
      <c r="M44" s="214" t="str">
        <f t="shared" si="1"/>
        <v>EQTY.IntlUS.off</v>
      </c>
      <c r="N44" s="215">
        <f t="shared" si="2"/>
        <v>59</v>
      </c>
      <c r="O44" s="215">
        <f t="shared" si="3"/>
        <v>59</v>
      </c>
    </row>
    <row r="45" spans="5:15">
      <c r="E45" s="213" t="s">
        <v>319</v>
      </c>
      <c r="F45" s="213" t="s">
        <v>2283</v>
      </c>
      <c r="G45" s="213" t="s">
        <v>282</v>
      </c>
      <c r="H45" s="213">
        <v>4</v>
      </c>
      <c r="I45" s="213">
        <v>4</v>
      </c>
      <c r="K45" s="214" t="str">
        <f t="shared" si="0"/>
        <v>US Equity Options</v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>LITE US 03/20/26 C420</v>
      </c>
      <c r="M45" s="214" t="str">
        <f t="shared" si="1"/>
        <v>EQTY.IntlUS.off</v>
      </c>
      <c r="N45" s="215">
        <f t="shared" si="2"/>
        <v>4</v>
      </c>
      <c r="O45" s="215">
        <f t="shared" si="3"/>
        <v>4</v>
      </c>
    </row>
    <row r="46" spans="5:15">
      <c r="E46" s="213" t="s">
        <v>464</v>
      </c>
      <c r="F46" s="213" t="s">
        <v>2404</v>
      </c>
      <c r="G46" s="213" t="s">
        <v>282</v>
      </c>
      <c r="H46" s="213">
        <v>-628000</v>
      </c>
      <c r="I46" s="213">
        <v>-628000</v>
      </c>
      <c r="K46" s="214" t="str">
        <f t="shared" si="0"/>
        <v>Global Bonds</v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>META 4.875% 11/15/35</v>
      </c>
      <c r="M46" s="214" t="str">
        <f t="shared" si="1"/>
        <v>EQTY.IntlUS.off</v>
      </c>
      <c r="N46" s="215">
        <f t="shared" si="2"/>
        <v>-628000</v>
      </c>
      <c r="O46" s="215">
        <f t="shared" si="3"/>
        <v>-628000</v>
      </c>
    </row>
    <row r="47" spans="5:15">
      <c r="E47" s="213" t="s">
        <v>317</v>
      </c>
      <c r="F47" s="213" t="s">
        <v>326</v>
      </c>
      <c r="G47" s="213" t="s">
        <v>282</v>
      </c>
      <c r="H47" s="213">
        <v>347</v>
      </c>
      <c r="I47" s="213">
        <v>241</v>
      </c>
      <c r="K47" s="214" t="str">
        <f t="shared" si="0"/>
        <v>US Equity</v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>META</v>
      </c>
      <c r="M47" s="214" t="str">
        <f t="shared" si="1"/>
        <v>EQTY.IntlUS.off</v>
      </c>
      <c r="N47" s="215">
        <f t="shared" si="2"/>
        <v>347</v>
      </c>
      <c r="O47" s="215">
        <f t="shared" si="3"/>
        <v>241</v>
      </c>
    </row>
    <row r="48" spans="5:15">
      <c r="E48" s="213" t="s">
        <v>319</v>
      </c>
      <c r="F48" s="213" t="s">
        <v>2068</v>
      </c>
      <c r="G48" s="213" t="s">
        <v>282</v>
      </c>
      <c r="H48" s="213">
        <v>0</v>
      </c>
      <c r="I48" s="213">
        <v>3</v>
      </c>
      <c r="K48" s="214" t="str">
        <f t="shared" si="0"/>
        <v>US Equity Options</v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>META US 04/17/26 C690</v>
      </c>
      <c r="M48" s="214" t="str">
        <f t="shared" si="1"/>
        <v>EQTY.IntlUS.off</v>
      </c>
      <c r="N48" s="215">
        <f t="shared" si="2"/>
        <v>0</v>
      </c>
      <c r="O48" s="215">
        <f t="shared" si="3"/>
        <v>3</v>
      </c>
    </row>
    <row r="49" spans="5:15">
      <c r="E49" s="213" t="s">
        <v>319</v>
      </c>
      <c r="F49" s="213" t="s">
        <v>2402</v>
      </c>
      <c r="G49" s="213" t="s">
        <v>282</v>
      </c>
      <c r="H49" s="213">
        <v>5</v>
      </c>
      <c r="I49" s="213">
        <v>5</v>
      </c>
      <c r="K49" s="214" t="str">
        <f t="shared" si="0"/>
        <v>US Equity Options</v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>META US 07/17/26 C700</v>
      </c>
      <c r="M49" s="214" t="str">
        <f t="shared" si="1"/>
        <v>EQTY.IntlUS.off</v>
      </c>
      <c r="N49" s="215">
        <f t="shared" si="2"/>
        <v>5</v>
      </c>
      <c r="O49" s="215">
        <f t="shared" si="3"/>
        <v>5</v>
      </c>
    </row>
    <row r="50" spans="5:15">
      <c r="E50" s="213" t="s">
        <v>319</v>
      </c>
      <c r="F50" s="213" t="s">
        <v>2456</v>
      </c>
      <c r="G50" s="213" t="s">
        <v>282</v>
      </c>
      <c r="H50" s="213">
        <v>2</v>
      </c>
      <c r="I50" s="213">
        <v>0</v>
      </c>
      <c r="K50" s="214" t="str">
        <f t="shared" si="0"/>
        <v>US Equity Options</v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>META US 07/17/26 C750</v>
      </c>
      <c r="M50" s="214" t="str">
        <f t="shared" si="1"/>
        <v>EQTY.IntlUS.off</v>
      </c>
      <c r="N50" s="215">
        <f t="shared" si="2"/>
        <v>2</v>
      </c>
      <c r="O50" s="215">
        <f t="shared" si="3"/>
        <v>0</v>
      </c>
    </row>
    <row r="51" spans="5:15">
      <c r="E51" s="213" t="s">
        <v>317</v>
      </c>
      <c r="F51" s="213" t="s">
        <v>138</v>
      </c>
      <c r="G51" s="213" t="s">
        <v>282</v>
      </c>
      <c r="H51" s="213">
        <v>180</v>
      </c>
      <c r="I51" s="213">
        <v>180</v>
      </c>
      <c r="K51" s="214" t="str">
        <f t="shared" si="0"/>
        <v>US Equity</v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>MRVL</v>
      </c>
      <c r="M51" s="214" t="str">
        <f t="shared" si="1"/>
        <v>EQTY.IntlUS.off</v>
      </c>
      <c r="N51" s="215">
        <f t="shared" si="2"/>
        <v>180</v>
      </c>
      <c r="O51" s="215">
        <f t="shared" si="3"/>
        <v>180</v>
      </c>
    </row>
    <row r="52" spans="5:15">
      <c r="E52" s="213" t="s">
        <v>319</v>
      </c>
      <c r="F52" s="213" t="s">
        <v>2271</v>
      </c>
      <c r="G52" s="213" t="s">
        <v>282</v>
      </c>
      <c r="H52" s="213">
        <v>-9</v>
      </c>
      <c r="I52" s="213">
        <v>-9</v>
      </c>
      <c r="K52" s="214" t="str">
        <f t="shared" si="0"/>
        <v>US Equity Options</v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>MRVL US 03/20/26 P70</v>
      </c>
      <c r="M52" s="214" t="str">
        <f t="shared" si="1"/>
        <v>EQTY.IntlUS.off</v>
      </c>
      <c r="N52" s="215">
        <f t="shared" si="2"/>
        <v>-9</v>
      </c>
      <c r="O52" s="215">
        <f t="shared" si="3"/>
        <v>-9</v>
      </c>
    </row>
    <row r="53" spans="5:15">
      <c r="E53" s="213" t="s">
        <v>319</v>
      </c>
      <c r="F53" s="213" t="s">
        <v>2095</v>
      </c>
      <c r="G53" s="213" t="s">
        <v>282</v>
      </c>
      <c r="H53" s="213">
        <v>-12</v>
      </c>
      <c r="I53" s="213">
        <v>-12</v>
      </c>
      <c r="K53" s="214" t="str">
        <f t="shared" si="0"/>
        <v>US Equity Options</v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>MRVL US 03/20/26 P75</v>
      </c>
      <c r="M53" s="214" t="str">
        <f t="shared" si="1"/>
        <v>EQTY.IntlUS.off</v>
      </c>
      <c r="N53" s="215">
        <f t="shared" si="2"/>
        <v>-12</v>
      </c>
      <c r="O53" s="215">
        <f t="shared" si="3"/>
        <v>-12</v>
      </c>
    </row>
    <row r="54" spans="5:15">
      <c r="E54" s="213" t="s">
        <v>319</v>
      </c>
      <c r="F54" s="213" t="s">
        <v>2058</v>
      </c>
      <c r="G54" s="213" t="s">
        <v>282</v>
      </c>
      <c r="H54" s="213">
        <v>9</v>
      </c>
      <c r="I54" s="213">
        <v>9</v>
      </c>
      <c r="K54" s="214" t="str">
        <f t="shared" si="0"/>
        <v>US Equity Options</v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>MRVL US 03/20/26 P80</v>
      </c>
      <c r="M54" s="214" t="str">
        <f t="shared" si="1"/>
        <v>EQTY.IntlUS.off</v>
      </c>
      <c r="N54" s="215">
        <f t="shared" si="2"/>
        <v>9</v>
      </c>
      <c r="O54" s="215">
        <f t="shared" si="3"/>
        <v>9</v>
      </c>
    </row>
    <row r="55" spans="5:15">
      <c r="E55" s="213" t="s">
        <v>319</v>
      </c>
      <c r="F55" s="213" t="s">
        <v>2094</v>
      </c>
      <c r="G55" s="213" t="s">
        <v>282</v>
      </c>
      <c r="H55" s="213">
        <v>14</v>
      </c>
      <c r="I55" s="213">
        <v>14</v>
      </c>
      <c r="K55" s="214" t="str">
        <f t="shared" si="0"/>
        <v>US Equity Options</v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>MRVL US 03/20/26 P85</v>
      </c>
      <c r="M55" s="214" t="str">
        <f t="shared" si="1"/>
        <v>EQTY.IntlUS.off</v>
      </c>
      <c r="N55" s="215">
        <f t="shared" si="2"/>
        <v>14</v>
      </c>
      <c r="O55" s="215">
        <f t="shared" si="3"/>
        <v>14</v>
      </c>
    </row>
    <row r="56" spans="5:15">
      <c r="E56" s="213" t="s">
        <v>317</v>
      </c>
      <c r="F56" s="213" t="s">
        <v>90</v>
      </c>
      <c r="G56" s="213" t="s">
        <v>282</v>
      </c>
      <c r="H56" s="213">
        <v>270</v>
      </c>
      <c r="I56" s="213">
        <v>270</v>
      </c>
      <c r="K56" s="214" t="str">
        <f t="shared" si="0"/>
        <v>US Equity</v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>MSFT</v>
      </c>
      <c r="M56" s="214" t="str">
        <f t="shared" si="1"/>
        <v>EQTY.IntlUS.off</v>
      </c>
      <c r="N56" s="215">
        <f t="shared" si="2"/>
        <v>270</v>
      </c>
      <c r="O56" s="215">
        <f t="shared" si="3"/>
        <v>270</v>
      </c>
    </row>
    <row r="57" spans="5:15">
      <c r="E57" s="213" t="s">
        <v>2465</v>
      </c>
      <c r="F57" s="213" t="s">
        <v>2466</v>
      </c>
      <c r="G57" s="213" t="s">
        <v>282</v>
      </c>
      <c r="H57" s="213">
        <v>-1</v>
      </c>
      <c r="I57" s="213">
        <v>0</v>
      </c>
      <c r="K57" s="214" t="str">
        <f t="shared" si="0"/>
        <v>NASDAQ-100 E-mini Futures - CME</v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>NQH6</v>
      </c>
      <c r="M57" s="214" t="str">
        <f t="shared" si="1"/>
        <v>EQTY.IntlUS.off</v>
      </c>
      <c r="N57" s="215">
        <f t="shared" si="2"/>
        <v>-1</v>
      </c>
      <c r="O57" s="215">
        <f t="shared" si="3"/>
        <v>0</v>
      </c>
    </row>
    <row r="58" spans="5:15">
      <c r="E58" s="213" t="s">
        <v>317</v>
      </c>
      <c r="F58" s="213" t="s">
        <v>94</v>
      </c>
      <c r="G58" s="213" t="s">
        <v>282</v>
      </c>
      <c r="H58" s="213">
        <v>1305</v>
      </c>
      <c r="I58" s="213">
        <v>1305</v>
      </c>
      <c r="K58" s="214" t="str">
        <f t="shared" si="0"/>
        <v>US Equity</v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>NVDA</v>
      </c>
      <c r="M58" s="214" t="str">
        <f t="shared" si="1"/>
        <v>EQTY.IntlUS.off</v>
      </c>
      <c r="N58" s="215">
        <f t="shared" si="2"/>
        <v>1305</v>
      </c>
      <c r="O58" s="215">
        <f t="shared" si="3"/>
        <v>1305</v>
      </c>
    </row>
    <row r="59" spans="5:15">
      <c r="E59" s="213" t="s">
        <v>319</v>
      </c>
      <c r="F59" s="213" t="s">
        <v>2388</v>
      </c>
      <c r="G59" s="213" t="s">
        <v>282</v>
      </c>
      <c r="H59" s="213">
        <v>8</v>
      </c>
      <c r="I59" s="213">
        <v>8</v>
      </c>
      <c r="K59" s="214" t="str">
        <f t="shared" si="0"/>
        <v>US Equity Options</v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>NVDA US 05/15/26 C200</v>
      </c>
      <c r="M59" s="214" t="str">
        <f t="shared" si="1"/>
        <v>EQTY.IntlUS.off</v>
      </c>
      <c r="N59" s="215">
        <f t="shared" si="2"/>
        <v>8</v>
      </c>
      <c r="O59" s="215">
        <f t="shared" si="3"/>
        <v>8</v>
      </c>
    </row>
    <row r="60" spans="5:15">
      <c r="E60" s="213" t="s">
        <v>318</v>
      </c>
      <c r="F60" s="213" t="s">
        <v>2405</v>
      </c>
      <c r="G60" s="213" t="s">
        <v>282</v>
      </c>
      <c r="H60" s="213">
        <v>0</v>
      </c>
      <c r="I60" s="213">
        <v>995.58</v>
      </c>
      <c r="K60" s="214" t="str">
        <f t="shared" si="0"/>
        <v>Provisions and Costs</v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>Provision Equity Total Return Swap USD_</v>
      </c>
      <c r="M60" s="214" t="str">
        <f t="shared" si="1"/>
        <v>EQTY.IntlUS.off</v>
      </c>
      <c r="N60" s="215">
        <f t="shared" si="2"/>
        <v>0</v>
      </c>
      <c r="O60" s="215">
        <f t="shared" si="3"/>
        <v>995.58</v>
      </c>
    </row>
    <row r="61" spans="5:15">
      <c r="E61" s="213" t="s">
        <v>318</v>
      </c>
      <c r="F61" s="213" t="s">
        <v>336</v>
      </c>
      <c r="G61" s="213" t="s">
        <v>282</v>
      </c>
      <c r="H61" s="213">
        <v>0</v>
      </c>
      <c r="I61" s="213">
        <v>-3681</v>
      </c>
      <c r="K61" s="214" t="str">
        <f t="shared" si="0"/>
        <v>Provisions and Costs</v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>Provision ETF Options USD_</v>
      </c>
      <c r="M61" s="214" t="str">
        <f t="shared" si="1"/>
        <v>EQTY.IntlUS.off</v>
      </c>
      <c r="N61" s="215">
        <f t="shared" si="2"/>
        <v>0</v>
      </c>
      <c r="O61" s="215">
        <f t="shared" si="3"/>
        <v>-3681</v>
      </c>
    </row>
    <row r="62" spans="5:15">
      <c r="E62" s="213" t="s">
        <v>318</v>
      </c>
      <c r="F62" s="213" t="s">
        <v>306</v>
      </c>
      <c r="G62" s="213" t="s">
        <v>282</v>
      </c>
      <c r="H62" s="225">
        <v>-1.16415321826935E-10</v>
      </c>
      <c r="I62" s="213">
        <v>156773.10999999999</v>
      </c>
      <c r="K62" s="214" t="str">
        <f t="shared" si="0"/>
        <v>Provisions and Costs</v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>Provision ETF USD_</v>
      </c>
      <c r="M62" s="214" t="str">
        <f t="shared" si="1"/>
        <v>EQTY.IntlUS.off</v>
      </c>
      <c r="N62" s="215">
        <f t="shared" si="2"/>
        <v>-1.16415321826935E-10</v>
      </c>
      <c r="O62" s="215">
        <f t="shared" si="3"/>
        <v>156773.10999999999</v>
      </c>
    </row>
    <row r="63" spans="5:15">
      <c r="E63" s="213" t="s">
        <v>318</v>
      </c>
      <c r="F63" s="213" t="s">
        <v>1666</v>
      </c>
      <c r="G63" s="213" t="s">
        <v>282</v>
      </c>
      <c r="H63" s="213">
        <v>0</v>
      </c>
      <c r="I63" s="213">
        <v>-52176.43</v>
      </c>
      <c r="K63" s="214" t="str">
        <f t="shared" si="0"/>
        <v>Provisions and Costs</v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>Provision NYSE USD_</v>
      </c>
      <c r="M63" s="214" t="str">
        <f t="shared" si="1"/>
        <v>EQTY.IntlUS.off</v>
      </c>
      <c r="N63" s="215">
        <f t="shared" si="2"/>
        <v>0</v>
      </c>
      <c r="O63" s="215">
        <f t="shared" si="3"/>
        <v>-52176.43</v>
      </c>
    </row>
    <row r="64" spans="5:15">
      <c r="E64" s="213" t="s">
        <v>318</v>
      </c>
      <c r="F64" s="213" t="s">
        <v>337</v>
      </c>
      <c r="G64" s="213" t="s">
        <v>282</v>
      </c>
      <c r="H64" s="213">
        <v>0</v>
      </c>
      <c r="I64" s="213">
        <v>12562</v>
      </c>
      <c r="K64" s="214" t="str">
        <f t="shared" si="0"/>
        <v>Provisions and Costs</v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>Provision US Equity Options USD_</v>
      </c>
      <c r="M64" s="214" t="str">
        <f t="shared" si="1"/>
        <v>EQTY.IntlUS.off</v>
      </c>
      <c r="N64" s="215">
        <f t="shared" si="2"/>
        <v>0</v>
      </c>
      <c r="O64" s="215">
        <f t="shared" si="3"/>
        <v>12562</v>
      </c>
    </row>
    <row r="65" spans="5:15">
      <c r="E65" s="213" t="s">
        <v>318</v>
      </c>
      <c r="F65" s="213" t="s">
        <v>307</v>
      </c>
      <c r="G65" s="213" t="s">
        <v>282</v>
      </c>
      <c r="H65" s="213">
        <v>0</v>
      </c>
      <c r="I65" s="213">
        <v>-266448.51</v>
      </c>
      <c r="K65" s="214" t="str">
        <f t="shared" si="0"/>
        <v>Provisions and Costs</v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>Provision US Equity USD_</v>
      </c>
      <c r="M65" s="214" t="str">
        <f t="shared" si="1"/>
        <v>EQTY.IntlUS.off</v>
      </c>
      <c r="N65" s="215">
        <f t="shared" si="2"/>
        <v>0</v>
      </c>
      <c r="O65" s="215">
        <f t="shared" si="3"/>
        <v>-266448.51</v>
      </c>
    </row>
    <row r="66" spans="5:15">
      <c r="E66" s="213" t="s">
        <v>320</v>
      </c>
      <c r="F66" s="213" t="s">
        <v>135</v>
      </c>
      <c r="G66" s="213" t="s">
        <v>282</v>
      </c>
      <c r="H66" s="213">
        <v>0</v>
      </c>
      <c r="I66" s="213">
        <v>0</v>
      </c>
      <c r="K66" s="214" t="str">
        <f t="shared" si="0"/>
        <v>ETF</v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>QQQ</v>
      </c>
      <c r="M66" s="214" t="str">
        <f t="shared" si="1"/>
        <v>EQTY.IntlUS.off</v>
      </c>
      <c r="N66" s="215">
        <f t="shared" si="2"/>
        <v>0</v>
      </c>
      <c r="O66" s="215">
        <f t="shared" si="3"/>
        <v>0</v>
      </c>
    </row>
    <row r="67" spans="5:15">
      <c r="E67" s="213" t="s">
        <v>324</v>
      </c>
      <c r="F67" s="213" t="s">
        <v>2459</v>
      </c>
      <c r="G67" s="213" t="s">
        <v>282</v>
      </c>
      <c r="H67" s="213">
        <v>-61</v>
      </c>
      <c r="I67" s="213">
        <v>0</v>
      </c>
      <c r="K67" s="214" t="str">
        <f t="shared" ref="K67:K130" si="4">IF(E67="","",E67)</f>
        <v>ETF Options</v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>QQQ US 01/30/26 P619</v>
      </c>
      <c r="M67" s="214" t="str">
        <f t="shared" ref="M67:M130" si="5">IF(E67="","",G67)</f>
        <v>EQTY.IntlUS.off</v>
      </c>
      <c r="N67" s="215">
        <f t="shared" ref="N67:N130" si="6">IF(E67="","",H67)</f>
        <v>-61</v>
      </c>
      <c r="O67" s="215">
        <f t="shared" ref="O67:O130" si="7">IF(E67="","",I67)</f>
        <v>0</v>
      </c>
    </row>
    <row r="68" spans="5:15">
      <c r="E68" s="213" t="s">
        <v>324</v>
      </c>
      <c r="F68" s="213" t="s">
        <v>2443</v>
      </c>
      <c r="G68" s="213" t="s">
        <v>282</v>
      </c>
      <c r="H68" s="213">
        <v>91</v>
      </c>
      <c r="I68" s="213">
        <v>30</v>
      </c>
      <c r="K68" s="214" t="str">
        <f t="shared" si="4"/>
        <v>ETF Options</v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>QQQ US 01/30/26 P620</v>
      </c>
      <c r="M68" s="214" t="str">
        <f t="shared" si="5"/>
        <v>EQTY.IntlUS.off</v>
      </c>
      <c r="N68" s="215">
        <f t="shared" si="6"/>
        <v>91</v>
      </c>
      <c r="O68" s="215">
        <f t="shared" si="7"/>
        <v>30</v>
      </c>
    </row>
    <row r="69" spans="5:15">
      <c r="E69" s="213" t="s">
        <v>324</v>
      </c>
      <c r="F69" s="213" t="s">
        <v>2467</v>
      </c>
      <c r="G69" s="213" t="s">
        <v>282</v>
      </c>
      <c r="H69" s="213">
        <v>8</v>
      </c>
      <c r="I69" s="213">
        <v>0</v>
      </c>
      <c r="K69" s="214" t="str">
        <f t="shared" si="4"/>
        <v>ETF Options</v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>QQQ US 01/30/26 P621</v>
      </c>
      <c r="M69" s="214" t="str">
        <f t="shared" si="5"/>
        <v>EQTY.IntlUS.off</v>
      </c>
      <c r="N69" s="215">
        <f t="shared" si="6"/>
        <v>8</v>
      </c>
      <c r="O69" s="215">
        <f t="shared" si="7"/>
        <v>0</v>
      </c>
    </row>
    <row r="70" spans="5:15">
      <c r="E70" s="213" t="s">
        <v>317</v>
      </c>
      <c r="F70" s="213" t="s">
        <v>2128</v>
      </c>
      <c r="G70" s="213" t="s">
        <v>282</v>
      </c>
      <c r="H70" s="213">
        <v>2265</v>
      </c>
      <c r="I70" s="213">
        <v>2030</v>
      </c>
      <c r="K70" s="214" t="str">
        <f t="shared" si="4"/>
        <v>US Equity</v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>RIOT</v>
      </c>
      <c r="M70" s="214" t="str">
        <f t="shared" si="5"/>
        <v>EQTY.IntlUS.off</v>
      </c>
      <c r="N70" s="215">
        <f t="shared" si="6"/>
        <v>2265</v>
      </c>
      <c r="O70" s="215">
        <f t="shared" si="7"/>
        <v>2030</v>
      </c>
    </row>
    <row r="71" spans="5:15">
      <c r="E71" s="213" t="s">
        <v>320</v>
      </c>
      <c r="F71" s="213" t="s">
        <v>3</v>
      </c>
      <c r="G71" s="213" t="s">
        <v>282</v>
      </c>
      <c r="H71" s="213">
        <v>-2917</v>
      </c>
      <c r="I71" s="213">
        <v>-1403</v>
      </c>
      <c r="K71" s="214" t="str">
        <f t="shared" si="4"/>
        <v>ETF</v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>RSP</v>
      </c>
      <c r="M71" s="214" t="str">
        <f t="shared" si="5"/>
        <v>EQTY.IntlUS.off</v>
      </c>
      <c r="N71" s="215">
        <f t="shared" si="6"/>
        <v>-2917</v>
      </c>
      <c r="O71" s="215">
        <f t="shared" si="7"/>
        <v>-1403</v>
      </c>
    </row>
    <row r="72" spans="5:15">
      <c r="E72" s="213" t="s">
        <v>2130</v>
      </c>
      <c r="F72" s="213" t="s">
        <v>2131</v>
      </c>
      <c r="G72" s="213" t="s">
        <v>282</v>
      </c>
      <c r="H72" s="213">
        <v>52</v>
      </c>
      <c r="I72" s="213">
        <v>100</v>
      </c>
      <c r="K72" s="214" t="str">
        <f t="shared" si="4"/>
        <v>Equity Total Return Swap</v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>000660 KS</v>
      </c>
      <c r="M72" s="214" t="str">
        <f t="shared" si="5"/>
        <v>EQTY.IntlUS.off</v>
      </c>
      <c r="N72" s="215">
        <f t="shared" si="6"/>
        <v>52</v>
      </c>
      <c r="O72" s="215">
        <f t="shared" si="7"/>
        <v>100</v>
      </c>
    </row>
    <row r="73" spans="5:15">
      <c r="E73" s="213" t="s">
        <v>2130</v>
      </c>
      <c r="F73" s="213" t="s">
        <v>2323</v>
      </c>
      <c r="G73" s="213" t="s">
        <v>282</v>
      </c>
      <c r="H73" s="213">
        <v>43</v>
      </c>
      <c r="I73" s="213">
        <v>43</v>
      </c>
      <c r="K73" s="214" t="str">
        <f t="shared" si="4"/>
        <v>Equity Total Return Swap</v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>SWAP 000660 KS 26JAN2026 26JAN2027 509.6192</v>
      </c>
      <c r="M73" s="214" t="str">
        <f t="shared" si="5"/>
        <v>EQTY.IntlUS.off</v>
      </c>
      <c r="N73" s="215">
        <f t="shared" si="6"/>
        <v>43</v>
      </c>
      <c r="O73" s="215">
        <f t="shared" si="7"/>
        <v>43</v>
      </c>
    </row>
    <row r="74" spans="5:15">
      <c r="E74" s="213" t="s">
        <v>2130</v>
      </c>
      <c r="F74" s="213" t="s">
        <v>2406</v>
      </c>
      <c r="G74" s="213" t="s">
        <v>282</v>
      </c>
      <c r="H74" s="213">
        <v>130</v>
      </c>
      <c r="I74" s="213">
        <v>130</v>
      </c>
      <c r="K74" s="214" t="str">
        <f t="shared" si="4"/>
        <v>Equity Total Return Swap</v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>SWAP 300502 CH 30JAN2026 01FEB2027 57.9966</v>
      </c>
      <c r="M74" s="214" t="str">
        <f t="shared" si="5"/>
        <v>EQTY.IntlUS.off</v>
      </c>
      <c r="N74" s="215">
        <f t="shared" si="6"/>
        <v>130</v>
      </c>
      <c r="O74" s="215">
        <f t="shared" si="7"/>
        <v>130</v>
      </c>
    </row>
    <row r="75" spans="5:15">
      <c r="E75" s="213" t="s">
        <v>2407</v>
      </c>
      <c r="F75" s="213" t="s">
        <v>2408</v>
      </c>
      <c r="G75" s="213" t="s">
        <v>282</v>
      </c>
      <c r="H75" s="213">
        <v>609160</v>
      </c>
      <c r="I75" s="213">
        <v>609160</v>
      </c>
      <c r="K75" s="214" t="str">
        <f t="shared" si="4"/>
        <v>TBOND</v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>T 4.000% 11/15/35</v>
      </c>
      <c r="M75" s="214" t="str">
        <f t="shared" si="5"/>
        <v>EQTY.IntlUS.off</v>
      </c>
      <c r="N75" s="215">
        <f t="shared" si="6"/>
        <v>609160</v>
      </c>
      <c r="O75" s="215">
        <f t="shared" si="7"/>
        <v>609160</v>
      </c>
    </row>
    <row r="76" spans="5:15">
      <c r="E76" s="213" t="s">
        <v>39</v>
      </c>
      <c r="F76" s="213" t="s">
        <v>96</v>
      </c>
      <c r="G76" s="213" t="s">
        <v>282</v>
      </c>
      <c r="H76" s="213">
        <v>360</v>
      </c>
      <c r="I76" s="213">
        <v>360</v>
      </c>
      <c r="K76" s="214" t="str">
        <f t="shared" si="4"/>
        <v>ADR</v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>TSM</v>
      </c>
      <c r="M76" s="214" t="str">
        <f t="shared" si="5"/>
        <v>EQTY.IntlUS.off</v>
      </c>
      <c r="N76" s="215">
        <f t="shared" si="6"/>
        <v>360</v>
      </c>
      <c r="O76" s="215">
        <f t="shared" si="7"/>
        <v>360</v>
      </c>
    </row>
    <row r="77" spans="5:15">
      <c r="E77" s="213" t="s">
        <v>327</v>
      </c>
      <c r="F77" s="213" t="s">
        <v>2225</v>
      </c>
      <c r="G77" s="213" t="s">
        <v>282</v>
      </c>
      <c r="H77" s="213">
        <v>97</v>
      </c>
      <c r="I77" s="213">
        <v>97</v>
      </c>
      <c r="K77" s="214" t="str">
        <f t="shared" si="4"/>
        <v>ADR Options</v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>TSM US 06/18/26 C340</v>
      </c>
      <c r="M77" s="214" t="str">
        <f t="shared" si="5"/>
        <v>EQTY.IntlUS.off</v>
      </c>
      <c r="N77" s="215">
        <f t="shared" si="6"/>
        <v>97</v>
      </c>
      <c r="O77" s="215">
        <f t="shared" si="7"/>
        <v>97</v>
      </c>
    </row>
    <row r="78" spans="5:15">
      <c r="E78" s="213" t="s">
        <v>327</v>
      </c>
      <c r="F78" s="213" t="s">
        <v>2226</v>
      </c>
      <c r="G78" s="213" t="s">
        <v>282</v>
      </c>
      <c r="H78" s="213">
        <v>-80</v>
      </c>
      <c r="I78" s="213">
        <v>-87</v>
      </c>
      <c r="K78" s="214" t="str">
        <f t="shared" si="4"/>
        <v>ADR Options</v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>TSM US 06/18/26 C380</v>
      </c>
      <c r="M78" s="214" t="str">
        <f t="shared" si="5"/>
        <v>EQTY.IntlUS.off</v>
      </c>
      <c r="N78" s="215">
        <f t="shared" si="6"/>
        <v>-80</v>
      </c>
      <c r="O78" s="215">
        <f t="shared" si="7"/>
        <v>-87</v>
      </c>
    </row>
    <row r="79" spans="5:15">
      <c r="E79" s="213" t="s">
        <v>320</v>
      </c>
      <c r="F79" s="213" t="s">
        <v>88</v>
      </c>
      <c r="G79" s="213" t="s">
        <v>282</v>
      </c>
      <c r="H79" s="213">
        <v>2885</v>
      </c>
      <c r="I79" s="213">
        <v>2885</v>
      </c>
      <c r="K79" s="214" t="str">
        <f t="shared" si="4"/>
        <v>ETF</v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>XLF</v>
      </c>
      <c r="M79" s="214" t="str">
        <f t="shared" si="5"/>
        <v>EQTY.IntlUS.off</v>
      </c>
      <c r="N79" s="215">
        <f t="shared" si="6"/>
        <v>2885</v>
      </c>
      <c r="O79" s="215">
        <f t="shared" si="7"/>
        <v>2885</v>
      </c>
    </row>
    <row r="80" spans="5:15">
      <c r="E80" s="213" t="s">
        <v>320</v>
      </c>
      <c r="F80" s="213" t="s">
        <v>4</v>
      </c>
      <c r="G80" s="213" t="s">
        <v>282</v>
      </c>
      <c r="H80" s="213">
        <v>-1735</v>
      </c>
      <c r="I80" s="213">
        <v>-1735</v>
      </c>
      <c r="K80" s="214" t="str">
        <f t="shared" si="4"/>
        <v>ETF</v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>XLP</v>
      </c>
      <c r="M80" s="214" t="str">
        <f t="shared" si="5"/>
        <v>EQTY.IntlUS.off</v>
      </c>
      <c r="N80" s="215">
        <f t="shared" si="6"/>
        <v>-1735</v>
      </c>
      <c r="O80" s="215">
        <f t="shared" si="7"/>
        <v>-1735</v>
      </c>
    </row>
    <row r="81" spans="5:15">
      <c r="E81" s="213" t="s">
        <v>317</v>
      </c>
      <c r="F81" s="213" t="s">
        <v>2453</v>
      </c>
      <c r="G81" s="213" t="s">
        <v>282</v>
      </c>
      <c r="H81" s="213">
        <v>-30</v>
      </c>
      <c r="I81" s="213">
        <v>-30</v>
      </c>
      <c r="K81" s="214" t="str">
        <f t="shared" si="4"/>
        <v>US Equity</v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>YSS</v>
      </c>
      <c r="M81" s="214" t="str">
        <f t="shared" si="5"/>
        <v>EQTY.IntlUS.off</v>
      </c>
      <c r="N81" s="215">
        <f t="shared" si="6"/>
        <v>-30</v>
      </c>
      <c r="O81" s="215">
        <f t="shared" si="7"/>
        <v>-30</v>
      </c>
    </row>
    <row r="82" spans="5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5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5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5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5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5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5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5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5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5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5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5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5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5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5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0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0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0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0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347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347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270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270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0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0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</v>
      </c>
      <c r="D47" s="217">
        <f>IF(B47="","",IF(OR(LEFT(B47,4)="Cash",LEFT(B47,4)="Prov"),0,SUMIFS('Input_APM (Zenith)'!N:N,'Input_APM (Zenith)'!L:L,'Check (Zenith)'!B47,'Input_APM (Zenith)'!M:M,'Check (Zenith)'!$D$1)))</f>
        <v>0</v>
      </c>
      <c r="E47" s="217">
        <f t="shared" si="0"/>
        <v>0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-2917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-2917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0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0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360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360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46053</v>
      </c>
      <c r="C2" s="210">
        <v>-2</v>
      </c>
    </row>
    <row r="3" spans="1:7">
      <c r="A3" s="208" t="s">
        <v>342</v>
      </c>
      <c r="B3" s="236">
        <f ca="1">B2-1</f>
        <v>46052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Daniel\BooksOverviewResume30Jan2026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Daniel\BooksOverviewResume30Jan2026_zenith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t="s">
        <v>2131</v>
      </c>
      <c r="G10" t="s">
        <v>1761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1857</v>
      </c>
      <c r="G22" s="353" t="s">
        <v>1854</v>
      </c>
    </row>
    <row r="23" spans="6:7">
      <c r="F23" s="213" t="s">
        <v>1857</v>
      </c>
      <c r="G23" s="353" t="s">
        <v>1854</v>
      </c>
    </row>
    <row r="24" spans="6:7">
      <c r="F24" s="213" t="s">
        <v>1864</v>
      </c>
      <c r="G24" s="353" t="s">
        <v>1854</v>
      </c>
    </row>
    <row r="25" spans="6:7">
      <c r="F25" s="213" t="s">
        <v>1864</v>
      </c>
      <c r="G25" s="353" t="s">
        <v>1854</v>
      </c>
    </row>
    <row r="26" spans="6:7">
      <c r="F26" s="213" t="s">
        <v>1867</v>
      </c>
      <c r="G26" s="353" t="s">
        <v>1854</v>
      </c>
    </row>
    <row r="27" spans="6:7">
      <c r="F27" s="213" t="s">
        <v>1867</v>
      </c>
      <c r="G27" s="353" t="s">
        <v>1854</v>
      </c>
    </row>
    <row r="28" spans="6:7">
      <c r="F28" s="213" t="s">
        <v>1870</v>
      </c>
      <c r="G28" s="353" t="s">
        <v>1854</v>
      </c>
    </row>
    <row r="29" spans="6:7">
      <c r="F29" s="213" t="s">
        <v>1870</v>
      </c>
      <c r="G29" s="353" t="s">
        <v>1854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1885</v>
      </c>
      <c r="G34" s="22" t="s">
        <v>1742</v>
      </c>
    </row>
    <row r="35" spans="6:7">
      <c r="F35" s="362" t="s">
        <v>1884</v>
      </c>
      <c r="G35" s="163" t="s">
        <v>1881</v>
      </c>
    </row>
    <row r="36" spans="6:7">
      <c r="F36" s="362" t="s">
        <v>1883</v>
      </c>
      <c r="G36" s="22" t="s">
        <v>1882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1886</v>
      </c>
      <c r="G39" s="22" t="s">
        <v>2</v>
      </c>
    </row>
    <row r="40" spans="6:7">
      <c r="F40" t="s">
        <v>131</v>
      </c>
      <c r="G40" s="22" t="s">
        <v>2136</v>
      </c>
    </row>
    <row r="41" spans="6:7">
      <c r="F41" s="22" t="s">
        <v>359</v>
      </c>
      <c r="G41" s="22" t="s">
        <v>360</v>
      </c>
    </row>
    <row r="42" spans="6:7">
      <c r="F42" s="22" t="s">
        <v>361</v>
      </c>
      <c r="G42" s="22" t="s">
        <v>362</v>
      </c>
    </row>
    <row r="43" spans="6:7">
      <c r="F43" s="22" t="s">
        <v>363</v>
      </c>
      <c r="G43" s="22" t="s">
        <v>362</v>
      </c>
    </row>
    <row r="44" spans="6:7">
      <c r="F44" s="22" t="s">
        <v>364</v>
      </c>
      <c r="G44" s="22" t="s">
        <v>364</v>
      </c>
    </row>
    <row r="45" spans="6:7">
      <c r="F45" s="22" t="s">
        <v>365</v>
      </c>
      <c r="G45" s="22" t="s">
        <v>365</v>
      </c>
    </row>
    <row r="46" spans="6:7">
      <c r="F46" s="22" t="s">
        <v>326</v>
      </c>
      <c r="G46" s="22" t="s">
        <v>81</v>
      </c>
    </row>
    <row r="47" spans="6:7">
      <c r="F47" s="22" t="s">
        <v>366</v>
      </c>
      <c r="G47" s="22" t="s">
        <v>355</v>
      </c>
    </row>
    <row r="48" spans="6:7">
      <c r="F48" s="22" t="s">
        <v>367</v>
      </c>
      <c r="G48" s="22" t="s">
        <v>140</v>
      </c>
    </row>
    <row r="49" spans="6:7">
      <c r="F49" s="22" t="s">
        <v>368</v>
      </c>
      <c r="G49" s="22" t="s">
        <v>140</v>
      </c>
    </row>
    <row r="50" spans="6:7">
      <c r="F50" s="22" t="s">
        <v>1908</v>
      </c>
      <c r="G50" s="22" t="s">
        <v>1909</v>
      </c>
    </row>
    <row r="51" spans="6:7">
      <c r="F51" s="22" t="s">
        <v>1845</v>
      </c>
      <c r="G51" s="22" t="s">
        <v>1844</v>
      </c>
    </row>
    <row r="52" spans="6:7">
      <c r="F52" s="22" t="s">
        <v>358</v>
      </c>
      <c r="G52" s="22" t="s">
        <v>2</v>
      </c>
    </row>
    <row r="53" spans="6:7">
      <c r="F53" s="213" t="s">
        <v>1868</v>
      </c>
      <c r="G53" s="353" t="s">
        <v>1853</v>
      </c>
    </row>
    <row r="54" spans="6:7">
      <c r="F54" s="213" t="s">
        <v>1868</v>
      </c>
      <c r="G54" s="353" t="s">
        <v>1853</v>
      </c>
    </row>
    <row r="55" spans="6:7">
      <c r="F55" s="213" t="s">
        <v>1865</v>
      </c>
      <c r="G55" s="353" t="s">
        <v>1853</v>
      </c>
    </row>
    <row r="56" spans="6:7">
      <c r="F56" s="213" t="s">
        <v>1865</v>
      </c>
      <c r="G56" s="353" t="s">
        <v>1853</v>
      </c>
    </row>
    <row r="57" spans="6:7">
      <c r="F57" s="213" t="s">
        <v>1869</v>
      </c>
      <c r="G57" s="353" t="s">
        <v>1853</v>
      </c>
    </row>
    <row r="58" spans="6:7">
      <c r="F58" s="213" t="s">
        <v>1869</v>
      </c>
      <c r="G58" s="353" t="s">
        <v>1853</v>
      </c>
    </row>
    <row r="59" spans="6:7">
      <c r="F59" s="213" t="s">
        <v>1871</v>
      </c>
      <c r="G59" s="353" t="s">
        <v>1853</v>
      </c>
    </row>
    <row r="60" spans="6:7">
      <c r="F60" s="213" t="s">
        <v>1871</v>
      </c>
      <c r="G60" s="353" t="s">
        <v>1853</v>
      </c>
    </row>
    <row r="61" spans="6:7">
      <c r="F61" s="22" t="s">
        <v>1851</v>
      </c>
      <c r="G61" s="22" t="s">
        <v>1844</v>
      </c>
    </row>
    <row r="62" spans="6:7">
      <c r="F62" s="22" t="s">
        <v>370</v>
      </c>
      <c r="G62" s="22" t="s">
        <v>371</v>
      </c>
    </row>
    <row r="63" spans="6:7">
      <c r="F63" s="22" t="s">
        <v>372</v>
      </c>
      <c r="G63" s="22" t="s">
        <v>373</v>
      </c>
    </row>
    <row r="64" spans="6:7">
      <c r="F64" s="22" t="s">
        <v>370</v>
      </c>
      <c r="G64" s="22" t="s">
        <v>371</v>
      </c>
    </row>
    <row r="65" spans="6:7">
      <c r="F65" s="22" t="s">
        <v>374</v>
      </c>
      <c r="G65" s="22" t="s">
        <v>371</v>
      </c>
    </row>
    <row r="66" spans="6:7">
      <c r="F66" s="22" t="s">
        <v>372</v>
      </c>
      <c r="G66" s="22" t="s">
        <v>373</v>
      </c>
    </row>
    <row r="67" spans="6:7">
      <c r="F67" s="22" t="s">
        <v>375</v>
      </c>
      <c r="G67" s="22" t="s">
        <v>373</v>
      </c>
    </row>
    <row r="68" spans="6:7">
      <c r="F68" s="22" t="s">
        <v>375</v>
      </c>
      <c r="G68" s="22" t="s">
        <v>373</v>
      </c>
    </row>
    <row r="69" spans="6:7">
      <c r="F69" s="22" t="s">
        <v>376</v>
      </c>
      <c r="G69" s="22"/>
    </row>
    <row r="70" spans="6:7">
      <c r="F70" s="22" t="s">
        <v>376</v>
      </c>
      <c r="G70" s="22"/>
    </row>
    <row r="71" spans="6:7">
      <c r="F71" s="22" t="s">
        <v>377</v>
      </c>
      <c r="G71" s="22" t="s">
        <v>378</v>
      </c>
    </row>
    <row r="72" spans="6:7">
      <c r="F72" s="22" t="s">
        <v>377</v>
      </c>
      <c r="G72" s="22" t="s">
        <v>378</v>
      </c>
    </row>
    <row r="73" spans="6:7">
      <c r="F73" s="22" t="s">
        <v>379</v>
      </c>
      <c r="G73" s="22" t="s">
        <v>369</v>
      </c>
    </row>
    <row r="74" spans="6:7">
      <c r="F74" s="22" t="s">
        <v>379</v>
      </c>
      <c r="G74" s="22" t="s">
        <v>369</v>
      </c>
    </row>
    <row r="75" spans="6:7">
      <c r="F75" s="22" t="s">
        <v>380</v>
      </c>
      <c r="G75" s="22" t="s">
        <v>381</v>
      </c>
    </row>
    <row r="76" spans="6:7">
      <c r="F76" s="22" t="s">
        <v>380</v>
      </c>
      <c r="G76" s="22" t="s">
        <v>381</v>
      </c>
    </row>
    <row r="77" spans="6:7">
      <c r="F77" s="22" t="s">
        <v>382</v>
      </c>
      <c r="G77" s="22" t="s">
        <v>381</v>
      </c>
    </row>
    <row r="78" spans="6:7">
      <c r="F78" s="22" t="s">
        <v>382</v>
      </c>
      <c r="G78" s="22" t="s">
        <v>381</v>
      </c>
    </row>
    <row r="79" spans="6:7">
      <c r="F79" s="22" t="s">
        <v>370</v>
      </c>
      <c r="G79" s="22" t="s">
        <v>371</v>
      </c>
    </row>
    <row r="80" spans="6:7">
      <c r="F80" s="22" t="s">
        <v>370</v>
      </c>
      <c r="G80" s="22" t="s">
        <v>373</v>
      </c>
    </row>
    <row r="81" spans="6:7">
      <c r="F81" s="22" t="s">
        <v>374</v>
      </c>
      <c r="G81" s="22" t="s">
        <v>371</v>
      </c>
    </row>
    <row r="82" spans="6:7">
      <c r="F82" s="22" t="s">
        <v>374</v>
      </c>
      <c r="G82" s="22" t="s">
        <v>373</v>
      </c>
    </row>
    <row r="83" spans="6:7">
      <c r="F83" s="22" t="s">
        <v>372</v>
      </c>
      <c r="G83" s="22" t="s">
        <v>373</v>
      </c>
    </row>
    <row r="84" spans="6:7">
      <c r="F84" s="22" t="s">
        <v>372</v>
      </c>
      <c r="G84" s="22" t="s">
        <v>373</v>
      </c>
    </row>
    <row r="85" spans="6:7">
      <c r="F85" s="22" t="s">
        <v>375</v>
      </c>
      <c r="G85" s="22" t="s">
        <v>373</v>
      </c>
    </row>
    <row r="86" spans="6:7">
      <c r="F86" s="22" t="s">
        <v>375</v>
      </c>
      <c r="G86" s="22" t="s">
        <v>373</v>
      </c>
    </row>
    <row r="87" spans="6:7">
      <c r="F87" s="22" t="s">
        <v>380</v>
      </c>
      <c r="G87" s="22" t="s">
        <v>381</v>
      </c>
    </row>
    <row r="88" spans="6:7">
      <c r="F88" s="22" t="s">
        <v>380</v>
      </c>
      <c r="G88" s="22" t="s">
        <v>381</v>
      </c>
    </row>
    <row r="89" spans="6:7">
      <c r="F89" s="22" t="s">
        <v>382</v>
      </c>
      <c r="G89" s="22" t="s">
        <v>381</v>
      </c>
    </row>
    <row r="90" spans="6:7">
      <c r="F90" s="22" t="s">
        <v>382</v>
      </c>
      <c r="G90" s="22" t="s">
        <v>381</v>
      </c>
    </row>
    <row r="91" spans="6:7">
      <c r="F91" s="22" t="s">
        <v>370</v>
      </c>
      <c r="G91" s="22" t="s">
        <v>381</v>
      </c>
    </row>
    <row r="92" spans="6:7">
      <c r="F92" s="22" t="s">
        <v>383</v>
      </c>
      <c r="G92" s="22" t="s">
        <v>381</v>
      </c>
    </row>
    <row r="93" spans="6:7">
      <c r="F93" s="22" t="s">
        <v>384</v>
      </c>
      <c r="G93" s="22" t="s">
        <v>381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385</v>
      </c>
      <c r="G96" s="22" t="s">
        <v>386</v>
      </c>
    </row>
    <row r="97" spans="6:7">
      <c r="F97" s="22" t="s">
        <v>387</v>
      </c>
      <c r="G97" s="22" t="s">
        <v>388</v>
      </c>
    </row>
    <row r="98" spans="6:7">
      <c r="F98" s="22" t="s">
        <v>2136</v>
      </c>
      <c r="G98" s="22" t="s">
        <v>2136</v>
      </c>
    </row>
    <row r="99" spans="6:7">
      <c r="F99" s="22" t="s">
        <v>196</v>
      </c>
      <c r="G99" s="22" t="s">
        <v>389</v>
      </c>
    </row>
    <row r="100" spans="6:7">
      <c r="F100" s="22" t="s">
        <v>390</v>
      </c>
      <c r="G100" s="22" t="s">
        <v>391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1857</v>
      </c>
      <c r="G104" s="22" t="s">
        <v>1854</v>
      </c>
    </row>
    <row r="105" spans="6:7">
      <c r="F105" s="22" t="s">
        <v>1675</v>
      </c>
      <c r="G105" s="22" t="s">
        <v>350</v>
      </c>
    </row>
    <row r="106" spans="6:7">
      <c r="F106" s="22" t="s">
        <v>1675</v>
      </c>
      <c r="G106" s="22" t="s">
        <v>350</v>
      </c>
    </row>
    <row r="107" spans="6:7">
      <c r="F107" s="22" t="s">
        <v>1727</v>
      </c>
      <c r="G107" s="22" t="s">
        <v>1717</v>
      </c>
    </row>
    <row r="108" spans="6:7">
      <c r="F108" s="22" t="s">
        <v>1727</v>
      </c>
      <c r="G108" s="22" t="s">
        <v>1717</v>
      </c>
    </row>
    <row r="109" spans="6:7">
      <c r="F109" s="22" t="s">
        <v>1728</v>
      </c>
      <c r="G109" s="22" t="s">
        <v>1676</v>
      </c>
    </row>
    <row r="110" spans="6:7">
      <c r="F110" s="22" t="s">
        <v>1755</v>
      </c>
      <c r="G110" s="22" t="s">
        <v>1751</v>
      </c>
    </row>
    <row r="111" spans="6:7">
      <c r="F111" s="22" t="s">
        <v>1756</v>
      </c>
      <c r="G111" s="22" t="s">
        <v>1750</v>
      </c>
    </row>
    <row r="112" spans="6:7">
      <c r="F112" s="22" t="s">
        <v>1856</v>
      </c>
      <c r="G112" s="22" t="s">
        <v>1855</v>
      </c>
    </row>
    <row r="113" spans="6:7">
      <c r="F113" s="22" t="s">
        <v>1766</v>
      </c>
      <c r="G113" s="22" t="s">
        <v>1762</v>
      </c>
    </row>
    <row r="114" spans="6:7">
      <c r="F114" s="22" t="s">
        <v>1766</v>
      </c>
      <c r="G114" s="22" t="s">
        <v>1762</v>
      </c>
    </row>
    <row r="115" spans="6:7">
      <c r="F115" s="22" t="s">
        <v>1767</v>
      </c>
      <c r="G115" s="22" t="s">
        <v>1762</v>
      </c>
    </row>
    <row r="116" spans="6:7">
      <c r="F116" s="22" t="s">
        <v>1767</v>
      </c>
      <c r="G116" s="22" t="s">
        <v>1762</v>
      </c>
    </row>
    <row r="117" spans="6:7">
      <c r="F117" s="22" t="s">
        <v>1765</v>
      </c>
      <c r="G117" s="22" t="s">
        <v>1761</v>
      </c>
    </row>
    <row r="118" spans="6:7">
      <c r="F118" s="22" t="s">
        <v>1765</v>
      </c>
      <c r="G118" s="22" t="s">
        <v>1761</v>
      </c>
    </row>
    <row r="119" spans="6:7">
      <c r="F119" s="22" t="s">
        <v>1758</v>
      </c>
      <c r="G119" s="22" t="s">
        <v>1744</v>
      </c>
    </row>
    <row r="120" spans="6:7">
      <c r="F120" s="22" t="s">
        <v>1758</v>
      </c>
      <c r="G120" s="22" t="s">
        <v>1744</v>
      </c>
    </row>
    <row r="121" spans="6:7">
      <c r="F121" s="22" t="s">
        <v>1768</v>
      </c>
      <c r="G121" s="22" t="s">
        <v>1744</v>
      </c>
    </row>
    <row r="122" spans="6:7">
      <c r="F122" s="22" t="s">
        <v>1768</v>
      </c>
      <c r="G122" s="22" t="s">
        <v>1744</v>
      </c>
    </row>
    <row r="123" spans="6:7">
      <c r="F123" s="22" t="s">
        <v>1760</v>
      </c>
      <c r="G123" s="22" t="s">
        <v>1764</v>
      </c>
    </row>
    <row r="124" spans="6:7">
      <c r="F124" s="22" t="s">
        <v>1776</v>
      </c>
      <c r="G124" s="22" t="s">
        <v>1744</v>
      </c>
    </row>
    <row r="125" spans="6:7">
      <c r="F125" s="22" t="s">
        <v>1776</v>
      </c>
      <c r="G125" s="22" t="s">
        <v>1744</v>
      </c>
    </row>
    <row r="126" spans="6:7">
      <c r="F126" s="22" t="s">
        <v>1858</v>
      </c>
      <c r="G126" s="22" t="s">
        <v>1853</v>
      </c>
    </row>
    <row r="127" spans="6:7">
      <c r="F127" s="22" t="s">
        <v>1865</v>
      </c>
      <c r="G127" s="22" t="s">
        <v>1853</v>
      </c>
    </row>
    <row r="128" spans="6:7">
      <c r="F128" s="22" t="s">
        <v>1864</v>
      </c>
      <c r="G128" s="22" t="s">
        <v>1854</v>
      </c>
    </row>
    <row r="129" spans="6:7">
      <c r="F129" s="22" t="s">
        <v>1866</v>
      </c>
      <c r="G129" s="22" t="s">
        <v>1852</v>
      </c>
    </row>
    <row r="130" spans="6:7">
      <c r="F130" s="22" t="s">
        <v>1862</v>
      </c>
      <c r="G130" s="22" t="s">
        <v>1761</v>
      </c>
    </row>
    <row r="131" spans="6:7">
      <c r="F131" s="22" t="s">
        <v>1863</v>
      </c>
      <c r="G131" s="22" t="s">
        <v>1761</v>
      </c>
    </row>
    <row r="132" spans="6:7">
      <c r="F132" s="22" t="s">
        <v>1860</v>
      </c>
      <c r="G132" s="22" t="s">
        <v>1742</v>
      </c>
    </row>
    <row r="133" spans="6:7">
      <c r="F133" s="22" t="s">
        <v>1861</v>
      </c>
      <c r="G133" s="22" t="s">
        <v>1859</v>
      </c>
    </row>
    <row r="134" spans="6:7">
      <c r="F134" s="22" t="s">
        <v>1868</v>
      </c>
      <c r="G134" s="22" t="s">
        <v>1853</v>
      </c>
    </row>
    <row r="135" spans="6:7">
      <c r="F135" s="22" t="s">
        <v>1869</v>
      </c>
      <c r="G135" s="22" t="s">
        <v>1853</v>
      </c>
    </row>
    <row r="136" spans="6:7">
      <c r="F136" s="22" t="s">
        <v>1867</v>
      </c>
      <c r="G136" s="22" t="s">
        <v>1854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77"/>
  <sheetViews>
    <sheetView topLeftCell="A52" zoomScaleNormal="100" workbookViewId="0">
      <selection activeCell="G72" sqref="G72"/>
    </sheetView>
  </sheetViews>
  <sheetFormatPr defaultRowHeight="15"/>
  <cols>
    <col min="2" max="2" width="13.28515625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419</v>
      </c>
      <c r="D9" s="3">
        <v>-14000000</v>
      </c>
      <c r="E9" s="1">
        <v>73.75</v>
      </c>
      <c r="F9" t="s">
        <v>420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419</v>
      </c>
      <c r="D13" s="3">
        <v>40000000</v>
      </c>
      <c r="E13" s="1">
        <v>72.8</v>
      </c>
      <c r="F13" t="s">
        <v>420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419</v>
      </c>
      <c r="D14" s="3">
        <v>30000000</v>
      </c>
      <c r="E14" s="1">
        <v>72.48</v>
      </c>
      <c r="F14" t="s">
        <v>422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3" spans="2:9">
      <c r="B33" t="s">
        <v>423</v>
      </c>
      <c r="C33" t="s">
        <v>424</v>
      </c>
      <c r="D33" t="s">
        <v>425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4"/>
      <c r="H36" s="64"/>
    </row>
    <row r="37" spans="2:9">
      <c r="F37" s="64"/>
      <c r="H37" s="64"/>
    </row>
    <row r="38" spans="2:9">
      <c r="B38">
        <v>1</v>
      </c>
      <c r="C38" s="3">
        <f>B38/B36*C36</f>
        <v>18867.92452830189</v>
      </c>
      <c r="D38" s="18">
        <f>C38/C34*D34</f>
        <v>44856451.952437632</v>
      </c>
      <c r="F38" s="64"/>
      <c r="H38" s="64"/>
      <c r="I38" s="79"/>
    </row>
    <row r="40" spans="2:9">
      <c r="B40" s="59" t="s">
        <v>423</v>
      </c>
      <c r="C40" s="59" t="s">
        <v>424</v>
      </c>
      <c r="D40" s="59" t="s">
        <v>425</v>
      </c>
      <c r="E40" s="59" t="s">
        <v>2356</v>
      </c>
    </row>
    <row r="41" spans="2:9">
      <c r="B41" s="59">
        <v>1</v>
      </c>
      <c r="C41" s="14">
        <v>4510</v>
      </c>
      <c r="D41" s="8">
        <v>10000000</v>
      </c>
      <c r="E41" s="276">
        <v>0.25</v>
      </c>
      <c r="F41" s="32">
        <f>E41/10000</f>
        <v>2.5000000000000001E-5</v>
      </c>
    </row>
    <row r="42" spans="2:9">
      <c r="B42" s="59"/>
      <c r="C42" s="59"/>
      <c r="D42" s="59"/>
      <c r="F42" s="64"/>
    </row>
    <row r="43" spans="2:9">
      <c r="B43" s="59">
        <v>10</v>
      </c>
      <c r="C43" s="8">
        <f>E41*2400000000/10000</f>
        <v>60000</v>
      </c>
      <c r="D43" s="59"/>
      <c r="F43" s="64"/>
      <c r="G43" s="79"/>
    </row>
    <row r="44" spans="2:9">
      <c r="B44" s="59"/>
      <c r="C44" s="59"/>
      <c r="D44" s="59"/>
    </row>
    <row r="45" spans="2:9">
      <c r="B45" s="59">
        <v>1</v>
      </c>
      <c r="C45" s="8">
        <f>B45/B43*C43</f>
        <v>6000</v>
      </c>
      <c r="D45" s="443">
        <f>C45/C41*D41</f>
        <v>13303769.401330376</v>
      </c>
    </row>
    <row r="50" spans="1:10">
      <c r="I50" s="93" cm="1">
        <f t="array" ref="I50">_xll.BDP("cny Curncy","LAST_PRICE")</f>
        <v>6.9452999999999996</v>
      </c>
    </row>
    <row r="51" spans="1:10">
      <c r="F51" s="80" t="s">
        <v>2346</v>
      </c>
      <c r="G51" s="80" t="s">
        <v>2347</v>
      </c>
      <c r="H51" s="80" t="str">
        <f>F51</f>
        <v>YEST</v>
      </c>
      <c r="I51" s="80" t="str">
        <f>G51</f>
        <v>TODAY</v>
      </c>
      <c r="J51" t="s">
        <v>2320</v>
      </c>
    </row>
    <row r="52" spans="1:10">
      <c r="A52" s="433" t="s">
        <v>1930</v>
      </c>
      <c r="B52" s="434">
        <v>46101</v>
      </c>
      <c r="C52" s="433">
        <v>276451</v>
      </c>
      <c r="D52" s="433" t="s">
        <v>1932</v>
      </c>
      <c r="E52" s="433" t="s">
        <v>2146</v>
      </c>
      <c r="F52" s="441">
        <f>Precificação!N2</f>
        <v>9.18</v>
      </c>
      <c r="G52" s="276">
        <v>10.45</v>
      </c>
      <c r="H52" s="267">
        <f>$C52*F52/$I$50</f>
        <v>365401.08850589604</v>
      </c>
      <c r="I52" s="267">
        <f>$C52*G52/$I$50</f>
        <v>415952.21948655922</v>
      </c>
      <c r="J52" s="267">
        <f>I52-H52</f>
        <v>50551.130980663176</v>
      </c>
    </row>
    <row r="53" spans="1:10">
      <c r="A53" s="433" t="s">
        <v>1930</v>
      </c>
      <c r="B53" s="434">
        <v>46101</v>
      </c>
      <c r="C53" s="433">
        <v>276451</v>
      </c>
      <c r="D53" s="433" t="s">
        <v>1932</v>
      </c>
      <c r="E53" s="433" t="s">
        <v>2147</v>
      </c>
      <c r="F53" s="441">
        <f>Precificação!N3</f>
        <v>1.95</v>
      </c>
      <c r="G53" s="276">
        <v>2.35</v>
      </c>
      <c r="H53" s="267">
        <f>$C53*F53/$I$50</f>
        <v>77617.878277396216</v>
      </c>
      <c r="I53" s="267">
        <f>$C53*G53/$I$50</f>
        <v>93539.494334298011</v>
      </c>
      <c r="J53" s="267">
        <f>I53-H53</f>
        <v>15921.616056901796</v>
      </c>
    </row>
    <row r="54" spans="1:10">
      <c r="E54" s="276">
        <f>E53-E52</f>
        <v>15</v>
      </c>
      <c r="F54" s="276">
        <f>F52-F53</f>
        <v>7.2299999999999995</v>
      </c>
      <c r="G54" s="276">
        <f>G52-G53</f>
        <v>8.1</v>
      </c>
      <c r="H54" s="408">
        <f>H52-H53</f>
        <v>287783.21022849984</v>
      </c>
      <c r="I54" s="408">
        <f>I52-I53</f>
        <v>322412.72515226121</v>
      </c>
      <c r="J54" s="408">
        <f>J52-J53</f>
        <v>34629.51492376138</v>
      </c>
    </row>
    <row r="55" spans="1:10">
      <c r="I55" t="s">
        <v>2321</v>
      </c>
      <c r="J55" s="276">
        <f>J54/'Master P&amp;L'!AD7*10000</f>
        <v>0.14452063127499909</v>
      </c>
    </row>
    <row r="58" spans="1:10">
      <c r="B58" s="5"/>
      <c r="D58" s="5"/>
    </row>
    <row r="61" spans="1:10">
      <c r="B61" t="s">
        <v>2358</v>
      </c>
    </row>
    <row r="62" spans="1:10">
      <c r="C62" t="s">
        <v>209</v>
      </c>
      <c r="D62" t="s">
        <v>210</v>
      </c>
    </row>
    <row r="63" spans="1:10">
      <c r="B63" t="s">
        <v>2360</v>
      </c>
      <c r="C63">
        <v>99.21</v>
      </c>
      <c r="D63">
        <v>99.06</v>
      </c>
    </row>
    <row r="64" spans="1:10">
      <c r="B64" t="s">
        <v>2362</v>
      </c>
      <c r="C64" s="43">
        <v>0.05</v>
      </c>
      <c r="D64" s="43">
        <v>4.9799999999999997E-2</v>
      </c>
    </row>
    <row r="65" spans="2:6">
      <c r="B65" t="s">
        <v>2361</v>
      </c>
      <c r="C65" s="43">
        <v>4.2299999999999997E-2</v>
      </c>
      <c r="D65" s="43">
        <v>4.2299999999999997E-2</v>
      </c>
    </row>
    <row r="66" spans="2:6">
      <c r="B66" t="s">
        <v>2359</v>
      </c>
      <c r="C66">
        <v>77</v>
      </c>
      <c r="D66">
        <v>75</v>
      </c>
    </row>
    <row r="67" spans="2:6">
      <c r="B67" t="s">
        <v>2368</v>
      </c>
      <c r="C67" s="267">
        <f>(C66/10000)*C70</f>
        <v>77000</v>
      </c>
      <c r="F67" s="276">
        <f>C67/'Master P&amp;L'!$AD$7*10000</f>
        <v>0.32134693866414177</v>
      </c>
    </row>
    <row r="69" spans="2:6">
      <c r="B69" t="s">
        <v>2363</v>
      </c>
    </row>
    <row r="70" spans="2:6">
      <c r="B70" t="s">
        <v>425</v>
      </c>
      <c r="C70" s="267">
        <v>10000000</v>
      </c>
    </row>
    <row r="71" spans="2:6">
      <c r="B71" t="s">
        <v>424</v>
      </c>
      <c r="C71" s="267">
        <v>7630</v>
      </c>
      <c r="F71" t="s">
        <v>2321</v>
      </c>
    </row>
    <row r="72" spans="2:6">
      <c r="B72" t="s">
        <v>2359</v>
      </c>
      <c r="C72" s="267">
        <f>(D72-$C$66)*$C$71</f>
        <v>-53410</v>
      </c>
      <c r="D72">
        <v>70</v>
      </c>
      <c r="E72" t="s">
        <v>2366</v>
      </c>
      <c r="F72" s="276">
        <f>C72/'Master P&amp;L'!$AD$7*10000</f>
        <v>-0.22289792200067285</v>
      </c>
    </row>
    <row r="73" spans="2:6">
      <c r="B73" t="s">
        <v>2359</v>
      </c>
      <c r="C73" s="267">
        <f>(D73-$C$66)*$C$71</f>
        <v>61040</v>
      </c>
      <c r="D73">
        <v>85</v>
      </c>
      <c r="E73" t="s">
        <v>2367</v>
      </c>
      <c r="F73" s="276">
        <f>C73/'Master P&amp;L'!$AD$7*10000</f>
        <v>0.25474048228648327</v>
      </c>
    </row>
    <row r="76" spans="2:6">
      <c r="B76" t="s">
        <v>2364</v>
      </c>
    </row>
    <row r="77" spans="2:6">
      <c r="B77" t="s">
        <v>2365</v>
      </c>
    </row>
  </sheetData>
  <conditionalFormatting sqref="F52:F53">
    <cfRule type="cellIs" dxfId="42" priority="1" operator="equal">
      <formula>0</formula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426</v>
      </c>
      <c r="B1" s="198" t="s">
        <v>427</v>
      </c>
      <c r="C1" s="198" t="s">
        <v>428</v>
      </c>
      <c r="D1" s="198" t="s">
        <v>429</v>
      </c>
      <c r="E1" s="198" t="s">
        <v>430</v>
      </c>
      <c r="F1" s="198" t="s">
        <v>431</v>
      </c>
      <c r="G1" s="198" t="s">
        <v>432</v>
      </c>
    </row>
    <row r="2" spans="1:7" hidden="1">
      <c r="A2" s="199" t="s">
        <v>433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394</v>
      </c>
      <c r="G2" s="200" t="s">
        <v>434</v>
      </c>
    </row>
    <row r="3" spans="1:7">
      <c r="A3" s="199" t="s">
        <v>433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394</v>
      </c>
      <c r="G3" s="200" t="s">
        <v>434</v>
      </c>
    </row>
    <row r="4" spans="1:7" hidden="1">
      <c r="A4" s="199" t="s">
        <v>435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394</v>
      </c>
      <c r="G4" s="200" t="s">
        <v>434</v>
      </c>
    </row>
    <row r="5" spans="1:7">
      <c r="A5" s="199" t="s">
        <v>435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394</v>
      </c>
      <c r="G5" s="200" t="s">
        <v>434</v>
      </c>
    </row>
    <row r="6" spans="1:7" hidden="1">
      <c r="A6" s="199" t="s">
        <v>436</v>
      </c>
      <c r="B6" s="200">
        <v>-75</v>
      </c>
      <c r="C6" s="200">
        <v>0</v>
      </c>
      <c r="D6" s="201" t="s">
        <v>437</v>
      </c>
      <c r="E6" s="201" t="s">
        <v>315</v>
      </c>
      <c r="F6" s="200" t="s">
        <v>394</v>
      </c>
      <c r="G6" s="200" t="s">
        <v>434</v>
      </c>
    </row>
    <row r="7" spans="1:7" hidden="1">
      <c r="A7" s="199" t="s">
        <v>436</v>
      </c>
      <c r="B7" s="200">
        <v>75</v>
      </c>
      <c r="C7" s="200">
        <v>0</v>
      </c>
      <c r="D7" s="201" t="s">
        <v>437</v>
      </c>
      <c r="E7" s="201" t="s">
        <v>315</v>
      </c>
      <c r="F7" s="200" t="s">
        <v>396</v>
      </c>
      <c r="G7" s="200" t="s">
        <v>434</v>
      </c>
    </row>
    <row r="8" spans="1:7" hidden="1">
      <c r="A8" s="199" t="s">
        <v>438</v>
      </c>
      <c r="B8" s="200">
        <v>2246</v>
      </c>
      <c r="C8" s="200">
        <v>0</v>
      </c>
      <c r="D8" s="201" t="s">
        <v>283</v>
      </c>
      <c r="E8" s="201" t="s">
        <v>439</v>
      </c>
      <c r="F8" s="200" t="s">
        <v>394</v>
      </c>
      <c r="G8" s="200" t="s">
        <v>434</v>
      </c>
    </row>
    <row r="9" spans="1:7">
      <c r="A9" s="199" t="s">
        <v>438</v>
      </c>
      <c r="B9" s="200">
        <v>-2246</v>
      </c>
      <c r="C9" s="200">
        <v>0</v>
      </c>
      <c r="D9" s="201" t="s">
        <v>282</v>
      </c>
      <c r="E9" s="201" t="s">
        <v>439</v>
      </c>
      <c r="F9" s="200" t="s">
        <v>394</v>
      </c>
      <c r="G9" s="200" t="s">
        <v>434</v>
      </c>
    </row>
    <row r="10" spans="1:7">
      <c r="A10" s="199" t="s">
        <v>438</v>
      </c>
      <c r="B10" s="200">
        <v>4492</v>
      </c>
      <c r="C10" s="200">
        <v>0</v>
      </c>
      <c r="D10" s="201" t="s">
        <v>282</v>
      </c>
      <c r="E10" s="201" t="s">
        <v>439</v>
      </c>
      <c r="F10" s="200" t="s">
        <v>393</v>
      </c>
      <c r="G10" s="200" t="s">
        <v>434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440</v>
      </c>
      <c r="E11" s="201" t="s">
        <v>317</v>
      </c>
      <c r="F11" s="200" t="s">
        <v>394</v>
      </c>
      <c r="G11" s="200" t="s">
        <v>434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440</v>
      </c>
      <c r="E12" s="201" t="s">
        <v>317</v>
      </c>
      <c r="F12" s="200" t="s">
        <v>441</v>
      </c>
      <c r="G12" s="200" t="s">
        <v>434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437</v>
      </c>
      <c r="E13" s="201" t="s">
        <v>317</v>
      </c>
      <c r="F13" s="200" t="s">
        <v>394</v>
      </c>
      <c r="G13" s="200" t="s">
        <v>434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437</v>
      </c>
      <c r="E14" s="201" t="s">
        <v>317</v>
      </c>
      <c r="F14" s="200" t="s">
        <v>441</v>
      </c>
      <c r="G14" s="200" t="s">
        <v>434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394</v>
      </c>
      <c r="G15" s="200" t="s">
        <v>434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393</v>
      </c>
      <c r="G16" s="200" t="s">
        <v>434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413</v>
      </c>
      <c r="G17" s="200" t="s">
        <v>434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403</v>
      </c>
      <c r="G18" s="200" t="s">
        <v>434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441</v>
      </c>
      <c r="G19" s="200" t="s">
        <v>434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411</v>
      </c>
      <c r="G20" s="200" t="s">
        <v>434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442</v>
      </c>
      <c r="E21" s="201" t="s">
        <v>317</v>
      </c>
      <c r="F21" s="200" t="s">
        <v>394</v>
      </c>
      <c r="G21" s="200" t="s">
        <v>434</v>
      </c>
    </row>
    <row r="22" spans="1:7" hidden="1">
      <c r="A22" s="199" t="s">
        <v>443</v>
      </c>
      <c r="B22" s="200">
        <v>3969950</v>
      </c>
      <c r="C22" s="200">
        <v>0</v>
      </c>
      <c r="D22" s="201" t="s">
        <v>440</v>
      </c>
      <c r="E22" s="201" t="s">
        <v>39</v>
      </c>
      <c r="F22" s="200" t="s">
        <v>394</v>
      </c>
      <c r="G22" s="200" t="s">
        <v>434</v>
      </c>
    </row>
    <row r="23" spans="1:7">
      <c r="A23" s="199" t="s">
        <v>444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394</v>
      </c>
      <c r="G23" s="200" t="s">
        <v>434</v>
      </c>
    </row>
    <row r="24" spans="1:7">
      <c r="A24" s="199" t="s">
        <v>444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445</v>
      </c>
      <c r="G24" s="200" t="s">
        <v>434</v>
      </c>
    </row>
    <row r="25" spans="1:7">
      <c r="A25" s="199" t="s">
        <v>444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393</v>
      </c>
      <c r="G25" s="200" t="s">
        <v>434</v>
      </c>
    </row>
    <row r="26" spans="1:7">
      <c r="A26" s="199" t="s">
        <v>446</v>
      </c>
      <c r="B26" s="200">
        <v>-141540</v>
      </c>
      <c r="C26" s="200">
        <v>0</v>
      </c>
      <c r="D26" s="201" t="s">
        <v>282</v>
      </c>
      <c r="E26" s="201" t="s">
        <v>447</v>
      </c>
      <c r="F26" s="200" t="s">
        <v>394</v>
      </c>
      <c r="G26" s="200" t="s">
        <v>434</v>
      </c>
    </row>
    <row r="27" spans="1:7">
      <c r="A27" s="199" t="s">
        <v>446</v>
      </c>
      <c r="B27" s="200">
        <v>141540</v>
      </c>
      <c r="C27" s="200">
        <v>0</v>
      </c>
      <c r="D27" s="201" t="s">
        <v>282</v>
      </c>
      <c r="E27" s="201" t="s">
        <v>447</v>
      </c>
      <c r="F27" s="200" t="s">
        <v>397</v>
      </c>
      <c r="G27" s="200" t="s">
        <v>434</v>
      </c>
    </row>
    <row r="28" spans="1:7">
      <c r="A28" s="199" t="s">
        <v>448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394</v>
      </c>
      <c r="G28" s="200" t="s">
        <v>434</v>
      </c>
    </row>
    <row r="29" spans="1:7">
      <c r="A29" s="199" t="s">
        <v>448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449</v>
      </c>
      <c r="G29" s="200" t="s">
        <v>434</v>
      </c>
    </row>
    <row r="30" spans="1:7" hidden="1">
      <c r="A30" s="199" t="s">
        <v>399</v>
      </c>
      <c r="B30" s="200">
        <v>32740</v>
      </c>
      <c r="C30" s="200">
        <v>0</v>
      </c>
      <c r="D30" s="201" t="s">
        <v>437</v>
      </c>
      <c r="E30" s="201" t="s">
        <v>317</v>
      </c>
      <c r="F30" s="200" t="s">
        <v>394</v>
      </c>
      <c r="G30" s="200" t="s">
        <v>434</v>
      </c>
    </row>
    <row r="31" spans="1:7" hidden="1">
      <c r="A31" s="199" t="s">
        <v>399</v>
      </c>
      <c r="B31" s="200">
        <v>-32740</v>
      </c>
      <c r="C31" s="200">
        <v>0</v>
      </c>
      <c r="D31" s="201" t="s">
        <v>437</v>
      </c>
      <c r="E31" s="201" t="s">
        <v>317</v>
      </c>
      <c r="F31" s="200" t="s">
        <v>441</v>
      </c>
      <c r="G31" s="200" t="s">
        <v>434</v>
      </c>
    </row>
    <row r="32" spans="1:7">
      <c r="A32" s="199" t="s">
        <v>399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412</v>
      </c>
      <c r="G32" s="200" t="s">
        <v>434</v>
      </c>
    </row>
    <row r="33" spans="1:7">
      <c r="A33" s="199" t="s">
        <v>399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394</v>
      </c>
      <c r="G33" s="200" t="s">
        <v>434</v>
      </c>
    </row>
    <row r="34" spans="1:7">
      <c r="A34" s="199" t="s">
        <v>399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408</v>
      </c>
      <c r="G34" s="200" t="s">
        <v>434</v>
      </c>
    </row>
    <row r="35" spans="1:7">
      <c r="A35" s="199" t="s">
        <v>399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393</v>
      </c>
      <c r="G35" s="200" t="s">
        <v>434</v>
      </c>
    </row>
    <row r="36" spans="1:7">
      <c r="A36" s="199" t="s">
        <v>399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413</v>
      </c>
      <c r="G36" s="200" t="s">
        <v>434</v>
      </c>
    </row>
    <row r="37" spans="1:7">
      <c r="A37" s="199" t="s">
        <v>399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441</v>
      </c>
      <c r="G37" s="200" t="s">
        <v>434</v>
      </c>
    </row>
    <row r="38" spans="1:7" hidden="1">
      <c r="A38" s="199" t="s">
        <v>399</v>
      </c>
      <c r="B38" s="200">
        <v>1933</v>
      </c>
      <c r="C38" s="200">
        <v>0</v>
      </c>
      <c r="D38" s="201" t="s">
        <v>442</v>
      </c>
      <c r="E38" s="201" t="s">
        <v>317</v>
      </c>
      <c r="F38" s="200" t="s">
        <v>394</v>
      </c>
      <c r="G38" s="200" t="s">
        <v>434</v>
      </c>
    </row>
    <row r="39" spans="1:7">
      <c r="A39" s="199" t="s">
        <v>450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408</v>
      </c>
      <c r="G39" s="200" t="s">
        <v>434</v>
      </c>
    </row>
    <row r="40" spans="1:7">
      <c r="A40" s="199" t="s">
        <v>450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393</v>
      </c>
      <c r="G40" s="200" t="s">
        <v>434</v>
      </c>
    </row>
    <row r="41" spans="1:7">
      <c r="A41" s="199" t="s">
        <v>451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408</v>
      </c>
      <c r="G41" s="200" t="s">
        <v>434</v>
      </c>
    </row>
    <row r="42" spans="1:7">
      <c r="A42" s="199" t="s">
        <v>451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393</v>
      </c>
      <c r="G42" s="200" t="s">
        <v>434</v>
      </c>
    </row>
    <row r="43" spans="1:7" hidden="1">
      <c r="A43" s="199" t="s">
        <v>452</v>
      </c>
      <c r="B43" s="200">
        <v>1.9994331523776054E-8</v>
      </c>
      <c r="C43" s="200">
        <v>0</v>
      </c>
      <c r="D43" s="201" t="s">
        <v>440</v>
      </c>
      <c r="E43" s="201" t="s">
        <v>317</v>
      </c>
      <c r="F43" s="200" t="s">
        <v>394</v>
      </c>
      <c r="G43" s="200" t="s">
        <v>434</v>
      </c>
    </row>
    <row r="44" spans="1:7" hidden="1">
      <c r="A44" s="199" t="s">
        <v>452</v>
      </c>
      <c r="B44" s="200">
        <v>32400</v>
      </c>
      <c r="C44" s="200">
        <v>0</v>
      </c>
      <c r="D44" s="201" t="s">
        <v>442</v>
      </c>
      <c r="E44" s="201" t="s">
        <v>317</v>
      </c>
      <c r="F44" s="200" t="s">
        <v>394</v>
      </c>
      <c r="G44" s="200" t="s">
        <v>434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394</v>
      </c>
      <c r="G45" s="200" t="s">
        <v>434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408</v>
      </c>
      <c r="G46" s="200" t="s">
        <v>434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394</v>
      </c>
      <c r="G47" s="200" t="s">
        <v>434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408</v>
      </c>
      <c r="G48" s="200" t="s">
        <v>434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449</v>
      </c>
      <c r="G49" s="200" t="s">
        <v>434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442</v>
      </c>
      <c r="E50" s="201" t="s">
        <v>320</v>
      </c>
      <c r="F50" s="200" t="s">
        <v>394</v>
      </c>
      <c r="G50" s="200" t="s">
        <v>434</v>
      </c>
    </row>
    <row r="51" spans="1:7" hidden="1">
      <c r="A51" s="199" t="s">
        <v>453</v>
      </c>
      <c r="B51" s="200">
        <v>8250</v>
      </c>
      <c r="C51" s="200">
        <v>0</v>
      </c>
      <c r="D51" s="201" t="s">
        <v>437</v>
      </c>
      <c r="E51" s="201" t="s">
        <v>324</v>
      </c>
      <c r="F51" s="200" t="s">
        <v>394</v>
      </c>
      <c r="G51" s="200" t="s">
        <v>434</v>
      </c>
    </row>
    <row r="52" spans="1:7" hidden="1">
      <c r="A52" s="199" t="s">
        <v>454</v>
      </c>
      <c r="B52" s="200">
        <v>-8250</v>
      </c>
      <c r="C52" s="200">
        <v>0</v>
      </c>
      <c r="D52" s="201" t="s">
        <v>437</v>
      </c>
      <c r="E52" s="201" t="s">
        <v>324</v>
      </c>
      <c r="F52" s="200" t="s">
        <v>394</v>
      </c>
      <c r="G52" s="200" t="s">
        <v>434</v>
      </c>
    </row>
    <row r="53" spans="1:7" hidden="1">
      <c r="A53" s="199" t="s">
        <v>455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394</v>
      </c>
      <c r="G53" s="200" t="s">
        <v>434</v>
      </c>
    </row>
    <row r="54" spans="1:7" hidden="1">
      <c r="A54" s="199" t="s">
        <v>455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408</v>
      </c>
      <c r="G54" s="200" t="s">
        <v>434</v>
      </c>
    </row>
    <row r="55" spans="1:7">
      <c r="A55" s="199" t="s">
        <v>455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394</v>
      </c>
      <c r="G55" s="200" t="s">
        <v>434</v>
      </c>
    </row>
    <row r="56" spans="1:7">
      <c r="A56" s="199" t="s">
        <v>455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408</v>
      </c>
      <c r="G56" s="200" t="s">
        <v>434</v>
      </c>
    </row>
    <row r="57" spans="1:7" hidden="1">
      <c r="A57" s="199" t="s">
        <v>456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394</v>
      </c>
      <c r="G57" s="200" t="s">
        <v>434</v>
      </c>
    </row>
    <row r="58" spans="1:7" hidden="1">
      <c r="A58" s="199" t="s">
        <v>456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408</v>
      </c>
      <c r="G58" s="200" t="s">
        <v>434</v>
      </c>
    </row>
    <row r="59" spans="1:7">
      <c r="A59" s="199" t="s">
        <v>456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394</v>
      </c>
      <c r="G59" s="200" t="s">
        <v>434</v>
      </c>
    </row>
    <row r="60" spans="1:7">
      <c r="A60" s="199" t="s">
        <v>456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408</v>
      </c>
      <c r="G60" s="200" t="s">
        <v>434</v>
      </c>
    </row>
    <row r="61" spans="1:7">
      <c r="A61" s="199" t="s">
        <v>457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394</v>
      </c>
      <c r="G61" s="200" t="s">
        <v>434</v>
      </c>
    </row>
    <row r="62" spans="1:7">
      <c r="A62" s="199" t="s">
        <v>457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393</v>
      </c>
      <c r="G62" s="200" t="s">
        <v>434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394</v>
      </c>
      <c r="G63" s="200" t="s">
        <v>434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441</v>
      </c>
      <c r="G64" s="200" t="s">
        <v>434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394</v>
      </c>
      <c r="G65" s="200" t="s">
        <v>434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445</v>
      </c>
      <c r="G66" s="200" t="s">
        <v>434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408</v>
      </c>
      <c r="G67" s="200" t="s">
        <v>434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393</v>
      </c>
      <c r="G68" s="200" t="s">
        <v>434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413</v>
      </c>
      <c r="G69" s="200" t="s">
        <v>434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403</v>
      </c>
      <c r="G70" s="200" t="s">
        <v>434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441</v>
      </c>
      <c r="G71" s="200" t="s">
        <v>434</v>
      </c>
    </row>
    <row r="72" spans="1:7">
      <c r="A72" s="199" t="s">
        <v>458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394</v>
      </c>
      <c r="G72" s="200" t="s">
        <v>434</v>
      </c>
    </row>
    <row r="73" spans="1:7">
      <c r="A73" s="199" t="s">
        <v>458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408</v>
      </c>
      <c r="G73" s="200" t="s">
        <v>434</v>
      </c>
    </row>
    <row r="74" spans="1:7">
      <c r="A74" s="199" t="s">
        <v>459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394</v>
      </c>
      <c r="G74" s="200" t="s">
        <v>434</v>
      </c>
    </row>
    <row r="75" spans="1:7">
      <c r="A75" s="199" t="s">
        <v>459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408</v>
      </c>
      <c r="G75" s="200" t="s">
        <v>434</v>
      </c>
    </row>
    <row r="76" spans="1:7">
      <c r="A76" s="199" t="s">
        <v>460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394</v>
      </c>
      <c r="G76" s="200" t="s">
        <v>434</v>
      </c>
    </row>
    <row r="77" spans="1:7">
      <c r="A77" s="199" t="s">
        <v>460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445</v>
      </c>
      <c r="G77" s="200" t="s">
        <v>434</v>
      </c>
    </row>
    <row r="78" spans="1:7">
      <c r="A78" s="199" t="s">
        <v>460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397</v>
      </c>
      <c r="G78" s="200" t="s">
        <v>434</v>
      </c>
    </row>
    <row r="79" spans="1:7">
      <c r="A79" s="199" t="s">
        <v>460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393</v>
      </c>
      <c r="G79" s="200" t="s">
        <v>434</v>
      </c>
    </row>
    <row r="80" spans="1:7">
      <c r="A80" s="199" t="s">
        <v>461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394</v>
      </c>
      <c r="G80" s="200" t="s">
        <v>434</v>
      </c>
    </row>
    <row r="81" spans="1:7">
      <c r="A81" s="199" t="s">
        <v>461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445</v>
      </c>
      <c r="G81" s="200" t="s">
        <v>434</v>
      </c>
    </row>
    <row r="82" spans="1:7">
      <c r="A82" s="199" t="s">
        <v>461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393</v>
      </c>
      <c r="G82" s="200" t="s">
        <v>434</v>
      </c>
    </row>
    <row r="83" spans="1:7" hidden="1">
      <c r="A83" s="199" t="s">
        <v>462</v>
      </c>
      <c r="B83" s="200">
        <v>1000000</v>
      </c>
      <c r="C83" s="200">
        <v>0</v>
      </c>
      <c r="D83" s="201" t="s">
        <v>463</v>
      </c>
      <c r="E83" s="201" t="s">
        <v>464</v>
      </c>
      <c r="F83" s="200" t="s">
        <v>394</v>
      </c>
      <c r="G83" s="200" t="s">
        <v>434</v>
      </c>
    </row>
    <row r="84" spans="1:7">
      <c r="A84" s="199" t="s">
        <v>465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394</v>
      </c>
      <c r="G84" s="200" t="s">
        <v>434</v>
      </c>
    </row>
    <row r="85" spans="1:7">
      <c r="A85" s="199" t="s">
        <v>465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445</v>
      </c>
      <c r="G85" s="200" t="s">
        <v>434</v>
      </c>
    </row>
    <row r="86" spans="1:7">
      <c r="A86" s="199" t="s">
        <v>465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393</v>
      </c>
      <c r="G86" s="200" t="s">
        <v>434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394</v>
      </c>
      <c r="G87" s="200" t="s">
        <v>434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393</v>
      </c>
      <c r="G88" s="200" t="s">
        <v>434</v>
      </c>
    </row>
    <row r="89" spans="1:7" hidden="1">
      <c r="A89" s="199" t="s">
        <v>466</v>
      </c>
      <c r="B89" s="200">
        <v>469413</v>
      </c>
      <c r="C89" s="200">
        <v>0</v>
      </c>
      <c r="D89" s="201" t="s">
        <v>440</v>
      </c>
      <c r="E89" s="201" t="s">
        <v>39</v>
      </c>
      <c r="F89" s="200" t="s">
        <v>394</v>
      </c>
      <c r="G89" s="200" t="s">
        <v>434</v>
      </c>
    </row>
    <row r="90" spans="1:7" hidden="1">
      <c r="A90" s="199" t="s">
        <v>466</v>
      </c>
      <c r="B90" s="200">
        <v>-469413</v>
      </c>
      <c r="C90" s="200">
        <v>0</v>
      </c>
      <c r="D90" s="201" t="s">
        <v>440</v>
      </c>
      <c r="E90" s="201" t="s">
        <v>39</v>
      </c>
      <c r="F90" s="200" t="s">
        <v>402</v>
      </c>
      <c r="G90" s="200" t="s">
        <v>434</v>
      </c>
    </row>
    <row r="91" spans="1:7" hidden="1">
      <c r="A91" s="199" t="s">
        <v>467</v>
      </c>
      <c r="B91" s="200">
        <v>-700000</v>
      </c>
      <c r="C91" s="200">
        <v>0</v>
      </c>
      <c r="D91" s="201" t="s">
        <v>463</v>
      </c>
      <c r="E91" s="201" t="s">
        <v>464</v>
      </c>
      <c r="F91" s="200" t="s">
        <v>394</v>
      </c>
      <c r="G91" s="200" t="s">
        <v>434</v>
      </c>
    </row>
    <row r="92" spans="1:7" hidden="1">
      <c r="A92" s="199" t="s">
        <v>467</v>
      </c>
      <c r="B92" s="200">
        <v>1500000</v>
      </c>
      <c r="C92" s="200">
        <v>0</v>
      </c>
      <c r="D92" s="201" t="s">
        <v>463</v>
      </c>
      <c r="E92" s="201" t="s">
        <v>464</v>
      </c>
      <c r="F92" s="200" t="s">
        <v>468</v>
      </c>
      <c r="G92" s="200" t="s">
        <v>434</v>
      </c>
    </row>
    <row r="93" spans="1:7" hidden="1">
      <c r="A93" s="199" t="s">
        <v>467</v>
      </c>
      <c r="B93" s="200">
        <v>-1074000</v>
      </c>
      <c r="C93" s="200">
        <v>0</v>
      </c>
      <c r="D93" s="201" t="s">
        <v>463</v>
      </c>
      <c r="E93" s="201" t="s">
        <v>464</v>
      </c>
      <c r="F93" s="200" t="s">
        <v>413</v>
      </c>
      <c r="G93" s="200" t="s">
        <v>434</v>
      </c>
    </row>
    <row r="94" spans="1:7" hidden="1">
      <c r="A94" s="199" t="s">
        <v>467</v>
      </c>
      <c r="B94" s="200">
        <v>274000</v>
      </c>
      <c r="C94" s="200">
        <v>0</v>
      </c>
      <c r="D94" s="201" t="s">
        <v>463</v>
      </c>
      <c r="E94" s="201" t="s">
        <v>464</v>
      </c>
      <c r="F94" s="200" t="s">
        <v>469</v>
      </c>
      <c r="G94" s="200" t="s">
        <v>434</v>
      </c>
    </row>
    <row r="95" spans="1:7" hidden="1">
      <c r="A95" s="199" t="s">
        <v>470</v>
      </c>
      <c r="B95" s="200">
        <v>320000</v>
      </c>
      <c r="C95" s="200">
        <v>0</v>
      </c>
      <c r="D95" s="201" t="s">
        <v>440</v>
      </c>
      <c r="E95" s="201" t="s">
        <v>39</v>
      </c>
      <c r="F95" s="200" t="s">
        <v>394</v>
      </c>
      <c r="G95" s="200" t="s">
        <v>434</v>
      </c>
    </row>
    <row r="96" spans="1:7" hidden="1">
      <c r="A96" s="199" t="s">
        <v>470</v>
      </c>
      <c r="B96" s="200">
        <v>-320000</v>
      </c>
      <c r="C96" s="200">
        <v>0</v>
      </c>
      <c r="D96" s="201" t="s">
        <v>440</v>
      </c>
      <c r="E96" s="201" t="s">
        <v>39</v>
      </c>
      <c r="F96" s="200" t="s">
        <v>402</v>
      </c>
      <c r="G96" s="200" t="s">
        <v>434</v>
      </c>
    </row>
    <row r="97" spans="1:7" hidden="1">
      <c r="A97" s="199" t="s">
        <v>471</v>
      </c>
      <c r="B97" s="200">
        <v>3330000</v>
      </c>
      <c r="C97" s="200">
        <v>0</v>
      </c>
      <c r="D97" s="201" t="s">
        <v>463</v>
      </c>
      <c r="E97" s="201" t="s">
        <v>464</v>
      </c>
      <c r="F97" s="200" t="s">
        <v>468</v>
      </c>
      <c r="G97" s="200" t="s">
        <v>434</v>
      </c>
    </row>
    <row r="98" spans="1:7" hidden="1">
      <c r="A98" s="199" t="s">
        <v>471</v>
      </c>
      <c r="B98" s="200">
        <v>-4660000</v>
      </c>
      <c r="C98" s="200">
        <v>0</v>
      </c>
      <c r="D98" s="201" t="s">
        <v>463</v>
      </c>
      <c r="E98" s="201" t="s">
        <v>464</v>
      </c>
      <c r="F98" s="200" t="s">
        <v>397</v>
      </c>
      <c r="G98" s="200" t="s">
        <v>434</v>
      </c>
    </row>
    <row r="99" spans="1:7" hidden="1">
      <c r="A99" s="199" t="s">
        <v>471</v>
      </c>
      <c r="B99" s="200">
        <v>1330000</v>
      </c>
      <c r="C99" s="200">
        <v>0</v>
      </c>
      <c r="D99" s="201" t="s">
        <v>463</v>
      </c>
      <c r="E99" s="201" t="s">
        <v>464</v>
      </c>
      <c r="F99" s="200" t="s">
        <v>469</v>
      </c>
      <c r="G99" s="200" t="s">
        <v>434</v>
      </c>
    </row>
    <row r="100" spans="1:7" hidden="1">
      <c r="A100" s="199" t="s">
        <v>472</v>
      </c>
      <c r="B100" s="200">
        <v>-12150000</v>
      </c>
      <c r="C100" s="200">
        <v>0</v>
      </c>
      <c r="D100" s="201" t="s">
        <v>463</v>
      </c>
      <c r="E100" s="201" t="s">
        <v>464</v>
      </c>
      <c r="F100" s="200" t="s">
        <v>397</v>
      </c>
      <c r="G100" s="200" t="s">
        <v>434</v>
      </c>
    </row>
    <row r="101" spans="1:7" hidden="1">
      <c r="A101" s="199" t="s">
        <v>472</v>
      </c>
      <c r="B101" s="200">
        <v>11850000</v>
      </c>
      <c r="C101" s="200">
        <v>0</v>
      </c>
      <c r="D101" s="201" t="s">
        <v>463</v>
      </c>
      <c r="E101" s="201" t="s">
        <v>464</v>
      </c>
      <c r="F101" s="200" t="s">
        <v>413</v>
      </c>
      <c r="G101" s="200" t="s">
        <v>434</v>
      </c>
    </row>
    <row r="102" spans="1:7" hidden="1">
      <c r="A102" s="199" t="s">
        <v>472</v>
      </c>
      <c r="B102" s="200">
        <v>300000</v>
      </c>
      <c r="C102" s="200">
        <v>0</v>
      </c>
      <c r="D102" s="201" t="s">
        <v>463</v>
      </c>
      <c r="E102" s="201" t="s">
        <v>464</v>
      </c>
      <c r="F102" s="200" t="s">
        <v>469</v>
      </c>
      <c r="G102" s="200" t="s">
        <v>434</v>
      </c>
    </row>
    <row r="103" spans="1:7" hidden="1">
      <c r="A103" s="199" t="s">
        <v>473</v>
      </c>
      <c r="B103" s="200">
        <v>-1570</v>
      </c>
      <c r="C103" s="200">
        <v>0</v>
      </c>
      <c r="D103" s="201" t="s">
        <v>440</v>
      </c>
      <c r="E103" s="201" t="s">
        <v>39</v>
      </c>
      <c r="F103" s="200" t="s">
        <v>394</v>
      </c>
      <c r="G103" s="200" t="s">
        <v>434</v>
      </c>
    </row>
    <row r="104" spans="1:7" hidden="1">
      <c r="A104" s="199" t="s">
        <v>473</v>
      </c>
      <c r="B104" s="200">
        <v>1570</v>
      </c>
      <c r="C104" s="200">
        <v>0</v>
      </c>
      <c r="D104" s="201" t="s">
        <v>440</v>
      </c>
      <c r="E104" s="201" t="s">
        <v>39</v>
      </c>
      <c r="F104" s="200" t="s">
        <v>441</v>
      </c>
      <c r="G104" s="200" t="s">
        <v>434</v>
      </c>
    </row>
    <row r="105" spans="1:7" hidden="1">
      <c r="A105" s="199" t="s">
        <v>473</v>
      </c>
      <c r="B105" s="200">
        <v>-3802</v>
      </c>
      <c r="C105" s="200">
        <v>0</v>
      </c>
      <c r="D105" s="201" t="s">
        <v>442</v>
      </c>
      <c r="E105" s="201" t="s">
        <v>39</v>
      </c>
      <c r="F105" s="200" t="s">
        <v>394</v>
      </c>
      <c r="G105" s="200" t="s">
        <v>434</v>
      </c>
    </row>
    <row r="106" spans="1:7" hidden="1">
      <c r="A106" s="199" t="s">
        <v>473</v>
      </c>
      <c r="B106" s="200">
        <v>-1570</v>
      </c>
      <c r="C106" s="200">
        <v>0</v>
      </c>
      <c r="D106" s="201" t="s">
        <v>442</v>
      </c>
      <c r="E106" s="201" t="s">
        <v>39</v>
      </c>
      <c r="F106" s="200" t="s">
        <v>441</v>
      </c>
      <c r="G106" s="200" t="s">
        <v>434</v>
      </c>
    </row>
    <row r="107" spans="1:7" hidden="1">
      <c r="A107" s="199" t="s">
        <v>473</v>
      </c>
      <c r="B107" s="200">
        <v>54717</v>
      </c>
      <c r="C107" s="200">
        <v>0</v>
      </c>
      <c r="D107" s="201" t="s">
        <v>474</v>
      </c>
      <c r="E107" s="201" t="s">
        <v>39</v>
      </c>
      <c r="F107" s="200" t="s">
        <v>394</v>
      </c>
      <c r="G107" s="200" t="s">
        <v>434</v>
      </c>
    </row>
    <row r="108" spans="1:7" hidden="1">
      <c r="A108" s="199" t="s">
        <v>473</v>
      </c>
      <c r="B108" s="200">
        <v>-54717</v>
      </c>
      <c r="C108" s="200">
        <v>0</v>
      </c>
      <c r="D108" s="201" t="s">
        <v>474</v>
      </c>
      <c r="E108" s="201" t="s">
        <v>39</v>
      </c>
      <c r="F108" s="200" t="s">
        <v>402</v>
      </c>
      <c r="G108" s="200" t="s">
        <v>434</v>
      </c>
    </row>
    <row r="109" spans="1:7">
      <c r="A109" s="199" t="s">
        <v>475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394</v>
      </c>
      <c r="G109" s="200" t="s">
        <v>434</v>
      </c>
    </row>
    <row r="110" spans="1:7">
      <c r="A110" s="199" t="s">
        <v>475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445</v>
      </c>
      <c r="G110" s="200" t="s">
        <v>434</v>
      </c>
    </row>
    <row r="111" spans="1:7">
      <c r="A111" s="199" t="s">
        <v>475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393</v>
      </c>
      <c r="G111" s="200" t="s">
        <v>434</v>
      </c>
    </row>
    <row r="112" spans="1:7" hidden="1">
      <c r="A112" s="199" t="s">
        <v>476</v>
      </c>
      <c r="B112" s="200">
        <v>-25000000</v>
      </c>
      <c r="C112" s="200">
        <v>0</v>
      </c>
      <c r="D112" s="201" t="s">
        <v>463</v>
      </c>
      <c r="E112" s="201" t="s">
        <v>477</v>
      </c>
      <c r="F112" s="200" t="s">
        <v>394</v>
      </c>
      <c r="G112" s="200" t="s">
        <v>434</v>
      </c>
    </row>
    <row r="113" spans="1:7" hidden="1">
      <c r="A113" s="199" t="s">
        <v>476</v>
      </c>
      <c r="B113" s="200">
        <v>25000000</v>
      </c>
      <c r="C113" s="200">
        <v>0</v>
      </c>
      <c r="D113" s="201" t="s">
        <v>463</v>
      </c>
      <c r="E113" s="201" t="s">
        <v>477</v>
      </c>
      <c r="F113" s="200" t="s">
        <v>393</v>
      </c>
      <c r="G113" s="200" t="s">
        <v>434</v>
      </c>
    </row>
    <row r="114" spans="1:7" hidden="1">
      <c r="A114" s="199" t="s">
        <v>478</v>
      </c>
      <c r="B114" s="200">
        <v>25000000</v>
      </c>
      <c r="C114" s="200">
        <v>0</v>
      </c>
      <c r="D114" s="201" t="s">
        <v>463</v>
      </c>
      <c r="E114" s="201" t="s">
        <v>477</v>
      </c>
      <c r="F114" s="200" t="s">
        <v>394</v>
      </c>
      <c r="G114" s="200" t="s">
        <v>434</v>
      </c>
    </row>
    <row r="115" spans="1:7" hidden="1">
      <c r="A115" s="199" t="s">
        <v>478</v>
      </c>
      <c r="B115" s="200">
        <v>-25000000</v>
      </c>
      <c r="C115" s="200">
        <v>0</v>
      </c>
      <c r="D115" s="201" t="s">
        <v>463</v>
      </c>
      <c r="E115" s="201" t="s">
        <v>477</v>
      </c>
      <c r="F115" s="200" t="s">
        <v>393</v>
      </c>
      <c r="G115" s="200" t="s">
        <v>434</v>
      </c>
    </row>
    <row r="116" spans="1:7" hidden="1">
      <c r="A116" s="199" t="s">
        <v>479</v>
      </c>
      <c r="B116" s="200">
        <v>-15825000</v>
      </c>
      <c r="C116" s="200">
        <v>0</v>
      </c>
      <c r="D116" s="201" t="s">
        <v>480</v>
      </c>
      <c r="E116" s="201" t="s">
        <v>477</v>
      </c>
      <c r="F116" s="200" t="s">
        <v>394</v>
      </c>
      <c r="G116" s="200" t="s">
        <v>434</v>
      </c>
    </row>
    <row r="117" spans="1:7" hidden="1">
      <c r="A117" s="199" t="s">
        <v>479</v>
      </c>
      <c r="B117" s="200">
        <v>15825000</v>
      </c>
      <c r="C117" s="200">
        <v>0</v>
      </c>
      <c r="D117" s="201" t="s">
        <v>480</v>
      </c>
      <c r="E117" s="201" t="s">
        <v>477</v>
      </c>
      <c r="F117" s="200" t="s">
        <v>481</v>
      </c>
      <c r="G117" s="200" t="s">
        <v>434</v>
      </c>
    </row>
    <row r="118" spans="1:7">
      <c r="A118" s="199" t="s">
        <v>479</v>
      </c>
      <c r="B118" s="200">
        <v>-7925000</v>
      </c>
      <c r="C118" s="200">
        <v>0</v>
      </c>
      <c r="D118" s="201" t="s">
        <v>282</v>
      </c>
      <c r="E118" s="201" t="s">
        <v>477</v>
      </c>
      <c r="F118" s="200" t="s">
        <v>394</v>
      </c>
      <c r="G118" s="200" t="s">
        <v>434</v>
      </c>
    </row>
    <row r="119" spans="1:7">
      <c r="A119" s="199" t="s">
        <v>479</v>
      </c>
      <c r="B119" s="200">
        <v>7925000</v>
      </c>
      <c r="C119" s="200">
        <v>0</v>
      </c>
      <c r="D119" s="201" t="s">
        <v>282</v>
      </c>
      <c r="E119" s="201" t="s">
        <v>477</v>
      </c>
      <c r="F119" s="200" t="s">
        <v>481</v>
      </c>
      <c r="G119" s="200" t="s">
        <v>434</v>
      </c>
    </row>
    <row r="120" spans="1:7" hidden="1">
      <c r="A120" s="199" t="s">
        <v>482</v>
      </c>
      <c r="B120" s="200">
        <v>34631250</v>
      </c>
      <c r="C120" s="200">
        <v>0</v>
      </c>
      <c r="D120" s="201" t="s">
        <v>480</v>
      </c>
      <c r="E120" s="201" t="s">
        <v>477</v>
      </c>
      <c r="F120" s="200" t="s">
        <v>394</v>
      </c>
      <c r="G120" s="200" t="s">
        <v>434</v>
      </c>
    </row>
    <row r="121" spans="1:7">
      <c r="A121" s="199" t="s">
        <v>482</v>
      </c>
      <c r="B121" s="200">
        <v>12868750</v>
      </c>
      <c r="C121" s="200">
        <v>0</v>
      </c>
      <c r="D121" s="201" t="s">
        <v>282</v>
      </c>
      <c r="E121" s="201" t="s">
        <v>477</v>
      </c>
      <c r="F121" s="200" t="s">
        <v>394</v>
      </c>
      <c r="G121" s="200" t="s">
        <v>434</v>
      </c>
    </row>
    <row r="122" spans="1:7">
      <c r="A122" s="199" t="s">
        <v>483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394</v>
      </c>
      <c r="G122" s="200" t="s">
        <v>434</v>
      </c>
    </row>
    <row r="123" spans="1:7">
      <c r="A123" s="199" t="s">
        <v>483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393</v>
      </c>
      <c r="G123" s="200" t="s">
        <v>434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394</v>
      </c>
      <c r="G124" s="200" t="s">
        <v>434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393</v>
      </c>
      <c r="G125" s="200" t="s">
        <v>434</v>
      </c>
    </row>
    <row r="126" spans="1:7">
      <c r="A126" s="199" t="s">
        <v>484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394</v>
      </c>
      <c r="G126" s="200" t="s">
        <v>434</v>
      </c>
    </row>
    <row r="127" spans="1:7">
      <c r="A127" s="199" t="s">
        <v>484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445</v>
      </c>
      <c r="G127" s="200" t="s">
        <v>434</v>
      </c>
    </row>
    <row r="128" spans="1:7">
      <c r="A128" s="199" t="s">
        <v>484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393</v>
      </c>
      <c r="G128" s="200" t="s">
        <v>434</v>
      </c>
    </row>
    <row r="129" spans="1:7" hidden="1">
      <c r="A129" s="199" t="s">
        <v>485</v>
      </c>
      <c r="B129" s="200">
        <v>367</v>
      </c>
      <c r="C129" s="200">
        <v>0</v>
      </c>
      <c r="D129" s="201" t="s">
        <v>440</v>
      </c>
      <c r="E129" s="201" t="s">
        <v>486</v>
      </c>
      <c r="F129" s="200" t="s">
        <v>394</v>
      </c>
      <c r="G129" s="200" t="s">
        <v>434</v>
      </c>
    </row>
    <row r="130" spans="1:7" hidden="1">
      <c r="A130" s="199" t="s">
        <v>485</v>
      </c>
      <c r="B130" s="200">
        <v>85</v>
      </c>
      <c r="C130" s="200">
        <v>0</v>
      </c>
      <c r="D130" s="201" t="s">
        <v>437</v>
      </c>
      <c r="E130" s="201" t="s">
        <v>486</v>
      </c>
      <c r="F130" s="200" t="s">
        <v>394</v>
      </c>
      <c r="G130" s="200" t="s">
        <v>434</v>
      </c>
    </row>
    <row r="131" spans="1:7" hidden="1">
      <c r="A131" s="199" t="s">
        <v>485</v>
      </c>
      <c r="B131" s="200">
        <v>-33</v>
      </c>
      <c r="C131" s="200">
        <v>0</v>
      </c>
      <c r="D131" s="201" t="s">
        <v>437</v>
      </c>
      <c r="E131" s="201" t="s">
        <v>486</v>
      </c>
      <c r="F131" s="200" t="s">
        <v>396</v>
      </c>
      <c r="G131" s="200" t="s">
        <v>434</v>
      </c>
    </row>
    <row r="132" spans="1:7" hidden="1">
      <c r="A132" s="199" t="s">
        <v>485</v>
      </c>
      <c r="B132" s="200">
        <v>-21</v>
      </c>
      <c r="C132" s="200">
        <v>0</v>
      </c>
      <c r="D132" s="201" t="s">
        <v>442</v>
      </c>
      <c r="E132" s="201" t="s">
        <v>486</v>
      </c>
      <c r="F132" s="200" t="s">
        <v>394</v>
      </c>
      <c r="G132" s="200" t="s">
        <v>434</v>
      </c>
    </row>
    <row r="133" spans="1:7" hidden="1">
      <c r="A133" s="199" t="s">
        <v>487</v>
      </c>
      <c r="B133" s="200">
        <v>887</v>
      </c>
      <c r="C133" s="200">
        <v>0</v>
      </c>
      <c r="D133" s="201" t="s">
        <v>440</v>
      </c>
      <c r="E133" s="201" t="s">
        <v>488</v>
      </c>
      <c r="F133" s="200" t="s">
        <v>394</v>
      </c>
      <c r="G133" s="200" t="s">
        <v>434</v>
      </c>
    </row>
    <row r="134" spans="1:7" hidden="1">
      <c r="A134" s="199" t="s">
        <v>489</v>
      </c>
      <c r="B134" s="200">
        <v>-887</v>
      </c>
      <c r="C134" s="200">
        <v>0</v>
      </c>
      <c r="D134" s="201" t="s">
        <v>440</v>
      </c>
      <c r="E134" s="201" t="s">
        <v>488</v>
      </c>
      <c r="F134" s="200" t="s">
        <v>394</v>
      </c>
      <c r="G134" s="200" t="s">
        <v>434</v>
      </c>
    </row>
    <row r="135" spans="1:7" hidden="1">
      <c r="A135" s="199" t="s">
        <v>490</v>
      </c>
      <c r="B135" s="200">
        <v>887</v>
      </c>
      <c r="C135" s="200">
        <v>0</v>
      </c>
      <c r="D135" s="201" t="s">
        <v>440</v>
      </c>
      <c r="E135" s="201" t="s">
        <v>488</v>
      </c>
      <c r="F135" s="200" t="s">
        <v>394</v>
      </c>
      <c r="G135" s="200" t="s">
        <v>434</v>
      </c>
    </row>
    <row r="136" spans="1:7" hidden="1">
      <c r="A136" s="199" t="s">
        <v>491</v>
      </c>
      <c r="B136" s="200">
        <v>-512</v>
      </c>
      <c r="C136" s="200">
        <v>0</v>
      </c>
      <c r="D136" s="201" t="s">
        <v>440</v>
      </c>
      <c r="E136" s="201" t="s">
        <v>486</v>
      </c>
      <c r="F136" s="200" t="s">
        <v>394</v>
      </c>
      <c r="G136" s="200" t="s">
        <v>434</v>
      </c>
    </row>
    <row r="137" spans="1:7" hidden="1">
      <c r="A137" s="199" t="s">
        <v>492</v>
      </c>
      <c r="B137" s="200">
        <v>3612</v>
      </c>
      <c r="C137" s="200">
        <v>0</v>
      </c>
      <c r="D137" s="201" t="s">
        <v>442</v>
      </c>
      <c r="E137" s="201" t="s">
        <v>317</v>
      </c>
      <c r="F137" s="200" t="s">
        <v>394</v>
      </c>
      <c r="G137" s="200" t="s">
        <v>434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394</v>
      </c>
      <c r="G138" s="200" t="s">
        <v>434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441</v>
      </c>
      <c r="G139" s="200" t="s">
        <v>434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394</v>
      </c>
      <c r="G140" s="200" t="s">
        <v>434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408</v>
      </c>
      <c r="G141" s="200" t="s">
        <v>434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393</v>
      </c>
      <c r="G142" s="200" t="s">
        <v>434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413</v>
      </c>
      <c r="G143" s="200" t="s">
        <v>434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403</v>
      </c>
      <c r="G144" s="200" t="s">
        <v>434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441</v>
      </c>
      <c r="G145" s="200" t="s">
        <v>434</v>
      </c>
    </row>
    <row r="146" spans="1:7">
      <c r="A146" s="199" t="s">
        <v>493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408</v>
      </c>
      <c r="G146" s="200" t="s">
        <v>434</v>
      </c>
    </row>
    <row r="147" spans="1:7">
      <c r="A147" s="199" t="s">
        <v>493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393</v>
      </c>
      <c r="G147" s="200" t="s">
        <v>434</v>
      </c>
    </row>
    <row r="148" spans="1:7">
      <c r="A148" s="199" t="s">
        <v>494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394</v>
      </c>
      <c r="G148" s="200" t="s">
        <v>434</v>
      </c>
    </row>
    <row r="149" spans="1:7">
      <c r="A149" s="199" t="s">
        <v>494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408</v>
      </c>
      <c r="G149" s="200" t="s">
        <v>434</v>
      </c>
    </row>
    <row r="150" spans="1:7">
      <c r="A150" s="199" t="s">
        <v>494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393</v>
      </c>
      <c r="G150" s="200" t="s">
        <v>434</v>
      </c>
    </row>
    <row r="151" spans="1:7">
      <c r="A151" s="199" t="s">
        <v>495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408</v>
      </c>
      <c r="G151" s="200" t="s">
        <v>434</v>
      </c>
    </row>
    <row r="152" spans="1:7">
      <c r="A152" s="199" t="s">
        <v>495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393</v>
      </c>
      <c r="G152" s="200" t="s">
        <v>434</v>
      </c>
    </row>
    <row r="153" spans="1:7">
      <c r="A153" s="199" t="s">
        <v>496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394</v>
      </c>
      <c r="G153" s="200" t="s">
        <v>434</v>
      </c>
    </row>
    <row r="154" spans="1:7">
      <c r="A154" s="199" t="s">
        <v>496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408</v>
      </c>
      <c r="G154" s="200" t="s">
        <v>434</v>
      </c>
    </row>
    <row r="155" spans="1:7">
      <c r="A155" s="199" t="s">
        <v>497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394</v>
      </c>
      <c r="G155" s="200" t="s">
        <v>434</v>
      </c>
    </row>
    <row r="156" spans="1:7">
      <c r="A156" s="199" t="s">
        <v>497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408</v>
      </c>
      <c r="G156" s="200" t="s">
        <v>434</v>
      </c>
    </row>
    <row r="157" spans="1:7">
      <c r="A157" s="199" t="s">
        <v>497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393</v>
      </c>
      <c r="G157" s="200" t="s">
        <v>434</v>
      </c>
    </row>
    <row r="158" spans="1:7">
      <c r="A158" s="199" t="s">
        <v>498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394</v>
      </c>
      <c r="G158" s="200" t="s">
        <v>434</v>
      </c>
    </row>
    <row r="159" spans="1:7">
      <c r="A159" s="199" t="s">
        <v>498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408</v>
      </c>
      <c r="G159" s="200" t="s">
        <v>434</v>
      </c>
    </row>
    <row r="160" spans="1:7">
      <c r="A160" s="199" t="s">
        <v>499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394</v>
      </c>
      <c r="G160" s="200" t="s">
        <v>434</v>
      </c>
    </row>
    <row r="161" spans="1:7">
      <c r="A161" s="199" t="s">
        <v>499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445</v>
      </c>
      <c r="G161" s="200" t="s">
        <v>434</v>
      </c>
    </row>
    <row r="162" spans="1:7">
      <c r="A162" s="199" t="s">
        <v>499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397</v>
      </c>
      <c r="G162" s="200" t="s">
        <v>434</v>
      </c>
    </row>
    <row r="163" spans="1:7">
      <c r="A163" s="199" t="s">
        <v>499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393</v>
      </c>
      <c r="G163" s="200" t="s">
        <v>434</v>
      </c>
    </row>
    <row r="164" spans="1:7">
      <c r="A164" s="199" t="s">
        <v>500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445</v>
      </c>
      <c r="G164" s="200" t="s">
        <v>434</v>
      </c>
    </row>
    <row r="165" spans="1:7">
      <c r="A165" s="199" t="s">
        <v>500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393</v>
      </c>
      <c r="G165" s="200" t="s">
        <v>434</v>
      </c>
    </row>
    <row r="166" spans="1:7">
      <c r="A166" s="199" t="s">
        <v>501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394</v>
      </c>
      <c r="G166" s="200" t="s">
        <v>434</v>
      </c>
    </row>
    <row r="167" spans="1:7">
      <c r="A167" s="199" t="s">
        <v>501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393</v>
      </c>
      <c r="G167" s="200" t="s">
        <v>434</v>
      </c>
    </row>
    <row r="168" spans="1:7">
      <c r="A168" s="199" t="s">
        <v>501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403</v>
      </c>
      <c r="G168" s="200" t="s">
        <v>434</v>
      </c>
    </row>
    <row r="169" spans="1:7" hidden="1">
      <c r="A169" s="199" t="s">
        <v>502</v>
      </c>
      <c r="B169" s="200">
        <v>-207130</v>
      </c>
      <c r="C169" s="200">
        <v>0</v>
      </c>
      <c r="D169" s="201" t="s">
        <v>437</v>
      </c>
      <c r="E169" s="201" t="s">
        <v>320</v>
      </c>
      <c r="F169" s="200" t="s">
        <v>394</v>
      </c>
      <c r="G169" s="200" t="s">
        <v>434</v>
      </c>
    </row>
    <row r="170" spans="1:7" hidden="1">
      <c r="A170" s="199" t="s">
        <v>502</v>
      </c>
      <c r="B170" s="200">
        <v>207130</v>
      </c>
      <c r="C170" s="200">
        <v>0</v>
      </c>
      <c r="D170" s="201" t="s">
        <v>437</v>
      </c>
      <c r="E170" s="201" t="s">
        <v>320</v>
      </c>
      <c r="F170" s="200" t="s">
        <v>402</v>
      </c>
      <c r="G170" s="200" t="s">
        <v>434</v>
      </c>
    </row>
    <row r="171" spans="1:7" hidden="1">
      <c r="A171" s="199" t="s">
        <v>502</v>
      </c>
      <c r="B171" s="200">
        <v>15270</v>
      </c>
      <c r="C171" s="200">
        <v>0</v>
      </c>
      <c r="D171" s="201" t="s">
        <v>442</v>
      </c>
      <c r="E171" s="201" t="s">
        <v>320</v>
      </c>
      <c r="F171" s="200" t="s">
        <v>394</v>
      </c>
      <c r="G171" s="200" t="s">
        <v>434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394</v>
      </c>
      <c r="G172" s="200" t="s">
        <v>434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441</v>
      </c>
      <c r="G173" s="200" t="s">
        <v>434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394</v>
      </c>
      <c r="G174" s="200" t="s">
        <v>434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413</v>
      </c>
      <c r="G175" s="200" t="s">
        <v>434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441</v>
      </c>
      <c r="G176" s="200" t="s">
        <v>434</v>
      </c>
    </row>
    <row r="177" spans="1:7" hidden="1">
      <c r="A177" s="199" t="s">
        <v>503</v>
      </c>
      <c r="B177" s="200">
        <v>6192</v>
      </c>
      <c r="C177" s="200">
        <v>0</v>
      </c>
      <c r="D177" s="201" t="s">
        <v>442</v>
      </c>
      <c r="E177" s="201" t="s">
        <v>320</v>
      </c>
      <c r="F177" s="200" t="s">
        <v>394</v>
      </c>
      <c r="G177" s="200" t="s">
        <v>434</v>
      </c>
    </row>
    <row r="178" spans="1:7" hidden="1">
      <c r="A178" s="199" t="s">
        <v>503</v>
      </c>
      <c r="B178" s="200">
        <v>-5341</v>
      </c>
      <c r="C178" s="200">
        <v>0</v>
      </c>
      <c r="D178" s="201" t="s">
        <v>442</v>
      </c>
      <c r="E178" s="201" t="s">
        <v>320</v>
      </c>
      <c r="F178" s="200" t="s">
        <v>409</v>
      </c>
      <c r="G178" s="200" t="s">
        <v>434</v>
      </c>
    </row>
    <row r="179" spans="1:7" hidden="1">
      <c r="A179" s="199" t="s">
        <v>504</v>
      </c>
      <c r="B179" s="200">
        <v>-12040</v>
      </c>
      <c r="C179" s="200">
        <v>0</v>
      </c>
      <c r="D179" s="201" t="s">
        <v>440</v>
      </c>
      <c r="E179" s="201" t="s">
        <v>439</v>
      </c>
      <c r="F179" s="200" t="s">
        <v>394</v>
      </c>
      <c r="G179" s="200" t="s">
        <v>434</v>
      </c>
    </row>
    <row r="180" spans="1:7" hidden="1">
      <c r="A180" s="199" t="s">
        <v>505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394</v>
      </c>
      <c r="G180" s="200" t="s">
        <v>434</v>
      </c>
    </row>
    <row r="181" spans="1:7" hidden="1">
      <c r="A181" s="199" t="s">
        <v>505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441</v>
      </c>
      <c r="G181" s="200" t="s">
        <v>434</v>
      </c>
    </row>
    <row r="182" spans="1:7">
      <c r="A182" s="199" t="s">
        <v>505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394</v>
      </c>
      <c r="G182" s="200" t="s">
        <v>434</v>
      </c>
    </row>
    <row r="183" spans="1:7">
      <c r="A183" s="199" t="s">
        <v>505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393</v>
      </c>
      <c r="G183" s="200" t="s">
        <v>434</v>
      </c>
    </row>
    <row r="184" spans="1:7">
      <c r="A184" s="199" t="s">
        <v>505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441</v>
      </c>
      <c r="G184" s="200" t="s">
        <v>434</v>
      </c>
    </row>
    <row r="185" spans="1:7">
      <c r="A185" s="199" t="s">
        <v>506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394</v>
      </c>
      <c r="G185" s="200" t="s">
        <v>434</v>
      </c>
    </row>
    <row r="186" spans="1:7">
      <c r="A186" s="199" t="s">
        <v>506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445</v>
      </c>
      <c r="G186" s="200" t="s">
        <v>434</v>
      </c>
    </row>
    <row r="187" spans="1:7">
      <c r="A187" s="199" t="s">
        <v>506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403</v>
      </c>
      <c r="G187" s="200" t="s">
        <v>434</v>
      </c>
    </row>
    <row r="188" spans="1:7" hidden="1">
      <c r="A188" s="199" t="s">
        <v>507</v>
      </c>
      <c r="B188" s="200">
        <v>19119</v>
      </c>
      <c r="C188" s="200">
        <v>0</v>
      </c>
      <c r="D188" s="201" t="s">
        <v>442</v>
      </c>
      <c r="E188" s="201" t="s">
        <v>39</v>
      </c>
      <c r="F188" s="200" t="s">
        <v>394</v>
      </c>
      <c r="G188" s="200" t="s">
        <v>434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394</v>
      </c>
      <c r="G189" s="200" t="s">
        <v>434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409</v>
      </c>
      <c r="G190" s="200" t="s">
        <v>434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437</v>
      </c>
      <c r="E191" s="201" t="s">
        <v>322</v>
      </c>
      <c r="F191" s="200" t="s">
        <v>394</v>
      </c>
      <c r="G191" s="200" t="s">
        <v>434</v>
      </c>
    </row>
    <row r="192" spans="1:7" hidden="1">
      <c r="A192" s="199" t="s">
        <v>508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394</v>
      </c>
      <c r="G192" s="200" t="s">
        <v>434</v>
      </c>
    </row>
    <row r="193" spans="1:7" hidden="1">
      <c r="A193" s="199" t="s">
        <v>508</v>
      </c>
      <c r="B193" s="200">
        <v>-93</v>
      </c>
      <c r="C193" s="200">
        <v>0</v>
      </c>
      <c r="D193" s="201" t="s">
        <v>437</v>
      </c>
      <c r="E193" s="201" t="s">
        <v>315</v>
      </c>
      <c r="F193" s="200" t="s">
        <v>394</v>
      </c>
      <c r="G193" s="200" t="s">
        <v>434</v>
      </c>
    </row>
    <row r="194" spans="1:7">
      <c r="A194" s="199" t="s">
        <v>508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394</v>
      </c>
      <c r="G194" s="200" t="s">
        <v>434</v>
      </c>
    </row>
    <row r="195" spans="1:7" hidden="1">
      <c r="A195" s="199" t="s">
        <v>509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394</v>
      </c>
      <c r="G195" s="200" t="s">
        <v>434</v>
      </c>
    </row>
    <row r="196" spans="1:7" hidden="1">
      <c r="A196" s="199" t="s">
        <v>509</v>
      </c>
      <c r="B196" s="200">
        <v>93</v>
      </c>
      <c r="C196" s="200">
        <v>0</v>
      </c>
      <c r="D196" s="201" t="s">
        <v>437</v>
      </c>
      <c r="E196" s="201" t="s">
        <v>315</v>
      </c>
      <c r="F196" s="200" t="s">
        <v>394</v>
      </c>
      <c r="G196" s="200" t="s">
        <v>434</v>
      </c>
    </row>
    <row r="197" spans="1:7">
      <c r="A197" s="199" t="s">
        <v>509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394</v>
      </c>
      <c r="G197" s="200" t="s">
        <v>434</v>
      </c>
    </row>
    <row r="198" spans="1:7" hidden="1">
      <c r="A198" s="199" t="s">
        <v>510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394</v>
      </c>
      <c r="G198" s="200" t="s">
        <v>434</v>
      </c>
    </row>
    <row r="199" spans="1:7">
      <c r="A199" s="199" t="s">
        <v>510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394</v>
      </c>
      <c r="G199" s="200" t="s">
        <v>434</v>
      </c>
    </row>
    <row r="200" spans="1:7">
      <c r="A200" s="199" t="s">
        <v>510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393</v>
      </c>
      <c r="G200" s="200" t="s">
        <v>434</v>
      </c>
    </row>
    <row r="201" spans="1:7" hidden="1">
      <c r="A201" s="199" t="s">
        <v>511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394</v>
      </c>
      <c r="G201" s="200" t="s">
        <v>434</v>
      </c>
    </row>
    <row r="202" spans="1:7">
      <c r="A202" s="199" t="s">
        <v>511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394</v>
      </c>
      <c r="G202" s="200" t="s">
        <v>434</v>
      </c>
    </row>
    <row r="203" spans="1:7">
      <c r="A203" s="199" t="s">
        <v>511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408</v>
      </c>
      <c r="G203" s="200" t="s">
        <v>434</v>
      </c>
    </row>
    <row r="204" spans="1:7" hidden="1">
      <c r="A204" s="199" t="s">
        <v>512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394</v>
      </c>
      <c r="G204" s="200" t="s">
        <v>434</v>
      </c>
    </row>
    <row r="205" spans="1:7">
      <c r="A205" s="199" t="s">
        <v>512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394</v>
      </c>
      <c r="G205" s="200" t="s">
        <v>434</v>
      </c>
    </row>
    <row r="206" spans="1:7">
      <c r="A206" s="199" t="s">
        <v>512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408</v>
      </c>
      <c r="G206" s="200" t="s">
        <v>434</v>
      </c>
    </row>
    <row r="207" spans="1:7">
      <c r="A207" s="199" t="s">
        <v>513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394</v>
      </c>
      <c r="G207" s="200" t="s">
        <v>434</v>
      </c>
    </row>
    <row r="208" spans="1:7">
      <c r="A208" s="199" t="s">
        <v>513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393</v>
      </c>
      <c r="G208" s="200" t="s">
        <v>434</v>
      </c>
    </row>
    <row r="209" spans="1:7" hidden="1">
      <c r="A209" s="199" t="s">
        <v>514</v>
      </c>
      <c r="B209" s="200">
        <v>-2306480</v>
      </c>
      <c r="C209" s="200">
        <v>0</v>
      </c>
      <c r="D209" s="201" t="s">
        <v>440</v>
      </c>
      <c r="E209" s="201" t="s">
        <v>320</v>
      </c>
      <c r="F209" s="200" t="s">
        <v>394</v>
      </c>
      <c r="G209" s="200" t="s">
        <v>434</v>
      </c>
    </row>
    <row r="210" spans="1:7" hidden="1">
      <c r="A210" s="199" t="s">
        <v>514</v>
      </c>
      <c r="B210" s="200">
        <v>-48940</v>
      </c>
      <c r="C210" s="200">
        <v>0</v>
      </c>
      <c r="D210" s="201" t="s">
        <v>440</v>
      </c>
      <c r="E210" s="201" t="s">
        <v>320</v>
      </c>
      <c r="F210" s="200" t="s">
        <v>397</v>
      </c>
      <c r="G210" s="200" t="s">
        <v>434</v>
      </c>
    </row>
    <row r="211" spans="1:7" hidden="1">
      <c r="A211" s="199" t="s">
        <v>514</v>
      </c>
      <c r="B211" s="200">
        <v>-64000</v>
      </c>
      <c r="C211" s="200">
        <v>0</v>
      </c>
      <c r="D211" s="201" t="s">
        <v>440</v>
      </c>
      <c r="E211" s="201" t="s">
        <v>320</v>
      </c>
      <c r="F211" s="200" t="s">
        <v>410</v>
      </c>
      <c r="G211" s="200" t="s">
        <v>434</v>
      </c>
    </row>
    <row r="212" spans="1:7" hidden="1">
      <c r="A212" s="199" t="s">
        <v>514</v>
      </c>
      <c r="B212" s="200">
        <v>80000</v>
      </c>
      <c r="C212" s="200">
        <v>0</v>
      </c>
      <c r="D212" s="201" t="s">
        <v>440</v>
      </c>
      <c r="E212" s="201" t="s">
        <v>320</v>
      </c>
      <c r="F212" s="200" t="s">
        <v>441</v>
      </c>
      <c r="G212" s="200" t="s">
        <v>434</v>
      </c>
    </row>
    <row r="213" spans="1:7" hidden="1">
      <c r="A213" s="199" t="s">
        <v>514</v>
      </c>
      <c r="B213" s="200">
        <v>415000</v>
      </c>
      <c r="C213" s="200">
        <v>0</v>
      </c>
      <c r="D213" s="201" t="s">
        <v>440</v>
      </c>
      <c r="E213" s="201" t="s">
        <v>320</v>
      </c>
      <c r="F213" s="200" t="s">
        <v>402</v>
      </c>
      <c r="G213" s="200" t="s">
        <v>434</v>
      </c>
    </row>
    <row r="214" spans="1:7" hidden="1">
      <c r="A214" s="199" t="s">
        <v>514</v>
      </c>
      <c r="B214" s="200">
        <v>-70000</v>
      </c>
      <c r="C214" s="200">
        <v>0</v>
      </c>
      <c r="D214" s="201" t="s">
        <v>437</v>
      </c>
      <c r="E214" s="201" t="s">
        <v>320</v>
      </c>
      <c r="F214" s="200" t="s">
        <v>410</v>
      </c>
      <c r="G214" s="200" t="s">
        <v>434</v>
      </c>
    </row>
    <row r="215" spans="1:7" hidden="1">
      <c r="A215" s="199" t="s">
        <v>514</v>
      </c>
      <c r="B215" s="200">
        <v>-80000</v>
      </c>
      <c r="C215" s="200">
        <v>0</v>
      </c>
      <c r="D215" s="201" t="s">
        <v>437</v>
      </c>
      <c r="E215" s="201" t="s">
        <v>320</v>
      </c>
      <c r="F215" s="200" t="s">
        <v>441</v>
      </c>
      <c r="G215" s="200" t="s">
        <v>434</v>
      </c>
    </row>
    <row r="216" spans="1:7" hidden="1">
      <c r="A216" s="199" t="s">
        <v>514</v>
      </c>
      <c r="B216" s="200">
        <v>150000</v>
      </c>
      <c r="C216" s="200">
        <v>0</v>
      </c>
      <c r="D216" s="201" t="s">
        <v>437</v>
      </c>
      <c r="E216" s="201" t="s">
        <v>320</v>
      </c>
      <c r="F216" s="200" t="s">
        <v>402</v>
      </c>
      <c r="G216" s="200" t="s">
        <v>434</v>
      </c>
    </row>
    <row r="217" spans="1:7" hidden="1">
      <c r="A217" s="199" t="s">
        <v>514</v>
      </c>
      <c r="B217" s="200">
        <v>-66072</v>
      </c>
      <c r="C217" s="200">
        <v>0</v>
      </c>
      <c r="D217" s="201" t="s">
        <v>442</v>
      </c>
      <c r="E217" s="201" t="s">
        <v>320</v>
      </c>
      <c r="F217" s="200" t="s">
        <v>394</v>
      </c>
      <c r="G217" s="200" t="s">
        <v>434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394</v>
      </c>
      <c r="G218" s="200" t="s">
        <v>434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445</v>
      </c>
      <c r="G219" s="200" t="s">
        <v>434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393</v>
      </c>
      <c r="G220" s="200" t="s">
        <v>434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403</v>
      </c>
      <c r="G221" s="200" t="s">
        <v>434</v>
      </c>
    </row>
    <row r="222" spans="1:7">
      <c r="A222" s="199" t="s">
        <v>515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394</v>
      </c>
      <c r="G222" s="200" t="s">
        <v>434</v>
      </c>
    </row>
    <row r="223" spans="1:7">
      <c r="A223" s="199" t="s">
        <v>515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408</v>
      </c>
      <c r="G223" s="200" t="s">
        <v>434</v>
      </c>
    </row>
    <row r="224" spans="1:7">
      <c r="A224" s="199" t="s">
        <v>516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394</v>
      </c>
      <c r="G224" s="200" t="s">
        <v>434</v>
      </c>
    </row>
    <row r="225" spans="1:7">
      <c r="A225" s="199" t="s">
        <v>516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393</v>
      </c>
      <c r="G225" s="200" t="s">
        <v>434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437</v>
      </c>
      <c r="E226" s="201" t="s">
        <v>320</v>
      </c>
      <c r="F226" s="200" t="s">
        <v>394</v>
      </c>
      <c r="G226" s="200" t="s">
        <v>434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437</v>
      </c>
      <c r="E227" s="201" t="s">
        <v>320</v>
      </c>
      <c r="F227" s="200" t="s">
        <v>393</v>
      </c>
      <c r="G227" s="200" t="s">
        <v>434</v>
      </c>
    </row>
    <row r="228" spans="1:7" hidden="1">
      <c r="A228" s="199" t="s">
        <v>395</v>
      </c>
      <c r="B228" s="200">
        <v>1025</v>
      </c>
      <c r="C228" s="200">
        <v>0</v>
      </c>
      <c r="D228" s="201" t="s">
        <v>283</v>
      </c>
      <c r="E228" s="201" t="s">
        <v>517</v>
      </c>
      <c r="F228" s="200" t="s">
        <v>394</v>
      </c>
      <c r="G228" s="200" t="s">
        <v>434</v>
      </c>
    </row>
    <row r="229" spans="1:7">
      <c r="A229" s="199" t="s">
        <v>395</v>
      </c>
      <c r="B229" s="200">
        <v>883</v>
      </c>
      <c r="C229" s="200">
        <v>0</v>
      </c>
      <c r="D229" s="201" t="s">
        <v>282</v>
      </c>
      <c r="E229" s="201" t="s">
        <v>517</v>
      </c>
      <c r="F229" s="200" t="s">
        <v>394</v>
      </c>
      <c r="G229" s="200" t="s">
        <v>434</v>
      </c>
    </row>
    <row r="230" spans="1:7">
      <c r="A230" s="199" t="s">
        <v>395</v>
      </c>
      <c r="B230" s="200">
        <v>139</v>
      </c>
      <c r="C230" s="200">
        <v>0</v>
      </c>
      <c r="D230" s="201" t="s">
        <v>282</v>
      </c>
      <c r="E230" s="201" t="s">
        <v>517</v>
      </c>
      <c r="F230" s="200" t="s">
        <v>393</v>
      </c>
      <c r="G230" s="200" t="s">
        <v>434</v>
      </c>
    </row>
    <row r="231" spans="1:7" hidden="1">
      <c r="A231" s="199" t="s">
        <v>518</v>
      </c>
      <c r="B231" s="200">
        <v>-140000</v>
      </c>
      <c r="C231" s="200">
        <v>0</v>
      </c>
      <c r="D231" s="201" t="s">
        <v>440</v>
      </c>
      <c r="E231" s="201" t="s">
        <v>39</v>
      </c>
      <c r="F231" s="200" t="s">
        <v>394</v>
      </c>
      <c r="G231" s="200" t="s">
        <v>434</v>
      </c>
    </row>
    <row r="232" spans="1:7" hidden="1">
      <c r="A232" s="199" t="s">
        <v>518</v>
      </c>
      <c r="B232" s="200">
        <v>-16500</v>
      </c>
      <c r="C232" s="200">
        <v>0</v>
      </c>
      <c r="D232" s="201" t="s">
        <v>440</v>
      </c>
      <c r="E232" s="201" t="s">
        <v>39</v>
      </c>
      <c r="F232" s="200" t="s">
        <v>441</v>
      </c>
      <c r="G232" s="200" t="s">
        <v>434</v>
      </c>
    </row>
    <row r="233" spans="1:7" hidden="1">
      <c r="A233" s="199" t="s">
        <v>518</v>
      </c>
      <c r="B233" s="200">
        <v>210000</v>
      </c>
      <c r="C233" s="200">
        <v>0</v>
      </c>
      <c r="D233" s="201" t="s">
        <v>440</v>
      </c>
      <c r="E233" s="201" t="s">
        <v>39</v>
      </c>
      <c r="F233" s="200" t="s">
        <v>411</v>
      </c>
      <c r="G233" s="200" t="s">
        <v>434</v>
      </c>
    </row>
    <row r="234" spans="1:7" hidden="1">
      <c r="A234" s="199" t="s">
        <v>518</v>
      </c>
      <c r="B234" s="200">
        <v>-53500</v>
      </c>
      <c r="C234" s="200">
        <v>0</v>
      </c>
      <c r="D234" s="201" t="s">
        <v>440</v>
      </c>
      <c r="E234" s="201" t="s">
        <v>39</v>
      </c>
      <c r="F234" s="200" t="s">
        <v>402</v>
      </c>
      <c r="G234" s="200" t="s">
        <v>434</v>
      </c>
    </row>
    <row r="235" spans="1:7" hidden="1">
      <c r="A235" s="199" t="s">
        <v>519</v>
      </c>
      <c r="B235" s="200">
        <v>-16500</v>
      </c>
      <c r="C235" s="200">
        <v>0</v>
      </c>
      <c r="D235" s="201" t="s">
        <v>440</v>
      </c>
      <c r="E235" s="201" t="s">
        <v>39</v>
      </c>
      <c r="F235" s="200" t="s">
        <v>394</v>
      </c>
      <c r="G235" s="200" t="s">
        <v>434</v>
      </c>
    </row>
    <row r="236" spans="1:7" hidden="1">
      <c r="A236" s="199" t="s">
        <v>519</v>
      </c>
      <c r="B236" s="200">
        <v>16500</v>
      </c>
      <c r="C236" s="200">
        <v>0</v>
      </c>
      <c r="D236" s="201" t="s">
        <v>440</v>
      </c>
      <c r="E236" s="201" t="s">
        <v>39</v>
      </c>
      <c r="F236" s="200" t="s">
        <v>441</v>
      </c>
      <c r="G236" s="200" t="s">
        <v>434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394</v>
      </c>
      <c r="G237" s="200" t="s">
        <v>434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445</v>
      </c>
      <c r="G238" s="200" t="s">
        <v>434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393</v>
      </c>
      <c r="G239" s="200" t="s">
        <v>434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403</v>
      </c>
      <c r="G240" s="200" t="s">
        <v>434</v>
      </c>
    </row>
    <row r="241" spans="1:7" hidden="1">
      <c r="A241" s="199" t="s">
        <v>520</v>
      </c>
      <c r="B241" s="200">
        <v>460000</v>
      </c>
      <c r="C241" s="200">
        <v>0</v>
      </c>
      <c r="D241" s="201" t="s">
        <v>437</v>
      </c>
      <c r="E241" s="201" t="s">
        <v>320</v>
      </c>
      <c r="F241" s="200" t="s">
        <v>394</v>
      </c>
      <c r="G241" s="200" t="s">
        <v>434</v>
      </c>
    </row>
    <row r="242" spans="1:7" hidden="1">
      <c r="A242" s="199" t="s">
        <v>520</v>
      </c>
      <c r="B242" s="200">
        <v>-460000</v>
      </c>
      <c r="C242" s="200">
        <v>0</v>
      </c>
      <c r="D242" s="201" t="s">
        <v>437</v>
      </c>
      <c r="E242" s="201" t="s">
        <v>320</v>
      </c>
      <c r="F242" s="200" t="s">
        <v>393</v>
      </c>
      <c r="G242" s="200" t="s">
        <v>434</v>
      </c>
    </row>
    <row r="243" spans="1:7" hidden="1">
      <c r="A243" s="199" t="s">
        <v>521</v>
      </c>
      <c r="B243" s="200">
        <v>-14373</v>
      </c>
      <c r="C243" s="200">
        <v>0</v>
      </c>
      <c r="D243" s="201" t="s">
        <v>442</v>
      </c>
      <c r="E243" s="201" t="s">
        <v>522</v>
      </c>
      <c r="F243" s="200" t="s">
        <v>394</v>
      </c>
      <c r="G243" s="200" t="s">
        <v>434</v>
      </c>
    </row>
    <row r="244" spans="1:7" hidden="1">
      <c r="A244" s="199" t="s">
        <v>523</v>
      </c>
      <c r="B244" s="200">
        <v>100000</v>
      </c>
      <c r="C244" s="200">
        <v>0</v>
      </c>
      <c r="D244" s="201" t="s">
        <v>474</v>
      </c>
      <c r="E244" s="201" t="s">
        <v>320</v>
      </c>
      <c r="F244" s="200" t="s">
        <v>394</v>
      </c>
      <c r="G244" s="200" t="s">
        <v>434</v>
      </c>
    </row>
    <row r="245" spans="1:7" hidden="1">
      <c r="A245" s="199" t="s">
        <v>523</v>
      </c>
      <c r="B245" s="200">
        <v>-100000</v>
      </c>
      <c r="C245" s="200">
        <v>0</v>
      </c>
      <c r="D245" s="201" t="s">
        <v>474</v>
      </c>
      <c r="E245" s="201" t="s">
        <v>320</v>
      </c>
      <c r="F245" s="200" t="s">
        <v>402</v>
      </c>
      <c r="G245" s="200" t="s">
        <v>434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394</v>
      </c>
      <c r="G246" s="200" t="s">
        <v>434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441</v>
      </c>
      <c r="G247" s="200" t="s">
        <v>434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394</v>
      </c>
      <c r="G248" s="200" t="s">
        <v>434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393</v>
      </c>
      <c r="G249" s="200" t="s">
        <v>434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413</v>
      </c>
      <c r="G250" s="200" t="s">
        <v>434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403</v>
      </c>
      <c r="G251" s="200" t="s">
        <v>434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441</v>
      </c>
      <c r="G252" s="200" t="s">
        <v>434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411</v>
      </c>
      <c r="G253" s="200" t="s">
        <v>434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441</v>
      </c>
      <c r="G254" s="200" t="s">
        <v>434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408</v>
      </c>
      <c r="G255" s="200" t="s">
        <v>434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441</v>
      </c>
      <c r="G256" s="200" t="s">
        <v>434</v>
      </c>
    </row>
    <row r="257" spans="1:7" hidden="1">
      <c r="A257" s="199" t="s">
        <v>524</v>
      </c>
      <c r="B257" s="200">
        <v>10631200</v>
      </c>
      <c r="C257" s="200">
        <v>0</v>
      </c>
      <c r="D257" s="201" t="s">
        <v>437</v>
      </c>
      <c r="E257" s="201" t="s">
        <v>525</v>
      </c>
      <c r="F257" s="200" t="s">
        <v>394</v>
      </c>
      <c r="G257" s="200" t="s">
        <v>434</v>
      </c>
    </row>
    <row r="258" spans="1:7" hidden="1">
      <c r="A258" s="199" t="s">
        <v>524</v>
      </c>
      <c r="B258" s="200">
        <v>-10631200</v>
      </c>
      <c r="C258" s="200">
        <v>0</v>
      </c>
      <c r="D258" s="201" t="s">
        <v>437</v>
      </c>
      <c r="E258" s="201" t="s">
        <v>525</v>
      </c>
      <c r="F258" s="200" t="s">
        <v>393</v>
      </c>
      <c r="G258" s="200" t="s">
        <v>434</v>
      </c>
    </row>
    <row r="259" spans="1:7">
      <c r="A259" s="199" t="s">
        <v>524</v>
      </c>
      <c r="B259" s="200">
        <v>10631200</v>
      </c>
      <c r="C259" s="200">
        <v>0</v>
      </c>
      <c r="D259" s="201" t="s">
        <v>282</v>
      </c>
      <c r="E259" s="201" t="s">
        <v>525</v>
      </c>
      <c r="F259" s="200" t="s">
        <v>394</v>
      </c>
      <c r="G259" s="200" t="s">
        <v>434</v>
      </c>
    </row>
    <row r="260" spans="1:7">
      <c r="A260" s="199" t="s">
        <v>524</v>
      </c>
      <c r="B260" s="200">
        <v>-10631200</v>
      </c>
      <c r="C260" s="200">
        <v>0</v>
      </c>
      <c r="D260" s="201" t="s">
        <v>282</v>
      </c>
      <c r="E260" s="201" t="s">
        <v>525</v>
      </c>
      <c r="F260" s="200" t="s">
        <v>393</v>
      </c>
      <c r="G260" s="200" t="s">
        <v>434</v>
      </c>
    </row>
    <row r="261" spans="1:7" hidden="1">
      <c r="A261" s="199" t="s">
        <v>526</v>
      </c>
      <c r="B261" s="200">
        <v>4230877</v>
      </c>
      <c r="C261" s="200">
        <v>0</v>
      </c>
      <c r="D261" s="201" t="s">
        <v>440</v>
      </c>
      <c r="E261" s="201" t="s">
        <v>39</v>
      </c>
      <c r="F261" s="200" t="s">
        <v>394</v>
      </c>
      <c r="G261" s="200" t="s">
        <v>434</v>
      </c>
    </row>
    <row r="262" spans="1:7" hidden="1">
      <c r="A262" s="199" t="s">
        <v>526</v>
      </c>
      <c r="B262" s="200">
        <v>178206</v>
      </c>
      <c r="C262" s="200">
        <v>0</v>
      </c>
      <c r="D262" s="201" t="s">
        <v>442</v>
      </c>
      <c r="E262" s="201" t="s">
        <v>39</v>
      </c>
      <c r="F262" s="200" t="s">
        <v>394</v>
      </c>
      <c r="G262" s="200" t="s">
        <v>434</v>
      </c>
    </row>
    <row r="263" spans="1:7" hidden="1">
      <c r="A263" s="199" t="s">
        <v>527</v>
      </c>
      <c r="B263" s="200">
        <v>-37600</v>
      </c>
      <c r="C263" s="200">
        <v>0</v>
      </c>
      <c r="D263" s="201" t="s">
        <v>440</v>
      </c>
      <c r="E263" s="201" t="s">
        <v>327</v>
      </c>
      <c r="F263" s="200" t="s">
        <v>394</v>
      </c>
      <c r="G263" s="200" t="s">
        <v>434</v>
      </c>
    </row>
    <row r="264" spans="1:7" hidden="1">
      <c r="A264" s="199" t="s">
        <v>528</v>
      </c>
      <c r="B264" s="200">
        <v>-37600</v>
      </c>
      <c r="C264" s="200">
        <v>0</v>
      </c>
      <c r="D264" s="201" t="s">
        <v>440</v>
      </c>
      <c r="E264" s="201" t="s">
        <v>327</v>
      </c>
      <c r="F264" s="200" t="s">
        <v>394</v>
      </c>
      <c r="G264" s="200" t="s">
        <v>434</v>
      </c>
    </row>
    <row r="265" spans="1:7" hidden="1">
      <c r="A265" s="199" t="s">
        <v>529</v>
      </c>
      <c r="B265" s="200">
        <v>37600</v>
      </c>
      <c r="C265" s="200">
        <v>0</v>
      </c>
      <c r="D265" s="201" t="s">
        <v>440</v>
      </c>
      <c r="E265" s="201" t="s">
        <v>327</v>
      </c>
      <c r="F265" s="200" t="s">
        <v>394</v>
      </c>
      <c r="G265" s="200" t="s">
        <v>434</v>
      </c>
    </row>
    <row r="266" spans="1:7" hidden="1">
      <c r="A266" s="199" t="s">
        <v>530</v>
      </c>
      <c r="B266" s="200">
        <v>-39320</v>
      </c>
      <c r="C266" s="200">
        <v>0</v>
      </c>
      <c r="D266" s="201" t="s">
        <v>440</v>
      </c>
      <c r="E266" s="201" t="s">
        <v>327</v>
      </c>
      <c r="F266" s="200" t="s">
        <v>409</v>
      </c>
      <c r="G266" s="200" t="s">
        <v>434</v>
      </c>
    </row>
    <row r="267" spans="1:7" hidden="1">
      <c r="A267" s="199" t="s">
        <v>531</v>
      </c>
      <c r="B267" s="200">
        <v>-39320</v>
      </c>
      <c r="C267" s="200">
        <v>0</v>
      </c>
      <c r="D267" s="201" t="s">
        <v>440</v>
      </c>
      <c r="E267" s="201" t="s">
        <v>327</v>
      </c>
      <c r="F267" s="200" t="s">
        <v>409</v>
      </c>
      <c r="G267" s="200" t="s">
        <v>434</v>
      </c>
    </row>
    <row r="268" spans="1:7" hidden="1">
      <c r="A268" s="199" t="s">
        <v>532</v>
      </c>
      <c r="B268" s="200">
        <v>39320</v>
      </c>
      <c r="C268" s="200">
        <v>0</v>
      </c>
      <c r="D268" s="201" t="s">
        <v>440</v>
      </c>
      <c r="E268" s="201" t="s">
        <v>327</v>
      </c>
      <c r="F268" s="200" t="s">
        <v>409</v>
      </c>
      <c r="G268" s="200" t="s">
        <v>434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437</v>
      </c>
      <c r="E269" s="201" t="s">
        <v>320</v>
      </c>
      <c r="F269" s="200" t="s">
        <v>394</v>
      </c>
      <c r="G269" s="200" t="s">
        <v>434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437</v>
      </c>
      <c r="E270" s="201" t="s">
        <v>320</v>
      </c>
      <c r="F270" s="200" t="s">
        <v>402</v>
      </c>
      <c r="G270" s="200" t="s">
        <v>434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394</v>
      </c>
      <c r="G271" s="200" t="s">
        <v>434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393</v>
      </c>
      <c r="G272" s="200" t="s">
        <v>434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442</v>
      </c>
      <c r="E273" s="201" t="s">
        <v>320</v>
      </c>
      <c r="F273" s="200" t="s">
        <v>394</v>
      </c>
      <c r="G273" s="200" t="s">
        <v>434</v>
      </c>
    </row>
    <row r="274" spans="1:7" hidden="1">
      <c r="A274" s="199" t="s">
        <v>533</v>
      </c>
      <c r="B274" s="200">
        <v>17600</v>
      </c>
      <c r="C274" s="200">
        <v>0</v>
      </c>
      <c r="D274" s="201" t="s">
        <v>442</v>
      </c>
      <c r="E274" s="201" t="s">
        <v>39</v>
      </c>
      <c r="F274" s="200" t="s">
        <v>394</v>
      </c>
      <c r="G274" s="200" t="s">
        <v>434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394</v>
      </c>
      <c r="G275" s="200" t="s">
        <v>434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441</v>
      </c>
      <c r="G276" s="200" t="s">
        <v>434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437</v>
      </c>
      <c r="E277" s="201" t="s">
        <v>320</v>
      </c>
      <c r="F277" s="200" t="s">
        <v>394</v>
      </c>
      <c r="G277" s="200" t="s">
        <v>434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394</v>
      </c>
      <c r="G278" s="200" t="s">
        <v>434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445</v>
      </c>
      <c r="G279" s="200" t="s">
        <v>434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393</v>
      </c>
      <c r="G280" s="200" t="s">
        <v>434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413</v>
      </c>
      <c r="G281" s="200" t="s">
        <v>434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403</v>
      </c>
      <c r="G282" s="200" t="s">
        <v>434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441</v>
      </c>
      <c r="G283" s="200" t="s">
        <v>434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449</v>
      </c>
      <c r="G284" s="200" t="s">
        <v>434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394</v>
      </c>
      <c r="G285" s="200" t="s">
        <v>434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394</v>
      </c>
      <c r="G286" s="200" t="s">
        <v>434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445</v>
      </c>
      <c r="G287" s="200" t="s">
        <v>434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393</v>
      </c>
      <c r="G288" s="200" t="s">
        <v>434</v>
      </c>
    </row>
    <row r="289" spans="1:7" hidden="1">
      <c r="A289" s="199" t="s">
        <v>534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394</v>
      </c>
      <c r="G289" s="200" t="s">
        <v>434</v>
      </c>
    </row>
    <row r="290" spans="1:7">
      <c r="A290" s="199" t="s">
        <v>534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394</v>
      </c>
      <c r="G290" s="200" t="s">
        <v>434</v>
      </c>
    </row>
    <row r="291" spans="1:7">
      <c r="A291" s="199" t="s">
        <v>534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408</v>
      </c>
      <c r="G291" s="200" t="s">
        <v>434</v>
      </c>
    </row>
    <row r="292" spans="1:7" hidden="1">
      <c r="A292" s="199" t="s">
        <v>535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394</v>
      </c>
      <c r="G292" s="200" t="s">
        <v>434</v>
      </c>
    </row>
    <row r="293" spans="1:7">
      <c r="A293" s="199" t="s">
        <v>535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394</v>
      </c>
      <c r="G293" s="200" t="s">
        <v>434</v>
      </c>
    </row>
    <row r="294" spans="1:7">
      <c r="A294" s="199" t="s">
        <v>535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408</v>
      </c>
      <c r="G294" s="200" t="s">
        <v>434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408</v>
      </c>
      <c r="G295" s="200" t="s">
        <v>434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393</v>
      </c>
      <c r="G296" s="200" t="s">
        <v>434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413</v>
      </c>
      <c r="G297" s="200" t="s">
        <v>434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437</v>
      </c>
      <c r="E298" s="201" t="s">
        <v>320</v>
      </c>
      <c r="F298" s="200" t="s">
        <v>394</v>
      </c>
      <c r="G298" s="200" t="s">
        <v>434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437</v>
      </c>
      <c r="E299" s="201" t="s">
        <v>320</v>
      </c>
      <c r="F299" s="200" t="s">
        <v>393</v>
      </c>
      <c r="G299" s="200" t="s">
        <v>434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394</v>
      </c>
      <c r="G300" s="200" t="s">
        <v>434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408</v>
      </c>
      <c r="G301" s="200" t="s">
        <v>434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393</v>
      </c>
      <c r="G302" s="200" t="s">
        <v>434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413</v>
      </c>
      <c r="G303" s="200" t="s">
        <v>434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403</v>
      </c>
      <c r="G304" s="200" t="s">
        <v>434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442</v>
      </c>
      <c r="E305" s="201" t="s">
        <v>320</v>
      </c>
      <c r="F305" s="200" t="s">
        <v>394</v>
      </c>
      <c r="G305" s="200" t="s">
        <v>434</v>
      </c>
    </row>
    <row r="306" spans="1:7" hidden="1">
      <c r="A306" s="199" t="s">
        <v>536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394</v>
      </c>
      <c r="G306" s="200" t="s">
        <v>434</v>
      </c>
    </row>
    <row r="307" spans="1:7" hidden="1">
      <c r="A307" s="199" t="s">
        <v>536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441</v>
      </c>
      <c r="G307" s="200" t="s">
        <v>434</v>
      </c>
    </row>
    <row r="308" spans="1:7">
      <c r="A308" s="199" t="s">
        <v>536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394</v>
      </c>
      <c r="G308" s="200" t="s">
        <v>434</v>
      </c>
    </row>
    <row r="309" spans="1:7">
      <c r="A309" s="199" t="s">
        <v>536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408</v>
      </c>
      <c r="G309" s="200" t="s">
        <v>434</v>
      </c>
    </row>
    <row r="310" spans="1:7">
      <c r="A310" s="199" t="s">
        <v>536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393</v>
      </c>
      <c r="G310" s="200" t="s">
        <v>434</v>
      </c>
    </row>
    <row r="311" spans="1:7">
      <c r="A311" s="199" t="s">
        <v>536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441</v>
      </c>
      <c r="G311" s="200" t="s">
        <v>434</v>
      </c>
    </row>
    <row r="312" spans="1:7" hidden="1">
      <c r="A312" s="199" t="s">
        <v>537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408</v>
      </c>
      <c r="G312" s="200" t="s">
        <v>434</v>
      </c>
    </row>
    <row r="313" spans="1:7" hidden="1">
      <c r="A313" s="199" t="s">
        <v>537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441</v>
      </c>
      <c r="G313" s="200" t="s">
        <v>434</v>
      </c>
    </row>
    <row r="314" spans="1:7">
      <c r="A314" s="199" t="s">
        <v>537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408</v>
      </c>
      <c r="G314" s="200" t="s">
        <v>434</v>
      </c>
    </row>
    <row r="315" spans="1:7">
      <c r="A315" s="199" t="s">
        <v>537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393</v>
      </c>
      <c r="G315" s="200" t="s">
        <v>434</v>
      </c>
    </row>
    <row r="316" spans="1:7">
      <c r="A316" s="199" t="s">
        <v>537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441</v>
      </c>
      <c r="G316" s="200" t="s">
        <v>434</v>
      </c>
    </row>
    <row r="317" spans="1:7" hidden="1">
      <c r="A317" s="199" t="s">
        <v>538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394</v>
      </c>
      <c r="G317" s="200" t="s">
        <v>434</v>
      </c>
    </row>
    <row r="318" spans="1:7" hidden="1">
      <c r="A318" s="199" t="s">
        <v>538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441</v>
      </c>
      <c r="G318" s="200" t="s">
        <v>434</v>
      </c>
    </row>
    <row r="319" spans="1:7">
      <c r="A319" s="199" t="s">
        <v>538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394</v>
      </c>
      <c r="G319" s="200" t="s">
        <v>434</v>
      </c>
    </row>
    <row r="320" spans="1:7">
      <c r="A320" s="199" t="s">
        <v>538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408</v>
      </c>
      <c r="G320" s="200" t="s">
        <v>434</v>
      </c>
    </row>
    <row r="321" spans="1:7">
      <c r="A321" s="199" t="s">
        <v>538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393</v>
      </c>
      <c r="G321" s="200" t="s">
        <v>434</v>
      </c>
    </row>
    <row r="322" spans="1:7">
      <c r="A322" s="199" t="s">
        <v>538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441</v>
      </c>
      <c r="G322" s="200" t="s">
        <v>434</v>
      </c>
    </row>
    <row r="323" spans="1:7" hidden="1">
      <c r="A323" s="199" t="s">
        <v>539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394</v>
      </c>
      <c r="G323" s="200" t="s">
        <v>434</v>
      </c>
    </row>
    <row r="324" spans="1:7" hidden="1">
      <c r="A324" s="199" t="s">
        <v>539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408</v>
      </c>
      <c r="G324" s="200" t="s">
        <v>434</v>
      </c>
    </row>
    <row r="325" spans="1:7" hidden="1">
      <c r="A325" s="199" t="s">
        <v>539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441</v>
      </c>
      <c r="G325" s="200" t="s">
        <v>434</v>
      </c>
    </row>
    <row r="326" spans="1:7">
      <c r="A326" s="199" t="s">
        <v>539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394</v>
      </c>
      <c r="G326" s="200" t="s">
        <v>434</v>
      </c>
    </row>
    <row r="327" spans="1:7">
      <c r="A327" s="199" t="s">
        <v>539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408</v>
      </c>
      <c r="G327" s="200" t="s">
        <v>434</v>
      </c>
    </row>
    <row r="328" spans="1:7">
      <c r="A328" s="199" t="s">
        <v>539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393</v>
      </c>
      <c r="G328" s="200" t="s">
        <v>434</v>
      </c>
    </row>
    <row r="329" spans="1:7">
      <c r="A329" s="199" t="s">
        <v>539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441</v>
      </c>
      <c r="G329" s="200" t="s">
        <v>434</v>
      </c>
    </row>
    <row r="330" spans="1:7" hidden="1">
      <c r="A330" s="199" t="s">
        <v>540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394</v>
      </c>
      <c r="G330" s="200" t="s">
        <v>434</v>
      </c>
    </row>
    <row r="331" spans="1:7">
      <c r="A331" s="199" t="s">
        <v>540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394</v>
      </c>
      <c r="G331" s="200" t="s">
        <v>434</v>
      </c>
    </row>
    <row r="332" spans="1:7">
      <c r="A332" s="199" t="s">
        <v>540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408</v>
      </c>
      <c r="G332" s="200" t="s">
        <v>434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394</v>
      </c>
      <c r="G333" s="200" t="s">
        <v>434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394</v>
      </c>
      <c r="G334" s="200" t="s">
        <v>434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408</v>
      </c>
      <c r="G335" s="200" t="s">
        <v>434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394</v>
      </c>
      <c r="G336" s="200" t="s">
        <v>434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394</v>
      </c>
      <c r="G337" s="200" t="s">
        <v>434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408</v>
      </c>
      <c r="G338" s="200" t="s">
        <v>434</v>
      </c>
    </row>
    <row r="339" spans="1:7" hidden="1">
      <c r="A339" s="199" t="s">
        <v>541</v>
      </c>
      <c r="B339" s="200">
        <v>1060000</v>
      </c>
      <c r="C339" s="200">
        <v>0</v>
      </c>
      <c r="D339" s="201" t="s">
        <v>463</v>
      </c>
      <c r="E339" s="201" t="s">
        <v>464</v>
      </c>
      <c r="F339" s="200" t="s">
        <v>394</v>
      </c>
      <c r="G339" s="200" t="s">
        <v>434</v>
      </c>
    </row>
    <row r="340" spans="1:7" hidden="1">
      <c r="A340" s="199" t="s">
        <v>541</v>
      </c>
      <c r="B340" s="200">
        <v>-860000</v>
      </c>
      <c r="C340" s="200">
        <v>0</v>
      </c>
      <c r="D340" s="201" t="s">
        <v>463</v>
      </c>
      <c r="E340" s="201" t="s">
        <v>464</v>
      </c>
      <c r="F340" s="200" t="s">
        <v>413</v>
      </c>
      <c r="G340" s="200" t="s">
        <v>434</v>
      </c>
    </row>
    <row r="341" spans="1:7" hidden="1">
      <c r="A341" s="199" t="s">
        <v>541</v>
      </c>
      <c r="B341" s="200">
        <v>-200000</v>
      </c>
      <c r="C341" s="200">
        <v>0</v>
      </c>
      <c r="D341" s="201" t="s">
        <v>463</v>
      </c>
      <c r="E341" s="201" t="s">
        <v>464</v>
      </c>
      <c r="F341" s="200" t="s">
        <v>469</v>
      </c>
      <c r="G341" s="200" t="s">
        <v>434</v>
      </c>
    </row>
    <row r="342" spans="1:7" hidden="1">
      <c r="A342" s="199" t="s">
        <v>542</v>
      </c>
      <c r="B342" s="200">
        <v>-5500</v>
      </c>
      <c r="C342" s="200">
        <v>0</v>
      </c>
      <c r="D342" s="201" t="s">
        <v>463</v>
      </c>
      <c r="E342" s="201" t="s">
        <v>320</v>
      </c>
      <c r="F342" s="200" t="s">
        <v>394</v>
      </c>
      <c r="G342" s="200" t="s">
        <v>434</v>
      </c>
    </row>
    <row r="343" spans="1:7" hidden="1">
      <c r="A343" s="199" t="s">
        <v>542</v>
      </c>
      <c r="B343" s="200">
        <v>11100</v>
      </c>
      <c r="C343" s="200">
        <v>0</v>
      </c>
      <c r="D343" s="201" t="s">
        <v>463</v>
      </c>
      <c r="E343" s="201" t="s">
        <v>320</v>
      </c>
      <c r="F343" s="200" t="s">
        <v>402</v>
      </c>
      <c r="G343" s="200" t="s">
        <v>434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394</v>
      </c>
      <c r="G344" s="200" t="s">
        <v>434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441</v>
      </c>
      <c r="G345" s="200" t="s">
        <v>434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394</v>
      </c>
      <c r="G346" s="200" t="s">
        <v>434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445</v>
      </c>
      <c r="G347" s="200" t="s">
        <v>434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393</v>
      </c>
      <c r="G348" s="200" t="s">
        <v>434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441</v>
      </c>
      <c r="G349" s="200" t="s">
        <v>434</v>
      </c>
    </row>
    <row r="350" spans="1:7">
      <c r="A350" s="199" t="s">
        <v>543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394</v>
      </c>
      <c r="G350" s="200" t="s">
        <v>434</v>
      </c>
    </row>
    <row r="351" spans="1:7">
      <c r="A351" s="199" t="s">
        <v>543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413</v>
      </c>
      <c r="G351" s="200" t="s">
        <v>434</v>
      </c>
    </row>
    <row r="352" spans="1:7" hidden="1">
      <c r="A352" s="199" t="s">
        <v>544</v>
      </c>
      <c r="B352" s="200">
        <v>1834</v>
      </c>
      <c r="C352" s="200">
        <v>0</v>
      </c>
      <c r="D352" s="201" t="s">
        <v>440</v>
      </c>
      <c r="E352" s="201" t="s">
        <v>317</v>
      </c>
      <c r="F352" s="200" t="s">
        <v>394</v>
      </c>
      <c r="G352" s="200" t="s">
        <v>434</v>
      </c>
    </row>
    <row r="353" spans="1:7" hidden="1">
      <c r="A353" s="199" t="s">
        <v>544</v>
      </c>
      <c r="B353" s="200">
        <v>-758</v>
      </c>
      <c r="C353" s="200">
        <v>0</v>
      </c>
      <c r="D353" s="201" t="s">
        <v>440</v>
      </c>
      <c r="E353" s="201" t="s">
        <v>317</v>
      </c>
      <c r="F353" s="200" t="s">
        <v>441</v>
      </c>
      <c r="G353" s="200" t="s">
        <v>434</v>
      </c>
    </row>
    <row r="354" spans="1:7" hidden="1">
      <c r="A354" s="199" t="s">
        <v>544</v>
      </c>
      <c r="B354" s="200">
        <v>-40</v>
      </c>
      <c r="C354" s="200">
        <v>0</v>
      </c>
      <c r="D354" s="201" t="s">
        <v>440</v>
      </c>
      <c r="E354" s="201" t="s">
        <v>317</v>
      </c>
      <c r="F354" s="200" t="s">
        <v>402</v>
      </c>
      <c r="G354" s="200" t="s">
        <v>434</v>
      </c>
    </row>
    <row r="355" spans="1:7" hidden="1">
      <c r="A355" s="199" t="s">
        <v>544</v>
      </c>
      <c r="B355" s="200">
        <v>136</v>
      </c>
      <c r="C355" s="200">
        <v>0</v>
      </c>
      <c r="D355" s="201" t="s">
        <v>442</v>
      </c>
      <c r="E355" s="201" t="s">
        <v>317</v>
      </c>
      <c r="F355" s="200" t="s">
        <v>394</v>
      </c>
      <c r="G355" s="200" t="s">
        <v>434</v>
      </c>
    </row>
    <row r="356" spans="1:7" hidden="1">
      <c r="A356" s="199" t="s">
        <v>544</v>
      </c>
      <c r="B356" s="200">
        <v>758</v>
      </c>
      <c r="C356" s="200">
        <v>0</v>
      </c>
      <c r="D356" s="201" t="s">
        <v>442</v>
      </c>
      <c r="E356" s="201" t="s">
        <v>317</v>
      </c>
      <c r="F356" s="200" t="s">
        <v>441</v>
      </c>
      <c r="G356" s="200" t="s">
        <v>434</v>
      </c>
    </row>
    <row r="357" spans="1:7" hidden="1">
      <c r="A357" s="199" t="s">
        <v>544</v>
      </c>
      <c r="B357" s="200">
        <v>-34</v>
      </c>
      <c r="C357" s="200">
        <v>0</v>
      </c>
      <c r="D357" s="201" t="s">
        <v>442</v>
      </c>
      <c r="E357" s="201" t="s">
        <v>317</v>
      </c>
      <c r="F357" s="200" t="s">
        <v>402</v>
      </c>
      <c r="G357" s="200" t="s">
        <v>434</v>
      </c>
    </row>
    <row r="358" spans="1:7" hidden="1">
      <c r="A358" s="199" t="s">
        <v>544</v>
      </c>
      <c r="B358" s="200">
        <v>420</v>
      </c>
      <c r="C358" s="200">
        <v>0</v>
      </c>
      <c r="D358" s="201" t="s">
        <v>545</v>
      </c>
      <c r="E358" s="201" t="s">
        <v>317</v>
      </c>
      <c r="F358" s="200" t="s">
        <v>394</v>
      </c>
      <c r="G358" s="200" t="s">
        <v>434</v>
      </c>
    </row>
    <row r="359" spans="1:7" hidden="1">
      <c r="A359" s="199" t="s">
        <v>544</v>
      </c>
      <c r="B359" s="200">
        <v>1165</v>
      </c>
      <c r="C359" s="200">
        <v>0</v>
      </c>
      <c r="D359" s="201" t="s">
        <v>474</v>
      </c>
      <c r="E359" s="201" t="s">
        <v>317</v>
      </c>
      <c r="F359" s="200" t="s">
        <v>394</v>
      </c>
      <c r="G359" s="200" t="s">
        <v>434</v>
      </c>
    </row>
    <row r="360" spans="1:7" hidden="1">
      <c r="A360" s="199" t="s">
        <v>546</v>
      </c>
      <c r="B360" s="200">
        <v>402</v>
      </c>
      <c r="C360" s="200">
        <v>0</v>
      </c>
      <c r="D360" s="201" t="s">
        <v>437</v>
      </c>
      <c r="E360" s="201" t="s">
        <v>547</v>
      </c>
      <c r="F360" s="200" t="s">
        <v>394</v>
      </c>
      <c r="G360" s="200" t="s">
        <v>434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394</v>
      </c>
      <c r="G361" s="200" t="s">
        <v>434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441</v>
      </c>
      <c r="G362" s="200" t="s">
        <v>434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437</v>
      </c>
      <c r="E363" s="201" t="s">
        <v>317</v>
      </c>
      <c r="F363" s="200" t="s">
        <v>394</v>
      </c>
      <c r="G363" s="200" t="s">
        <v>434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437</v>
      </c>
      <c r="E364" s="201" t="s">
        <v>317</v>
      </c>
      <c r="F364" s="200" t="s">
        <v>441</v>
      </c>
      <c r="G364" s="200" t="s">
        <v>434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394</v>
      </c>
      <c r="G365" s="200" t="s">
        <v>434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445</v>
      </c>
      <c r="G366" s="200" t="s">
        <v>434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408</v>
      </c>
      <c r="G367" s="200" t="s">
        <v>434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393</v>
      </c>
      <c r="G368" s="200" t="s">
        <v>434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413</v>
      </c>
      <c r="G369" s="200" t="s">
        <v>434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441</v>
      </c>
      <c r="G370" s="200" t="s">
        <v>434</v>
      </c>
    </row>
    <row r="371" spans="1:7" hidden="1">
      <c r="A371" s="199" t="s">
        <v>548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394</v>
      </c>
      <c r="G371" s="200" t="s">
        <v>434</v>
      </c>
    </row>
    <row r="372" spans="1:7" hidden="1">
      <c r="A372" s="199" t="s">
        <v>548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408</v>
      </c>
      <c r="G372" s="200" t="s">
        <v>434</v>
      </c>
    </row>
    <row r="373" spans="1:7">
      <c r="A373" s="199" t="s">
        <v>548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394</v>
      </c>
      <c r="G373" s="200" t="s">
        <v>434</v>
      </c>
    </row>
    <row r="374" spans="1:7">
      <c r="A374" s="199" t="s">
        <v>548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408</v>
      </c>
      <c r="G374" s="200" t="s">
        <v>434</v>
      </c>
    </row>
    <row r="375" spans="1:7">
      <c r="A375" s="199" t="s">
        <v>548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393</v>
      </c>
      <c r="G375" s="200" t="s">
        <v>434</v>
      </c>
    </row>
    <row r="376" spans="1:7" hidden="1">
      <c r="A376" s="199" t="s">
        <v>549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394</v>
      </c>
      <c r="G376" s="200" t="s">
        <v>434</v>
      </c>
    </row>
    <row r="377" spans="1:7" hidden="1">
      <c r="A377" s="199" t="s">
        <v>549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408</v>
      </c>
      <c r="G377" s="200" t="s">
        <v>434</v>
      </c>
    </row>
    <row r="378" spans="1:7">
      <c r="A378" s="199" t="s">
        <v>549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394</v>
      </c>
      <c r="G378" s="200" t="s">
        <v>434</v>
      </c>
    </row>
    <row r="379" spans="1:7">
      <c r="A379" s="199" t="s">
        <v>549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408</v>
      </c>
      <c r="G379" s="200" t="s">
        <v>434</v>
      </c>
    </row>
    <row r="380" spans="1:7">
      <c r="A380" s="199" t="s">
        <v>549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393</v>
      </c>
      <c r="G380" s="200" t="s">
        <v>434</v>
      </c>
    </row>
    <row r="381" spans="1:7" hidden="1">
      <c r="A381" s="199" t="s">
        <v>550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394</v>
      </c>
      <c r="G381" s="200" t="s">
        <v>434</v>
      </c>
    </row>
    <row r="382" spans="1:7">
      <c r="A382" s="199" t="s">
        <v>550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394</v>
      </c>
      <c r="G382" s="200" t="s">
        <v>434</v>
      </c>
    </row>
    <row r="383" spans="1:7">
      <c r="A383" s="199" t="s">
        <v>550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408</v>
      </c>
      <c r="G383" s="200" t="s">
        <v>434</v>
      </c>
    </row>
    <row r="384" spans="1:7">
      <c r="A384" s="199" t="s">
        <v>550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393</v>
      </c>
      <c r="G384" s="200" t="s">
        <v>434</v>
      </c>
    </row>
    <row r="385" spans="1:7">
      <c r="A385" s="199" t="s">
        <v>551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408</v>
      </c>
      <c r="G385" s="200" t="s">
        <v>434</v>
      </c>
    </row>
    <row r="386" spans="1:7">
      <c r="A386" s="199" t="s">
        <v>551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393</v>
      </c>
      <c r="G386" s="200" t="s">
        <v>434</v>
      </c>
    </row>
    <row r="387" spans="1:7" hidden="1">
      <c r="A387" s="199" t="s">
        <v>552</v>
      </c>
      <c r="B387" s="200">
        <v>53</v>
      </c>
      <c r="C387" s="200">
        <v>0</v>
      </c>
      <c r="D387" s="201" t="s">
        <v>437</v>
      </c>
      <c r="E387" s="201" t="s">
        <v>553</v>
      </c>
      <c r="F387" s="200" t="s">
        <v>394</v>
      </c>
      <c r="G387" s="200" t="s">
        <v>434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394</v>
      </c>
      <c r="G388" s="200" t="s">
        <v>434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393</v>
      </c>
      <c r="G389" s="200" t="s">
        <v>434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413</v>
      </c>
      <c r="G390" s="200" t="s">
        <v>434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403</v>
      </c>
      <c r="G391" s="200" t="s">
        <v>434</v>
      </c>
    </row>
    <row r="392" spans="1:7" hidden="1">
      <c r="A392" s="199" t="s">
        <v>554</v>
      </c>
      <c r="B392" s="200">
        <v>-4319000</v>
      </c>
      <c r="C392" s="200">
        <v>0</v>
      </c>
      <c r="D392" s="201" t="s">
        <v>463</v>
      </c>
      <c r="E392" s="201" t="s">
        <v>464</v>
      </c>
      <c r="F392" s="200" t="s">
        <v>394</v>
      </c>
      <c r="G392" s="200" t="s">
        <v>434</v>
      </c>
    </row>
    <row r="393" spans="1:7" hidden="1">
      <c r="A393" s="199" t="s">
        <v>554</v>
      </c>
      <c r="B393" s="200">
        <v>2483000</v>
      </c>
      <c r="C393" s="200">
        <v>0</v>
      </c>
      <c r="D393" s="201" t="s">
        <v>463</v>
      </c>
      <c r="E393" s="201" t="s">
        <v>464</v>
      </c>
      <c r="F393" s="200" t="s">
        <v>413</v>
      </c>
      <c r="G393" s="200" t="s">
        <v>434</v>
      </c>
    </row>
    <row r="394" spans="1:7" hidden="1">
      <c r="A394" s="199" t="s">
        <v>554</v>
      </c>
      <c r="B394" s="200">
        <v>1836000</v>
      </c>
      <c r="C394" s="200">
        <v>0</v>
      </c>
      <c r="D394" s="201" t="s">
        <v>463</v>
      </c>
      <c r="E394" s="201" t="s">
        <v>464</v>
      </c>
      <c r="F394" s="200" t="s">
        <v>469</v>
      </c>
      <c r="G394" s="200" t="s">
        <v>434</v>
      </c>
    </row>
    <row r="395" spans="1:7">
      <c r="A395" s="199" t="s">
        <v>555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408</v>
      </c>
      <c r="G395" s="200" t="s">
        <v>434</v>
      </c>
    </row>
    <row r="396" spans="1:7">
      <c r="A396" s="199" t="s">
        <v>555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393</v>
      </c>
      <c r="G396" s="200" t="s">
        <v>434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394</v>
      </c>
      <c r="G397" s="200" t="s">
        <v>434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441</v>
      </c>
      <c r="G398" s="200" t="s">
        <v>434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394</v>
      </c>
      <c r="G399" s="200" t="s">
        <v>434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408</v>
      </c>
      <c r="G400" s="200" t="s">
        <v>434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393</v>
      </c>
      <c r="G401" s="200" t="s">
        <v>434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403</v>
      </c>
      <c r="G402" s="200" t="s">
        <v>434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441</v>
      </c>
      <c r="G403" s="200" t="s">
        <v>434</v>
      </c>
    </row>
    <row r="404" spans="1:7" hidden="1">
      <c r="A404" s="199" t="s">
        <v>556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394</v>
      </c>
      <c r="G404" s="200" t="s">
        <v>434</v>
      </c>
    </row>
    <row r="405" spans="1:7">
      <c r="A405" s="199" t="s">
        <v>556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394</v>
      </c>
      <c r="G405" s="200" t="s">
        <v>434</v>
      </c>
    </row>
    <row r="406" spans="1:7">
      <c r="A406" s="199" t="s">
        <v>556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408</v>
      </c>
      <c r="G406" s="200" t="s">
        <v>434</v>
      </c>
    </row>
    <row r="407" spans="1:7" hidden="1">
      <c r="A407" s="199" t="s">
        <v>557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394</v>
      </c>
      <c r="G407" s="200" t="s">
        <v>434</v>
      </c>
    </row>
    <row r="408" spans="1:7">
      <c r="A408" s="199" t="s">
        <v>557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394</v>
      </c>
      <c r="G408" s="200" t="s">
        <v>434</v>
      </c>
    </row>
    <row r="409" spans="1:7">
      <c r="A409" s="199" t="s">
        <v>557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408</v>
      </c>
      <c r="G409" s="200" t="s">
        <v>434</v>
      </c>
    </row>
    <row r="410" spans="1:7" hidden="1">
      <c r="A410" s="199" t="s">
        <v>558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394</v>
      </c>
      <c r="G410" s="200" t="s">
        <v>434</v>
      </c>
    </row>
    <row r="411" spans="1:7">
      <c r="A411" s="199" t="s">
        <v>558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394</v>
      </c>
      <c r="G411" s="200" t="s">
        <v>434</v>
      </c>
    </row>
    <row r="412" spans="1:7">
      <c r="A412" s="199" t="s">
        <v>558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408</v>
      </c>
      <c r="G412" s="200" t="s">
        <v>434</v>
      </c>
    </row>
    <row r="413" spans="1:7" hidden="1">
      <c r="A413" s="199" t="s">
        <v>559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394</v>
      </c>
      <c r="G413" s="200" t="s">
        <v>434</v>
      </c>
    </row>
    <row r="414" spans="1:7">
      <c r="A414" s="199" t="s">
        <v>559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394</v>
      </c>
      <c r="G414" s="200" t="s">
        <v>434</v>
      </c>
    </row>
    <row r="415" spans="1:7">
      <c r="A415" s="199" t="s">
        <v>559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408</v>
      </c>
      <c r="G415" s="200" t="s">
        <v>434</v>
      </c>
    </row>
    <row r="416" spans="1:7">
      <c r="A416" s="199" t="s">
        <v>560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394</v>
      </c>
      <c r="G416" s="200" t="s">
        <v>434</v>
      </c>
    </row>
    <row r="417" spans="1:7">
      <c r="A417" s="199" t="s">
        <v>560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408</v>
      </c>
      <c r="G417" s="200" t="s">
        <v>434</v>
      </c>
    </row>
    <row r="418" spans="1:7">
      <c r="A418" s="199" t="s">
        <v>560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393</v>
      </c>
      <c r="G418" s="200" t="s">
        <v>434</v>
      </c>
    </row>
    <row r="419" spans="1:7" hidden="1">
      <c r="A419" s="199" t="s">
        <v>561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394</v>
      </c>
      <c r="G419" s="200" t="s">
        <v>434</v>
      </c>
    </row>
    <row r="420" spans="1:7" hidden="1">
      <c r="A420" s="199" t="s">
        <v>561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408</v>
      </c>
      <c r="G420" s="200" t="s">
        <v>434</v>
      </c>
    </row>
    <row r="421" spans="1:7">
      <c r="A421" s="199" t="s">
        <v>561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394</v>
      </c>
      <c r="G421" s="200" t="s">
        <v>434</v>
      </c>
    </row>
    <row r="422" spans="1:7">
      <c r="A422" s="199" t="s">
        <v>561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408</v>
      </c>
      <c r="G422" s="200" t="s">
        <v>434</v>
      </c>
    </row>
    <row r="423" spans="1:7">
      <c r="A423" s="199" t="s">
        <v>562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394</v>
      </c>
      <c r="G423" s="200" t="s">
        <v>434</v>
      </c>
    </row>
    <row r="424" spans="1:7">
      <c r="A424" s="199" t="s">
        <v>562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408</v>
      </c>
      <c r="G424" s="200" t="s">
        <v>434</v>
      </c>
    </row>
    <row r="425" spans="1:7">
      <c r="A425" s="199" t="s">
        <v>562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393</v>
      </c>
      <c r="G425" s="200" t="s">
        <v>434</v>
      </c>
    </row>
    <row r="426" spans="1:7">
      <c r="A426" s="199" t="s">
        <v>563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394</v>
      </c>
      <c r="G426" s="200" t="s">
        <v>434</v>
      </c>
    </row>
    <row r="427" spans="1:7">
      <c r="A427" s="199" t="s">
        <v>563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408</v>
      </c>
      <c r="G427" s="200" t="s">
        <v>434</v>
      </c>
    </row>
    <row r="428" spans="1:7">
      <c r="A428" s="199" t="s">
        <v>564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394</v>
      </c>
      <c r="G428" s="200" t="s">
        <v>434</v>
      </c>
    </row>
    <row r="429" spans="1:7">
      <c r="A429" s="199" t="s">
        <v>564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408</v>
      </c>
      <c r="G429" s="200" t="s">
        <v>434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394</v>
      </c>
      <c r="G430" s="200" t="s">
        <v>434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445</v>
      </c>
      <c r="G431" s="200" t="s">
        <v>434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393</v>
      </c>
      <c r="G432" s="200" t="s">
        <v>434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413</v>
      </c>
      <c r="G433" s="200" t="s">
        <v>434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403</v>
      </c>
      <c r="G434" s="200" t="s">
        <v>434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449</v>
      </c>
      <c r="G435" s="200" t="s">
        <v>434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442</v>
      </c>
      <c r="E436" s="201" t="s">
        <v>317</v>
      </c>
      <c r="F436" s="200" t="s">
        <v>394</v>
      </c>
      <c r="G436" s="200" t="s">
        <v>434</v>
      </c>
    </row>
    <row r="437" spans="1:7">
      <c r="A437" s="199" t="s">
        <v>565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394</v>
      </c>
      <c r="G437" s="200" t="s">
        <v>434</v>
      </c>
    </row>
    <row r="438" spans="1:7">
      <c r="A438" s="199" t="s">
        <v>565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393</v>
      </c>
      <c r="G438" s="200" t="s">
        <v>434</v>
      </c>
    </row>
    <row r="439" spans="1:7">
      <c r="A439" s="199" t="s">
        <v>566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394</v>
      </c>
      <c r="G439" s="200" t="s">
        <v>434</v>
      </c>
    </row>
    <row r="440" spans="1:7">
      <c r="A440" s="199" t="s">
        <v>566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393</v>
      </c>
      <c r="G440" s="200" t="s">
        <v>434</v>
      </c>
    </row>
    <row r="441" spans="1:7" hidden="1">
      <c r="A441" s="199" t="s">
        <v>567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394</v>
      </c>
      <c r="G441" s="200" t="s">
        <v>434</v>
      </c>
    </row>
    <row r="442" spans="1:7">
      <c r="A442" s="199" t="s">
        <v>567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394</v>
      </c>
      <c r="G442" s="200" t="s">
        <v>434</v>
      </c>
    </row>
    <row r="443" spans="1:7">
      <c r="A443" s="199" t="s">
        <v>567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393</v>
      </c>
      <c r="G443" s="200" t="s">
        <v>434</v>
      </c>
    </row>
    <row r="444" spans="1:7" hidden="1">
      <c r="A444" s="199" t="s">
        <v>568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394</v>
      </c>
      <c r="G444" s="200" t="s">
        <v>434</v>
      </c>
    </row>
    <row r="445" spans="1:7">
      <c r="A445" s="199" t="s">
        <v>568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394</v>
      </c>
      <c r="G445" s="200" t="s">
        <v>434</v>
      </c>
    </row>
    <row r="446" spans="1:7">
      <c r="A446" s="199" t="s">
        <v>568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393</v>
      </c>
      <c r="G446" s="200" t="s">
        <v>434</v>
      </c>
    </row>
    <row r="447" spans="1:7">
      <c r="A447" s="199" t="s">
        <v>569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445</v>
      </c>
      <c r="G447" s="200" t="s">
        <v>434</v>
      </c>
    </row>
    <row r="448" spans="1:7">
      <c r="A448" s="199" t="s">
        <v>569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393</v>
      </c>
      <c r="G448" s="200" t="s">
        <v>434</v>
      </c>
    </row>
    <row r="449" spans="1:7" hidden="1">
      <c r="A449" s="199" t="s">
        <v>570</v>
      </c>
      <c r="B449" s="200">
        <v>-19825000</v>
      </c>
      <c r="C449" s="200">
        <v>0</v>
      </c>
      <c r="D449" s="201" t="s">
        <v>463</v>
      </c>
      <c r="E449" s="201" t="s">
        <v>464</v>
      </c>
      <c r="F449" s="200" t="s">
        <v>394</v>
      </c>
      <c r="G449" s="200" t="s">
        <v>434</v>
      </c>
    </row>
    <row r="450" spans="1:7" hidden="1">
      <c r="A450" s="199" t="s">
        <v>570</v>
      </c>
      <c r="B450" s="200">
        <v>1000000</v>
      </c>
      <c r="C450" s="200">
        <v>0</v>
      </c>
      <c r="D450" s="201" t="s">
        <v>463</v>
      </c>
      <c r="E450" s="201" t="s">
        <v>464</v>
      </c>
      <c r="F450" s="200" t="s">
        <v>468</v>
      </c>
      <c r="G450" s="200" t="s">
        <v>434</v>
      </c>
    </row>
    <row r="451" spans="1:7" hidden="1">
      <c r="A451" s="199" t="s">
        <v>570</v>
      </c>
      <c r="B451" s="200">
        <v>-1648000</v>
      </c>
      <c r="C451" s="200">
        <v>0</v>
      </c>
      <c r="D451" s="201" t="s">
        <v>463</v>
      </c>
      <c r="E451" s="201" t="s">
        <v>464</v>
      </c>
      <c r="F451" s="200" t="s">
        <v>413</v>
      </c>
      <c r="G451" s="200" t="s">
        <v>434</v>
      </c>
    </row>
    <row r="452" spans="1:7" hidden="1">
      <c r="A452" s="199" t="s">
        <v>570</v>
      </c>
      <c r="B452" s="200">
        <v>20000000</v>
      </c>
      <c r="C452" s="200">
        <v>0</v>
      </c>
      <c r="D452" s="201" t="s">
        <v>463</v>
      </c>
      <c r="E452" s="201" t="s">
        <v>464</v>
      </c>
      <c r="F452" s="200" t="s">
        <v>449</v>
      </c>
      <c r="G452" s="200" t="s">
        <v>434</v>
      </c>
    </row>
    <row r="453" spans="1:7" hidden="1">
      <c r="A453" s="199" t="s">
        <v>570</v>
      </c>
      <c r="B453" s="200">
        <v>473000</v>
      </c>
      <c r="C453" s="200">
        <v>0</v>
      </c>
      <c r="D453" s="201" t="s">
        <v>463</v>
      </c>
      <c r="E453" s="201" t="s">
        <v>464</v>
      </c>
      <c r="F453" s="200" t="s">
        <v>469</v>
      </c>
      <c r="G453" s="200" t="s">
        <v>434</v>
      </c>
    </row>
    <row r="454" spans="1:7" hidden="1">
      <c r="A454" s="199" t="s">
        <v>571</v>
      </c>
      <c r="B454" s="200">
        <v>-3093000</v>
      </c>
      <c r="C454" s="200">
        <v>0</v>
      </c>
      <c r="D454" s="201" t="s">
        <v>463</v>
      </c>
      <c r="E454" s="201" t="s">
        <v>464</v>
      </c>
      <c r="F454" s="200" t="s">
        <v>394</v>
      </c>
      <c r="G454" s="200" t="s">
        <v>434</v>
      </c>
    </row>
    <row r="455" spans="1:7" hidden="1">
      <c r="A455" s="199" t="s">
        <v>571</v>
      </c>
      <c r="B455" s="200">
        <v>500000</v>
      </c>
      <c r="C455" s="200">
        <v>0</v>
      </c>
      <c r="D455" s="201" t="s">
        <v>463</v>
      </c>
      <c r="E455" s="201" t="s">
        <v>464</v>
      </c>
      <c r="F455" s="200" t="s">
        <v>468</v>
      </c>
      <c r="G455" s="200" t="s">
        <v>434</v>
      </c>
    </row>
    <row r="456" spans="1:7" hidden="1">
      <c r="A456" s="199" t="s">
        <v>571</v>
      </c>
      <c r="B456" s="200">
        <v>1000000</v>
      </c>
      <c r="C456" s="200">
        <v>0</v>
      </c>
      <c r="D456" s="201" t="s">
        <v>463</v>
      </c>
      <c r="E456" s="201" t="s">
        <v>464</v>
      </c>
      <c r="F456" s="200" t="s">
        <v>413</v>
      </c>
      <c r="G456" s="200" t="s">
        <v>434</v>
      </c>
    </row>
    <row r="457" spans="1:7" hidden="1">
      <c r="A457" s="199" t="s">
        <v>571</v>
      </c>
      <c r="B457" s="200">
        <v>3600000</v>
      </c>
      <c r="C457" s="200">
        <v>0</v>
      </c>
      <c r="D457" s="201" t="s">
        <v>463</v>
      </c>
      <c r="E457" s="201" t="s">
        <v>464</v>
      </c>
      <c r="F457" s="200" t="s">
        <v>449</v>
      </c>
      <c r="G457" s="200" t="s">
        <v>434</v>
      </c>
    </row>
    <row r="458" spans="1:7" hidden="1">
      <c r="A458" s="199" t="s">
        <v>571</v>
      </c>
      <c r="B458" s="200">
        <v>-2007000</v>
      </c>
      <c r="C458" s="200">
        <v>0</v>
      </c>
      <c r="D458" s="201" t="s">
        <v>463</v>
      </c>
      <c r="E458" s="201" t="s">
        <v>464</v>
      </c>
      <c r="F458" s="200" t="s">
        <v>469</v>
      </c>
      <c r="G458" s="200" t="s">
        <v>434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394</v>
      </c>
      <c r="G459" s="200" t="s">
        <v>434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441</v>
      </c>
      <c r="G460" s="200" t="s">
        <v>434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394</v>
      </c>
      <c r="G461" s="200" t="s">
        <v>434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393</v>
      </c>
      <c r="G462" s="200" t="s">
        <v>434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441</v>
      </c>
      <c r="G463" s="200" t="s">
        <v>434</v>
      </c>
    </row>
    <row r="464" spans="1:7">
      <c r="A464" s="199" t="s">
        <v>572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394</v>
      </c>
      <c r="G464" s="200" t="s">
        <v>434</v>
      </c>
    </row>
    <row r="465" spans="1:7">
      <c r="A465" s="199" t="s">
        <v>572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408</v>
      </c>
      <c r="G465" s="200" t="s">
        <v>434</v>
      </c>
    </row>
    <row r="466" spans="1:7">
      <c r="A466" s="199" t="s">
        <v>573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394</v>
      </c>
      <c r="G466" s="200" t="s">
        <v>434</v>
      </c>
    </row>
    <row r="467" spans="1:7">
      <c r="A467" s="199" t="s">
        <v>573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408</v>
      </c>
      <c r="G467" s="200" t="s">
        <v>434</v>
      </c>
    </row>
    <row r="468" spans="1:7" hidden="1">
      <c r="A468" s="199" t="s">
        <v>574</v>
      </c>
      <c r="B468" s="200">
        <v>61536</v>
      </c>
      <c r="C468" s="200">
        <v>0</v>
      </c>
      <c r="D468" s="201" t="s">
        <v>440</v>
      </c>
      <c r="E468" s="201" t="s">
        <v>39</v>
      </c>
      <c r="F468" s="200" t="s">
        <v>394</v>
      </c>
      <c r="G468" s="200" t="s">
        <v>434</v>
      </c>
    </row>
    <row r="469" spans="1:7" hidden="1">
      <c r="A469" s="199" t="s">
        <v>574</v>
      </c>
      <c r="B469" s="200">
        <v>-61536</v>
      </c>
      <c r="C469" s="200">
        <v>0</v>
      </c>
      <c r="D469" s="201" t="s">
        <v>440</v>
      </c>
      <c r="E469" s="201" t="s">
        <v>39</v>
      </c>
      <c r="F469" s="200" t="s">
        <v>402</v>
      </c>
      <c r="G469" s="200" t="s">
        <v>434</v>
      </c>
    </row>
    <row r="470" spans="1:7" hidden="1">
      <c r="A470" s="199" t="s">
        <v>575</v>
      </c>
      <c r="B470" s="200">
        <v>467100</v>
      </c>
      <c r="C470" s="200">
        <v>0</v>
      </c>
      <c r="D470" s="201" t="s">
        <v>440</v>
      </c>
      <c r="E470" s="201" t="s">
        <v>317</v>
      </c>
      <c r="F470" s="200" t="s">
        <v>394</v>
      </c>
      <c r="G470" s="200" t="s">
        <v>434</v>
      </c>
    </row>
    <row r="471" spans="1:7" hidden="1">
      <c r="A471" s="199" t="s">
        <v>575</v>
      </c>
      <c r="B471" s="200">
        <v>-100</v>
      </c>
      <c r="C471" s="200">
        <v>0</v>
      </c>
      <c r="D471" s="201" t="s">
        <v>440</v>
      </c>
      <c r="E471" s="201" t="s">
        <v>317</v>
      </c>
      <c r="F471" s="200" t="s">
        <v>397</v>
      </c>
      <c r="G471" s="200" t="s">
        <v>434</v>
      </c>
    </row>
    <row r="472" spans="1:7" hidden="1">
      <c r="A472" s="199" t="s">
        <v>575</v>
      </c>
      <c r="B472" s="200">
        <v>-280000</v>
      </c>
      <c r="C472" s="200">
        <v>0</v>
      </c>
      <c r="D472" s="201" t="s">
        <v>440</v>
      </c>
      <c r="E472" s="201" t="s">
        <v>317</v>
      </c>
      <c r="F472" s="200" t="s">
        <v>405</v>
      </c>
      <c r="G472" s="200" t="s">
        <v>434</v>
      </c>
    </row>
    <row r="473" spans="1:7" hidden="1">
      <c r="A473" s="199" t="s">
        <v>575</v>
      </c>
      <c r="B473" s="200">
        <v>-200000</v>
      </c>
      <c r="C473" s="200">
        <v>0</v>
      </c>
      <c r="D473" s="201" t="s">
        <v>440</v>
      </c>
      <c r="E473" s="201" t="s">
        <v>317</v>
      </c>
      <c r="F473" s="200" t="s">
        <v>393</v>
      </c>
      <c r="G473" s="200" t="s">
        <v>434</v>
      </c>
    </row>
    <row r="474" spans="1:7" hidden="1">
      <c r="A474" s="199" t="s">
        <v>575</v>
      </c>
      <c r="B474" s="200">
        <v>200000</v>
      </c>
      <c r="C474" s="200">
        <v>0</v>
      </c>
      <c r="D474" s="201" t="s">
        <v>440</v>
      </c>
      <c r="E474" s="201" t="s">
        <v>317</v>
      </c>
      <c r="F474" s="200" t="s">
        <v>410</v>
      </c>
      <c r="G474" s="200" t="s">
        <v>434</v>
      </c>
    </row>
    <row r="475" spans="1:7" hidden="1">
      <c r="A475" s="199" t="s">
        <v>575</v>
      </c>
      <c r="B475" s="200">
        <v>-400000</v>
      </c>
      <c r="C475" s="200">
        <v>0</v>
      </c>
      <c r="D475" s="201" t="s">
        <v>440</v>
      </c>
      <c r="E475" s="201" t="s">
        <v>317</v>
      </c>
      <c r="F475" s="200" t="s">
        <v>411</v>
      </c>
      <c r="G475" s="200" t="s">
        <v>434</v>
      </c>
    </row>
    <row r="476" spans="1:7" hidden="1">
      <c r="A476" s="199" t="s">
        <v>575</v>
      </c>
      <c r="B476" s="200">
        <v>213000</v>
      </c>
      <c r="C476" s="200">
        <v>0</v>
      </c>
      <c r="D476" s="201" t="s">
        <v>440</v>
      </c>
      <c r="E476" s="201" t="s">
        <v>317</v>
      </c>
      <c r="F476" s="200" t="s">
        <v>402</v>
      </c>
      <c r="G476" s="200" t="s">
        <v>434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394</v>
      </c>
      <c r="G477" s="200" t="s">
        <v>434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393</v>
      </c>
      <c r="G478" s="200" t="s">
        <v>434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441</v>
      </c>
      <c r="G479" s="200" t="s">
        <v>434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411</v>
      </c>
      <c r="G480" s="200" t="s">
        <v>434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394</v>
      </c>
      <c r="G481" s="200" t="s">
        <v>434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445</v>
      </c>
      <c r="G482" s="200" t="s">
        <v>434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408</v>
      </c>
      <c r="G483" s="200" t="s">
        <v>434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393</v>
      </c>
      <c r="G484" s="200" t="s">
        <v>434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413</v>
      </c>
      <c r="G485" s="200" t="s">
        <v>434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403</v>
      </c>
      <c r="G486" s="200" t="s">
        <v>434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441</v>
      </c>
      <c r="G487" s="200" t="s">
        <v>434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411</v>
      </c>
      <c r="G488" s="200" t="s">
        <v>434</v>
      </c>
    </row>
    <row r="489" spans="1:7" hidden="1">
      <c r="A489" s="199" t="s">
        <v>576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394</v>
      </c>
      <c r="G489" s="200" t="s">
        <v>434</v>
      </c>
    </row>
    <row r="490" spans="1:7" hidden="1">
      <c r="A490" s="199" t="s">
        <v>576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441</v>
      </c>
      <c r="G490" s="200" t="s">
        <v>434</v>
      </c>
    </row>
    <row r="491" spans="1:7">
      <c r="A491" s="199" t="s">
        <v>576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394</v>
      </c>
      <c r="G491" s="200" t="s">
        <v>434</v>
      </c>
    </row>
    <row r="492" spans="1:7">
      <c r="A492" s="199" t="s">
        <v>576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408</v>
      </c>
      <c r="G492" s="200" t="s">
        <v>434</v>
      </c>
    </row>
    <row r="493" spans="1:7">
      <c r="A493" s="199" t="s">
        <v>576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393</v>
      </c>
      <c r="G493" s="200" t="s">
        <v>434</v>
      </c>
    </row>
    <row r="494" spans="1:7">
      <c r="A494" s="199" t="s">
        <v>576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441</v>
      </c>
      <c r="G494" s="200" t="s">
        <v>434</v>
      </c>
    </row>
    <row r="495" spans="1:7">
      <c r="A495" s="199" t="s">
        <v>577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408</v>
      </c>
      <c r="G495" s="200" t="s">
        <v>434</v>
      </c>
    </row>
    <row r="496" spans="1:7">
      <c r="A496" s="199" t="s">
        <v>577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393</v>
      </c>
      <c r="G496" s="200" t="s">
        <v>434</v>
      </c>
    </row>
    <row r="497" spans="1:7">
      <c r="A497" s="199" t="s">
        <v>578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394</v>
      </c>
      <c r="G497" s="200" t="s">
        <v>434</v>
      </c>
    </row>
    <row r="498" spans="1:7">
      <c r="A498" s="199" t="s">
        <v>578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408</v>
      </c>
      <c r="G498" s="200" t="s">
        <v>434</v>
      </c>
    </row>
    <row r="499" spans="1:7">
      <c r="A499" s="199" t="s">
        <v>578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393</v>
      </c>
      <c r="G499" s="200" t="s">
        <v>434</v>
      </c>
    </row>
    <row r="500" spans="1:7">
      <c r="A500" s="199" t="s">
        <v>579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408</v>
      </c>
      <c r="G500" s="200" t="s">
        <v>434</v>
      </c>
    </row>
    <row r="501" spans="1:7">
      <c r="A501" s="199" t="s">
        <v>579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393</v>
      </c>
      <c r="G501" s="200" t="s">
        <v>434</v>
      </c>
    </row>
    <row r="502" spans="1:7" hidden="1">
      <c r="A502" s="199" t="s">
        <v>580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394</v>
      </c>
      <c r="G502" s="200" t="s">
        <v>434</v>
      </c>
    </row>
    <row r="503" spans="1:7">
      <c r="A503" s="199" t="s">
        <v>580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394</v>
      </c>
      <c r="G503" s="200" t="s">
        <v>434</v>
      </c>
    </row>
    <row r="504" spans="1:7">
      <c r="A504" s="199" t="s">
        <v>580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408</v>
      </c>
      <c r="G504" s="200" t="s">
        <v>434</v>
      </c>
    </row>
    <row r="505" spans="1:7">
      <c r="A505" s="199" t="s">
        <v>580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393</v>
      </c>
      <c r="G505" s="200" t="s">
        <v>434</v>
      </c>
    </row>
    <row r="506" spans="1:7">
      <c r="A506" s="199" t="s">
        <v>581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394</v>
      </c>
      <c r="G506" s="200" t="s">
        <v>434</v>
      </c>
    </row>
    <row r="507" spans="1:7">
      <c r="A507" s="199" t="s">
        <v>581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408</v>
      </c>
      <c r="G507" s="200" t="s">
        <v>434</v>
      </c>
    </row>
    <row r="508" spans="1:7" hidden="1">
      <c r="A508" s="199" t="s">
        <v>582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394</v>
      </c>
      <c r="G508" s="200" t="s">
        <v>434</v>
      </c>
    </row>
    <row r="509" spans="1:7">
      <c r="A509" s="199" t="s">
        <v>582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394</v>
      </c>
      <c r="G509" s="200" t="s">
        <v>434</v>
      </c>
    </row>
    <row r="510" spans="1:7">
      <c r="A510" s="199" t="s">
        <v>582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408</v>
      </c>
      <c r="G510" s="200" t="s">
        <v>434</v>
      </c>
    </row>
    <row r="511" spans="1:7">
      <c r="A511" s="199" t="s">
        <v>582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393</v>
      </c>
      <c r="G511" s="200" t="s">
        <v>434</v>
      </c>
    </row>
    <row r="512" spans="1:7">
      <c r="A512" s="199" t="s">
        <v>583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394</v>
      </c>
      <c r="G512" s="200" t="s">
        <v>434</v>
      </c>
    </row>
    <row r="513" spans="1:7">
      <c r="A513" s="199" t="s">
        <v>583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408</v>
      </c>
      <c r="G513" s="200" t="s">
        <v>434</v>
      </c>
    </row>
    <row r="514" spans="1:7" hidden="1">
      <c r="A514" s="199" t="s">
        <v>584</v>
      </c>
      <c r="B514" s="200">
        <v>-189657</v>
      </c>
      <c r="C514" s="200">
        <v>0</v>
      </c>
      <c r="D514" s="201" t="s">
        <v>440</v>
      </c>
      <c r="E514" s="201" t="s">
        <v>317</v>
      </c>
      <c r="F514" s="200" t="s">
        <v>394</v>
      </c>
      <c r="G514" s="200" t="s">
        <v>434</v>
      </c>
    </row>
    <row r="515" spans="1:7" hidden="1">
      <c r="A515" s="199" t="s">
        <v>584</v>
      </c>
      <c r="B515" s="200">
        <v>-38490</v>
      </c>
      <c r="C515" s="200">
        <v>0</v>
      </c>
      <c r="D515" s="201" t="s">
        <v>440</v>
      </c>
      <c r="E515" s="201" t="s">
        <v>317</v>
      </c>
      <c r="F515" s="200" t="s">
        <v>410</v>
      </c>
      <c r="G515" s="200" t="s">
        <v>434</v>
      </c>
    </row>
    <row r="516" spans="1:7" hidden="1">
      <c r="A516" s="199" t="s">
        <v>584</v>
      </c>
      <c r="B516" s="200">
        <v>-64870</v>
      </c>
      <c r="C516" s="200">
        <v>0</v>
      </c>
      <c r="D516" s="201" t="s">
        <v>440</v>
      </c>
      <c r="E516" s="201" t="s">
        <v>317</v>
      </c>
      <c r="F516" s="200" t="s">
        <v>407</v>
      </c>
      <c r="G516" s="200" t="s">
        <v>434</v>
      </c>
    </row>
    <row r="517" spans="1:7" hidden="1">
      <c r="A517" s="199" t="s">
        <v>584</v>
      </c>
      <c r="B517" s="200">
        <v>431336</v>
      </c>
      <c r="C517" s="200">
        <v>0</v>
      </c>
      <c r="D517" s="201" t="s">
        <v>440</v>
      </c>
      <c r="E517" s="201" t="s">
        <v>317</v>
      </c>
      <c r="F517" s="200" t="s">
        <v>402</v>
      </c>
      <c r="G517" s="200" t="s">
        <v>434</v>
      </c>
    </row>
    <row r="518" spans="1:7" hidden="1">
      <c r="A518" s="199" t="s">
        <v>584</v>
      </c>
      <c r="B518" s="200">
        <v>-84202</v>
      </c>
      <c r="C518" s="200">
        <v>0</v>
      </c>
      <c r="D518" s="201" t="s">
        <v>545</v>
      </c>
      <c r="E518" s="201" t="s">
        <v>317</v>
      </c>
      <c r="F518" s="200" t="s">
        <v>394</v>
      </c>
      <c r="G518" s="200" t="s">
        <v>434</v>
      </c>
    </row>
    <row r="519" spans="1:7" hidden="1">
      <c r="A519" s="199" t="s">
        <v>584</v>
      </c>
      <c r="B519" s="200">
        <v>-167140</v>
      </c>
      <c r="C519" s="200">
        <v>0</v>
      </c>
      <c r="D519" s="201" t="s">
        <v>474</v>
      </c>
      <c r="E519" s="201" t="s">
        <v>317</v>
      </c>
      <c r="F519" s="200" t="s">
        <v>394</v>
      </c>
      <c r="G519" s="200" t="s">
        <v>434</v>
      </c>
    </row>
    <row r="520" spans="1:7" hidden="1">
      <c r="A520" s="199" t="s">
        <v>585</v>
      </c>
      <c r="B520" s="200">
        <v>459000</v>
      </c>
      <c r="C520" s="200">
        <v>0</v>
      </c>
      <c r="D520" s="201" t="s">
        <v>440</v>
      </c>
      <c r="E520" s="201" t="s">
        <v>317</v>
      </c>
      <c r="F520" s="200" t="s">
        <v>394</v>
      </c>
      <c r="G520" s="200" t="s">
        <v>434</v>
      </c>
    </row>
    <row r="521" spans="1:7" hidden="1">
      <c r="A521" s="199" t="s">
        <v>585</v>
      </c>
      <c r="B521" s="200">
        <v>-177023</v>
      </c>
      <c r="C521" s="200">
        <v>0</v>
      </c>
      <c r="D521" s="201" t="s">
        <v>440</v>
      </c>
      <c r="E521" s="201" t="s">
        <v>317</v>
      </c>
      <c r="F521" s="200" t="s">
        <v>407</v>
      </c>
      <c r="G521" s="200" t="s">
        <v>434</v>
      </c>
    </row>
    <row r="522" spans="1:7" hidden="1">
      <c r="A522" s="199" t="s">
        <v>585</v>
      </c>
      <c r="B522" s="200">
        <v>-459000</v>
      </c>
      <c r="C522" s="200">
        <v>0</v>
      </c>
      <c r="D522" s="201" t="s">
        <v>440</v>
      </c>
      <c r="E522" s="201" t="s">
        <v>317</v>
      </c>
      <c r="F522" s="200" t="s">
        <v>402</v>
      </c>
      <c r="G522" s="200" t="s">
        <v>434</v>
      </c>
    </row>
    <row r="523" spans="1:7" hidden="1">
      <c r="A523" s="199" t="s">
        <v>585</v>
      </c>
      <c r="B523" s="200">
        <v>-6960</v>
      </c>
      <c r="C523" s="200">
        <v>0</v>
      </c>
      <c r="D523" s="201" t="s">
        <v>545</v>
      </c>
      <c r="E523" s="201" t="s">
        <v>317</v>
      </c>
      <c r="F523" s="200" t="s">
        <v>394</v>
      </c>
      <c r="G523" s="200" t="s">
        <v>434</v>
      </c>
    </row>
    <row r="524" spans="1:7" hidden="1">
      <c r="A524" s="199" t="s">
        <v>585</v>
      </c>
      <c r="B524" s="200">
        <v>-26949</v>
      </c>
      <c r="C524" s="200">
        <v>0</v>
      </c>
      <c r="D524" s="201" t="s">
        <v>545</v>
      </c>
      <c r="E524" s="201" t="s">
        <v>317</v>
      </c>
      <c r="F524" s="200" t="s">
        <v>407</v>
      </c>
      <c r="G524" s="200" t="s">
        <v>434</v>
      </c>
    </row>
    <row r="525" spans="1:7" hidden="1">
      <c r="A525" s="199" t="s">
        <v>586</v>
      </c>
      <c r="B525" s="200">
        <v>-15000</v>
      </c>
      <c r="C525" s="200">
        <v>0</v>
      </c>
      <c r="D525" s="201" t="s">
        <v>587</v>
      </c>
      <c r="E525" s="201" t="s">
        <v>39</v>
      </c>
      <c r="F525" s="200" t="s">
        <v>394</v>
      </c>
      <c r="G525" s="200" t="s">
        <v>434</v>
      </c>
    </row>
    <row r="526" spans="1:7" hidden="1">
      <c r="A526" s="199" t="s">
        <v>586</v>
      </c>
      <c r="B526" s="200">
        <v>15000</v>
      </c>
      <c r="C526" s="200">
        <v>0</v>
      </c>
      <c r="D526" s="201" t="s">
        <v>587</v>
      </c>
      <c r="E526" s="201" t="s">
        <v>39</v>
      </c>
      <c r="F526" s="200" t="s">
        <v>441</v>
      </c>
      <c r="G526" s="200" t="s">
        <v>434</v>
      </c>
    </row>
    <row r="527" spans="1:7" hidden="1">
      <c r="A527" s="199" t="s">
        <v>586</v>
      </c>
      <c r="B527" s="200">
        <v>-568564</v>
      </c>
      <c r="C527" s="200">
        <v>0</v>
      </c>
      <c r="D527" s="201" t="s">
        <v>440</v>
      </c>
      <c r="E527" s="201" t="s">
        <v>39</v>
      </c>
      <c r="F527" s="200" t="s">
        <v>394</v>
      </c>
      <c r="G527" s="200" t="s">
        <v>434</v>
      </c>
    </row>
    <row r="528" spans="1:7" hidden="1">
      <c r="A528" s="199" t="s">
        <v>586</v>
      </c>
      <c r="B528" s="200">
        <v>-73844</v>
      </c>
      <c r="C528" s="200">
        <v>0</v>
      </c>
      <c r="D528" s="201" t="s">
        <v>442</v>
      </c>
      <c r="E528" s="201" t="s">
        <v>39</v>
      </c>
      <c r="F528" s="200" t="s">
        <v>394</v>
      </c>
      <c r="G528" s="200" t="s">
        <v>434</v>
      </c>
    </row>
    <row r="529" spans="1:7" hidden="1">
      <c r="A529" s="199" t="s">
        <v>588</v>
      </c>
      <c r="B529" s="200">
        <v>180000</v>
      </c>
      <c r="C529" s="200">
        <v>0</v>
      </c>
      <c r="D529" s="201" t="s">
        <v>440</v>
      </c>
      <c r="E529" s="201" t="s">
        <v>39</v>
      </c>
      <c r="F529" s="200" t="s">
        <v>394</v>
      </c>
      <c r="G529" s="200" t="s">
        <v>434</v>
      </c>
    </row>
    <row r="530" spans="1:7" hidden="1">
      <c r="A530" s="199" t="s">
        <v>588</v>
      </c>
      <c r="B530" s="200">
        <v>-180000</v>
      </c>
      <c r="C530" s="200">
        <v>0</v>
      </c>
      <c r="D530" s="201" t="s">
        <v>440</v>
      </c>
      <c r="E530" s="201" t="s">
        <v>39</v>
      </c>
      <c r="F530" s="200" t="s">
        <v>402</v>
      </c>
      <c r="G530" s="200" t="s">
        <v>434</v>
      </c>
    </row>
    <row r="531" spans="1:7" hidden="1">
      <c r="A531" s="199" t="s">
        <v>589</v>
      </c>
      <c r="B531" s="200">
        <v>-371</v>
      </c>
      <c r="C531" s="200">
        <v>0</v>
      </c>
      <c r="D531" s="201" t="s">
        <v>442</v>
      </c>
      <c r="E531" s="201" t="s">
        <v>39</v>
      </c>
      <c r="F531" s="200" t="s">
        <v>394</v>
      </c>
      <c r="G531" s="200" t="s">
        <v>434</v>
      </c>
    </row>
    <row r="532" spans="1:7" hidden="1">
      <c r="A532" s="199" t="s">
        <v>589</v>
      </c>
      <c r="B532" s="200">
        <v>371</v>
      </c>
      <c r="C532" s="200">
        <v>0</v>
      </c>
      <c r="D532" s="201" t="s">
        <v>442</v>
      </c>
      <c r="E532" s="201" t="s">
        <v>39</v>
      </c>
      <c r="F532" s="200" t="s">
        <v>402</v>
      </c>
      <c r="G532" s="200" t="s">
        <v>434</v>
      </c>
    </row>
    <row r="533" spans="1:7" hidden="1">
      <c r="A533" s="199" t="s">
        <v>590</v>
      </c>
      <c r="B533" s="200">
        <v>-25000000</v>
      </c>
      <c r="C533" s="200">
        <v>0</v>
      </c>
      <c r="D533" s="201" t="s">
        <v>463</v>
      </c>
      <c r="E533" s="201" t="s">
        <v>477</v>
      </c>
      <c r="F533" s="200" t="s">
        <v>394</v>
      </c>
      <c r="G533" s="200" t="s">
        <v>434</v>
      </c>
    </row>
    <row r="534" spans="1:7" hidden="1">
      <c r="A534" s="199" t="s">
        <v>590</v>
      </c>
      <c r="B534" s="200">
        <v>25000000</v>
      </c>
      <c r="C534" s="200">
        <v>0</v>
      </c>
      <c r="D534" s="201" t="s">
        <v>463</v>
      </c>
      <c r="E534" s="201" t="s">
        <v>477</v>
      </c>
      <c r="F534" s="200" t="s">
        <v>591</v>
      </c>
      <c r="G534" s="200" t="s">
        <v>434</v>
      </c>
    </row>
    <row r="535" spans="1:7" hidden="1">
      <c r="A535" s="199" t="s">
        <v>592</v>
      </c>
      <c r="B535" s="200">
        <v>10000000</v>
      </c>
      <c r="C535" s="200">
        <v>0</v>
      </c>
      <c r="D535" s="201" t="s">
        <v>463</v>
      </c>
      <c r="E535" s="201" t="s">
        <v>477</v>
      </c>
      <c r="F535" s="200" t="s">
        <v>394</v>
      </c>
      <c r="G535" s="200" t="s">
        <v>434</v>
      </c>
    </row>
    <row r="536" spans="1:7" hidden="1">
      <c r="A536" s="199" t="s">
        <v>593</v>
      </c>
      <c r="B536" s="200">
        <v>-473</v>
      </c>
      <c r="C536" s="200">
        <v>0</v>
      </c>
      <c r="D536" s="201" t="s">
        <v>437</v>
      </c>
      <c r="E536" s="201" t="s">
        <v>594</v>
      </c>
      <c r="F536" s="200" t="s">
        <v>394</v>
      </c>
      <c r="G536" s="200" t="s">
        <v>434</v>
      </c>
    </row>
    <row r="537" spans="1:7" hidden="1">
      <c r="A537" s="199" t="s">
        <v>593</v>
      </c>
      <c r="B537" s="200">
        <v>473</v>
      </c>
      <c r="C537" s="200">
        <v>0</v>
      </c>
      <c r="D537" s="201" t="s">
        <v>437</v>
      </c>
      <c r="E537" s="201" t="s">
        <v>594</v>
      </c>
      <c r="F537" s="200" t="s">
        <v>409</v>
      </c>
      <c r="G537" s="200" t="s">
        <v>434</v>
      </c>
    </row>
    <row r="538" spans="1:7" hidden="1">
      <c r="A538" s="199" t="s">
        <v>595</v>
      </c>
      <c r="B538" s="200">
        <v>473</v>
      </c>
      <c r="C538" s="200">
        <v>0</v>
      </c>
      <c r="D538" s="201" t="s">
        <v>437</v>
      </c>
      <c r="E538" s="201" t="s">
        <v>594</v>
      </c>
      <c r="F538" s="200" t="s">
        <v>394</v>
      </c>
      <c r="G538" s="200" t="s">
        <v>434</v>
      </c>
    </row>
    <row r="539" spans="1:7" hidden="1">
      <c r="A539" s="199" t="s">
        <v>595</v>
      </c>
      <c r="B539" s="200">
        <v>-473</v>
      </c>
      <c r="C539" s="200">
        <v>0</v>
      </c>
      <c r="D539" s="201" t="s">
        <v>437</v>
      </c>
      <c r="E539" s="201" t="s">
        <v>594</v>
      </c>
      <c r="F539" s="200" t="s">
        <v>409</v>
      </c>
      <c r="G539" s="200" t="s">
        <v>434</v>
      </c>
    </row>
    <row r="540" spans="1:7" hidden="1">
      <c r="A540" s="199" t="s">
        <v>596</v>
      </c>
      <c r="B540" s="200">
        <v>2311</v>
      </c>
      <c r="C540" s="200">
        <v>0</v>
      </c>
      <c r="D540" s="201" t="s">
        <v>442</v>
      </c>
      <c r="E540" s="201" t="s">
        <v>597</v>
      </c>
      <c r="F540" s="200" t="s">
        <v>394</v>
      </c>
      <c r="G540" s="200" t="s">
        <v>434</v>
      </c>
    </row>
    <row r="541" spans="1:7" hidden="1">
      <c r="A541" s="199" t="s">
        <v>598</v>
      </c>
      <c r="B541" s="200">
        <v>-11840</v>
      </c>
      <c r="C541" s="200">
        <v>0</v>
      </c>
      <c r="D541" s="201" t="s">
        <v>440</v>
      </c>
      <c r="E541" s="201" t="s">
        <v>317</v>
      </c>
      <c r="F541" s="200" t="s">
        <v>394</v>
      </c>
      <c r="G541" s="200" t="s">
        <v>434</v>
      </c>
    </row>
    <row r="542" spans="1:7" hidden="1">
      <c r="A542" s="199" t="s">
        <v>598</v>
      </c>
      <c r="B542" s="200">
        <v>-7980</v>
      </c>
      <c r="C542" s="200">
        <v>0</v>
      </c>
      <c r="D542" s="201" t="s">
        <v>442</v>
      </c>
      <c r="E542" s="201" t="s">
        <v>317</v>
      </c>
      <c r="F542" s="200" t="s">
        <v>394</v>
      </c>
      <c r="G542" s="200" t="s">
        <v>434</v>
      </c>
    </row>
    <row r="543" spans="1:7">
      <c r="A543" s="199" t="s">
        <v>599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394</v>
      </c>
      <c r="G543" s="200" t="s">
        <v>434</v>
      </c>
    </row>
    <row r="544" spans="1:7">
      <c r="A544" s="199" t="s">
        <v>599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393</v>
      </c>
      <c r="G544" s="200" t="s">
        <v>434</v>
      </c>
    </row>
    <row r="545" spans="1:7">
      <c r="A545" s="199" t="s">
        <v>599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403</v>
      </c>
      <c r="G545" s="200" t="s">
        <v>434</v>
      </c>
    </row>
    <row r="546" spans="1:7">
      <c r="A546" s="199" t="s">
        <v>600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408</v>
      </c>
      <c r="G546" s="200" t="s">
        <v>434</v>
      </c>
    </row>
    <row r="547" spans="1:7">
      <c r="A547" s="199" t="s">
        <v>600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393</v>
      </c>
      <c r="G547" s="200" t="s">
        <v>434</v>
      </c>
    </row>
    <row r="548" spans="1:7">
      <c r="A548" s="199" t="s">
        <v>601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408</v>
      </c>
      <c r="G548" s="200" t="s">
        <v>434</v>
      </c>
    </row>
    <row r="549" spans="1:7">
      <c r="A549" s="199" t="s">
        <v>601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393</v>
      </c>
      <c r="G549" s="200" t="s">
        <v>434</v>
      </c>
    </row>
    <row r="550" spans="1:7">
      <c r="A550" s="199" t="s">
        <v>602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394</v>
      </c>
      <c r="G550" s="200" t="s">
        <v>434</v>
      </c>
    </row>
    <row r="551" spans="1:7">
      <c r="A551" s="199" t="s">
        <v>602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393</v>
      </c>
      <c r="G551" s="200" t="s">
        <v>434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394</v>
      </c>
      <c r="G552" s="200" t="s">
        <v>434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393</v>
      </c>
      <c r="G553" s="200" t="s">
        <v>434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394</v>
      </c>
      <c r="G554" s="200" t="s">
        <v>434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445</v>
      </c>
      <c r="G555" s="200" t="s">
        <v>434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393</v>
      </c>
      <c r="G556" s="200" t="s">
        <v>434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413</v>
      </c>
      <c r="G557" s="200" t="s">
        <v>434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403</v>
      </c>
      <c r="G558" s="200" t="s">
        <v>434</v>
      </c>
    </row>
    <row r="559" spans="1:7" hidden="1">
      <c r="A559" s="199" t="s">
        <v>603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394</v>
      </c>
      <c r="G559" s="200" t="s">
        <v>434</v>
      </c>
    </row>
    <row r="560" spans="1:7">
      <c r="A560" s="199" t="s">
        <v>603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394</v>
      </c>
      <c r="G560" s="200" t="s">
        <v>434</v>
      </c>
    </row>
    <row r="561" spans="1:7">
      <c r="A561" s="199" t="s">
        <v>603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408</v>
      </c>
      <c r="G561" s="200" t="s">
        <v>434</v>
      </c>
    </row>
    <row r="562" spans="1:7" hidden="1">
      <c r="A562" s="199" t="s">
        <v>604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394</v>
      </c>
      <c r="G562" s="200" t="s">
        <v>434</v>
      </c>
    </row>
    <row r="563" spans="1:7">
      <c r="A563" s="199" t="s">
        <v>604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394</v>
      </c>
      <c r="G563" s="200" t="s">
        <v>434</v>
      </c>
    </row>
    <row r="564" spans="1:7">
      <c r="A564" s="199" t="s">
        <v>605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408</v>
      </c>
      <c r="G564" s="200" t="s">
        <v>434</v>
      </c>
    </row>
    <row r="565" spans="1:7">
      <c r="A565" s="199" t="s">
        <v>605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393</v>
      </c>
      <c r="G565" s="200" t="s">
        <v>434</v>
      </c>
    </row>
    <row r="566" spans="1:7">
      <c r="A566" s="199" t="s">
        <v>606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408</v>
      </c>
      <c r="G566" s="200" t="s">
        <v>434</v>
      </c>
    </row>
    <row r="567" spans="1:7">
      <c r="A567" s="199" t="s">
        <v>606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393</v>
      </c>
      <c r="G567" s="200" t="s">
        <v>434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394</v>
      </c>
      <c r="G568" s="200" t="s">
        <v>434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413</v>
      </c>
      <c r="G569" s="200" t="s">
        <v>434</v>
      </c>
    </row>
    <row r="570" spans="1:7">
      <c r="A570" s="199" t="s">
        <v>607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445</v>
      </c>
      <c r="G570" s="200" t="s">
        <v>434</v>
      </c>
    </row>
    <row r="571" spans="1:7">
      <c r="A571" s="199" t="s">
        <v>607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393</v>
      </c>
      <c r="G571" s="200" t="s">
        <v>434</v>
      </c>
    </row>
    <row r="572" spans="1:7" hidden="1">
      <c r="A572" s="199" t="s">
        <v>608</v>
      </c>
      <c r="B572" s="200">
        <v>-216444</v>
      </c>
      <c r="C572" s="200">
        <v>0</v>
      </c>
      <c r="D572" s="201" t="s">
        <v>440</v>
      </c>
      <c r="E572" s="201" t="s">
        <v>609</v>
      </c>
      <c r="F572" s="200" t="s">
        <v>394</v>
      </c>
      <c r="G572" s="200" t="s">
        <v>434</v>
      </c>
    </row>
    <row r="573" spans="1:7" hidden="1">
      <c r="A573" s="199" t="s">
        <v>610</v>
      </c>
      <c r="B573" s="200">
        <v>191729</v>
      </c>
      <c r="C573" s="200">
        <v>0</v>
      </c>
      <c r="D573" s="201" t="s">
        <v>440</v>
      </c>
      <c r="E573" s="201" t="s">
        <v>39</v>
      </c>
      <c r="F573" s="200" t="s">
        <v>394</v>
      </c>
      <c r="G573" s="200" t="s">
        <v>434</v>
      </c>
    </row>
    <row r="574" spans="1:7" hidden="1">
      <c r="A574" s="199" t="s">
        <v>610</v>
      </c>
      <c r="B574" s="200">
        <v>-26430</v>
      </c>
      <c r="C574" s="200">
        <v>0</v>
      </c>
      <c r="D574" s="201" t="s">
        <v>440</v>
      </c>
      <c r="E574" s="201" t="s">
        <v>39</v>
      </c>
      <c r="F574" s="200" t="s">
        <v>407</v>
      </c>
      <c r="G574" s="200" t="s">
        <v>434</v>
      </c>
    </row>
    <row r="575" spans="1:7" hidden="1">
      <c r="A575" s="199" t="s">
        <v>610</v>
      </c>
      <c r="B575" s="200">
        <v>-165299</v>
      </c>
      <c r="C575" s="200">
        <v>0</v>
      </c>
      <c r="D575" s="201" t="s">
        <v>440</v>
      </c>
      <c r="E575" s="201" t="s">
        <v>39</v>
      </c>
      <c r="F575" s="200" t="s">
        <v>402</v>
      </c>
      <c r="G575" s="200" t="s">
        <v>434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440</v>
      </c>
      <c r="E576" s="201" t="s">
        <v>320</v>
      </c>
      <c r="F576" s="200" t="s">
        <v>394</v>
      </c>
      <c r="G576" s="200" t="s">
        <v>434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440</v>
      </c>
      <c r="E577" s="201" t="s">
        <v>320</v>
      </c>
      <c r="F577" s="200" t="s">
        <v>441</v>
      </c>
      <c r="G577" s="200" t="s">
        <v>434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437</v>
      </c>
      <c r="E578" s="201" t="s">
        <v>320</v>
      </c>
      <c r="F578" s="200" t="s">
        <v>394</v>
      </c>
      <c r="G578" s="200" t="s">
        <v>434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437</v>
      </c>
      <c r="E579" s="201" t="s">
        <v>320</v>
      </c>
      <c r="F579" s="200" t="s">
        <v>441</v>
      </c>
      <c r="G579" s="200" t="s">
        <v>434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394</v>
      </c>
      <c r="G580" s="200" t="s">
        <v>434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445</v>
      </c>
      <c r="G581" s="200" t="s">
        <v>434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393</v>
      </c>
      <c r="G582" s="200" t="s">
        <v>434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403</v>
      </c>
      <c r="G583" s="200" t="s">
        <v>434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441</v>
      </c>
      <c r="G584" s="200" t="s">
        <v>434</v>
      </c>
    </row>
    <row r="585" spans="1:7" hidden="1">
      <c r="A585" s="199" t="s">
        <v>611</v>
      </c>
      <c r="B585" s="200">
        <v>-7</v>
      </c>
      <c r="C585" s="200">
        <v>0</v>
      </c>
      <c r="D585" s="201" t="s">
        <v>442</v>
      </c>
      <c r="E585" s="201" t="s">
        <v>612</v>
      </c>
      <c r="F585" s="200" t="s">
        <v>394</v>
      </c>
      <c r="G585" s="200" t="s">
        <v>434</v>
      </c>
    </row>
    <row r="586" spans="1:7" hidden="1">
      <c r="A586" s="199" t="s">
        <v>613</v>
      </c>
      <c r="B586" s="200">
        <v>-19</v>
      </c>
      <c r="C586" s="200">
        <v>0</v>
      </c>
      <c r="D586" s="201" t="s">
        <v>437</v>
      </c>
      <c r="E586" s="201" t="s">
        <v>614</v>
      </c>
      <c r="F586" s="200" t="s">
        <v>394</v>
      </c>
      <c r="G586" s="200" t="s">
        <v>434</v>
      </c>
    </row>
    <row r="587" spans="1:7" hidden="1">
      <c r="A587" s="199" t="s">
        <v>613</v>
      </c>
      <c r="B587" s="200">
        <v>19</v>
      </c>
      <c r="C587" s="200">
        <v>0</v>
      </c>
      <c r="D587" s="201" t="s">
        <v>437</v>
      </c>
      <c r="E587" s="201" t="s">
        <v>614</v>
      </c>
      <c r="F587" s="200" t="s">
        <v>409</v>
      </c>
      <c r="G587" s="200" t="s">
        <v>434</v>
      </c>
    </row>
    <row r="588" spans="1:7" hidden="1">
      <c r="A588" s="199" t="s">
        <v>615</v>
      </c>
      <c r="B588" s="200">
        <v>332</v>
      </c>
      <c r="C588" s="200">
        <v>0</v>
      </c>
      <c r="D588" s="201" t="s">
        <v>463</v>
      </c>
      <c r="E588" s="201" t="s">
        <v>616</v>
      </c>
      <c r="F588" s="200" t="s">
        <v>617</v>
      </c>
      <c r="G588" s="200" t="s">
        <v>434</v>
      </c>
    </row>
    <row r="589" spans="1:7" hidden="1">
      <c r="A589" s="199" t="s">
        <v>618</v>
      </c>
      <c r="B589" s="200">
        <v>1700</v>
      </c>
      <c r="C589" s="200">
        <v>0</v>
      </c>
      <c r="D589" s="201" t="s">
        <v>463</v>
      </c>
      <c r="E589" s="201" t="s">
        <v>619</v>
      </c>
      <c r="F589" s="200" t="s">
        <v>394</v>
      </c>
      <c r="G589" s="200" t="s">
        <v>434</v>
      </c>
    </row>
    <row r="590" spans="1:7" hidden="1">
      <c r="A590" s="199" t="s">
        <v>620</v>
      </c>
      <c r="B590" s="200">
        <v>-413</v>
      </c>
      <c r="C590" s="200">
        <v>0</v>
      </c>
      <c r="D590" s="201" t="s">
        <v>440</v>
      </c>
      <c r="E590" s="201" t="s">
        <v>616</v>
      </c>
      <c r="F590" s="200" t="s">
        <v>394</v>
      </c>
      <c r="G590" s="200" t="s">
        <v>434</v>
      </c>
    </row>
    <row r="591" spans="1:7" hidden="1">
      <c r="A591" s="199" t="s">
        <v>620</v>
      </c>
      <c r="B591" s="200">
        <v>413</v>
      </c>
      <c r="C591" s="200">
        <v>0</v>
      </c>
      <c r="D591" s="201" t="s">
        <v>440</v>
      </c>
      <c r="E591" s="201" t="s">
        <v>616</v>
      </c>
      <c r="F591" s="200" t="s">
        <v>617</v>
      </c>
      <c r="G591" s="200" t="s">
        <v>434</v>
      </c>
    </row>
    <row r="592" spans="1:7" hidden="1">
      <c r="A592" s="199" t="s">
        <v>621</v>
      </c>
      <c r="B592" s="200">
        <v>6526058.9964455003</v>
      </c>
      <c r="C592" s="200">
        <v>0</v>
      </c>
      <c r="D592" s="201" t="s">
        <v>440</v>
      </c>
      <c r="E592" s="201" t="s">
        <v>622</v>
      </c>
      <c r="F592" s="200" t="s">
        <v>394</v>
      </c>
      <c r="G592" s="200" t="s">
        <v>434</v>
      </c>
    </row>
    <row r="593" spans="1:7" hidden="1">
      <c r="A593" s="199" t="s">
        <v>621</v>
      </c>
      <c r="B593" s="200">
        <v>-153499.73406459999</v>
      </c>
      <c r="C593" s="200">
        <v>0</v>
      </c>
      <c r="D593" s="201" t="s">
        <v>440</v>
      </c>
      <c r="E593" s="201" t="s">
        <v>622</v>
      </c>
      <c r="F593" s="200" t="s">
        <v>441</v>
      </c>
      <c r="G593" s="200" t="s">
        <v>434</v>
      </c>
    </row>
    <row r="594" spans="1:7" hidden="1">
      <c r="A594" s="199" t="s">
        <v>621</v>
      </c>
      <c r="B594" s="200">
        <v>179099.99619703999</v>
      </c>
      <c r="C594" s="200">
        <v>0</v>
      </c>
      <c r="D594" s="201" t="s">
        <v>442</v>
      </c>
      <c r="E594" s="201" t="s">
        <v>622</v>
      </c>
      <c r="F594" s="200" t="s">
        <v>394</v>
      </c>
      <c r="G594" s="200" t="s">
        <v>434</v>
      </c>
    </row>
    <row r="595" spans="1:7" hidden="1">
      <c r="A595" s="199" t="s">
        <v>621</v>
      </c>
      <c r="B595" s="200">
        <v>153499.73406459999</v>
      </c>
      <c r="C595" s="200">
        <v>0</v>
      </c>
      <c r="D595" s="201" t="s">
        <v>442</v>
      </c>
      <c r="E595" s="201" t="s">
        <v>622</v>
      </c>
      <c r="F595" s="200" t="s">
        <v>441</v>
      </c>
      <c r="G595" s="200" t="s">
        <v>434</v>
      </c>
    </row>
    <row r="596" spans="1:7" hidden="1">
      <c r="A596" s="199" t="s">
        <v>392</v>
      </c>
      <c r="B596" s="200">
        <v>2542</v>
      </c>
      <c r="C596" s="200">
        <v>0</v>
      </c>
      <c r="D596" s="201" t="s">
        <v>283</v>
      </c>
      <c r="E596" s="201" t="s">
        <v>517</v>
      </c>
      <c r="F596" s="200" t="s">
        <v>394</v>
      </c>
      <c r="G596" s="200" t="s">
        <v>434</v>
      </c>
    </row>
    <row r="597" spans="1:7">
      <c r="A597" s="199" t="s">
        <v>392</v>
      </c>
      <c r="B597" s="200">
        <v>1875</v>
      </c>
      <c r="C597" s="200">
        <v>0</v>
      </c>
      <c r="D597" s="201" t="s">
        <v>282</v>
      </c>
      <c r="E597" s="201" t="s">
        <v>517</v>
      </c>
      <c r="F597" s="200" t="s">
        <v>394</v>
      </c>
      <c r="G597" s="200" t="s">
        <v>434</v>
      </c>
    </row>
    <row r="598" spans="1:7">
      <c r="A598" s="199" t="s">
        <v>392</v>
      </c>
      <c r="B598" s="200">
        <v>666</v>
      </c>
      <c r="C598" s="200">
        <v>0</v>
      </c>
      <c r="D598" s="201" t="s">
        <v>282</v>
      </c>
      <c r="E598" s="201" t="s">
        <v>517</v>
      </c>
      <c r="F598" s="200" t="s">
        <v>393</v>
      </c>
      <c r="G598" s="200" t="s">
        <v>434</v>
      </c>
    </row>
    <row r="599" spans="1:7" hidden="1">
      <c r="A599" s="199" t="s">
        <v>623</v>
      </c>
      <c r="B599" s="200">
        <v>22665000</v>
      </c>
      <c r="C599" s="200">
        <v>0</v>
      </c>
      <c r="D599" s="201" t="s">
        <v>463</v>
      </c>
      <c r="E599" s="201" t="s">
        <v>464</v>
      </c>
      <c r="F599" s="200" t="s">
        <v>394</v>
      </c>
      <c r="G599" s="200" t="s">
        <v>434</v>
      </c>
    </row>
    <row r="600" spans="1:7" hidden="1">
      <c r="A600" s="199" t="s">
        <v>623</v>
      </c>
      <c r="B600" s="200">
        <v>-22665000</v>
      </c>
      <c r="C600" s="200">
        <v>0</v>
      </c>
      <c r="D600" s="201" t="s">
        <v>463</v>
      </c>
      <c r="E600" s="201" t="s">
        <v>464</v>
      </c>
      <c r="F600" s="200" t="s">
        <v>468</v>
      </c>
      <c r="G600" s="200" t="s">
        <v>434</v>
      </c>
    </row>
    <row r="601" spans="1:7">
      <c r="A601" s="199" t="s">
        <v>624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394</v>
      </c>
      <c r="G601" s="200" t="s">
        <v>434</v>
      </c>
    </row>
    <row r="602" spans="1:7">
      <c r="A602" s="199" t="s">
        <v>624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445</v>
      </c>
      <c r="G602" s="200" t="s">
        <v>434</v>
      </c>
    </row>
    <row r="603" spans="1:7">
      <c r="A603" s="199" t="s">
        <v>624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393</v>
      </c>
      <c r="G603" s="200" t="s">
        <v>434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394</v>
      </c>
      <c r="G604" s="200" t="s">
        <v>434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393</v>
      </c>
      <c r="G605" s="200" t="s">
        <v>434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403</v>
      </c>
      <c r="G606" s="200" t="s">
        <v>434</v>
      </c>
    </row>
    <row r="607" spans="1:7" hidden="1">
      <c r="A607" s="199" t="s">
        <v>625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394</v>
      </c>
      <c r="G607" s="200" t="s">
        <v>434</v>
      </c>
    </row>
    <row r="608" spans="1:7">
      <c r="A608" s="199" t="s">
        <v>625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394</v>
      </c>
      <c r="G608" s="200" t="s">
        <v>434</v>
      </c>
    </row>
    <row r="609" spans="1:7">
      <c r="A609" s="199" t="s">
        <v>625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408</v>
      </c>
      <c r="G609" s="200" t="s">
        <v>434</v>
      </c>
    </row>
    <row r="610" spans="1:7" hidden="1">
      <c r="A610" s="199" t="s">
        <v>626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394</v>
      </c>
      <c r="G610" s="200" t="s">
        <v>434</v>
      </c>
    </row>
    <row r="611" spans="1:7">
      <c r="A611" s="199" t="s">
        <v>626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394</v>
      </c>
      <c r="G611" s="200" t="s">
        <v>434</v>
      </c>
    </row>
    <row r="612" spans="1:7">
      <c r="A612" s="199" t="s">
        <v>626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408</v>
      </c>
      <c r="G612" s="200" t="s">
        <v>434</v>
      </c>
    </row>
    <row r="613" spans="1:7">
      <c r="A613" s="199" t="s">
        <v>627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394</v>
      </c>
      <c r="G613" s="200" t="s">
        <v>434</v>
      </c>
    </row>
    <row r="614" spans="1:7">
      <c r="A614" s="199" t="s">
        <v>627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393</v>
      </c>
      <c r="G614" s="200" t="s">
        <v>434</v>
      </c>
    </row>
    <row r="615" spans="1:7" hidden="1">
      <c r="A615" s="199" t="s">
        <v>628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394</v>
      </c>
      <c r="G615" s="200" t="s">
        <v>434</v>
      </c>
    </row>
    <row r="616" spans="1:7" hidden="1">
      <c r="A616" s="199" t="s">
        <v>628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441</v>
      </c>
      <c r="G616" s="200" t="s">
        <v>434</v>
      </c>
    </row>
    <row r="617" spans="1:7">
      <c r="A617" s="199" t="s">
        <v>628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394</v>
      </c>
      <c r="G617" s="200" t="s">
        <v>434</v>
      </c>
    </row>
    <row r="618" spans="1:7">
      <c r="A618" s="199" t="s">
        <v>628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441</v>
      </c>
      <c r="G618" s="200" t="s">
        <v>434</v>
      </c>
    </row>
    <row r="619" spans="1:7" hidden="1">
      <c r="A619" s="199" t="s">
        <v>629</v>
      </c>
      <c r="B619" s="200">
        <v>321</v>
      </c>
      <c r="C619" s="200">
        <v>0</v>
      </c>
      <c r="D619" s="201" t="s">
        <v>283</v>
      </c>
      <c r="E619" s="201" t="s">
        <v>630</v>
      </c>
      <c r="F619" s="200" t="s">
        <v>396</v>
      </c>
      <c r="G619" s="200" t="s">
        <v>434</v>
      </c>
    </row>
    <row r="620" spans="1:7" hidden="1">
      <c r="A620" s="199" t="s">
        <v>629</v>
      </c>
      <c r="B620" s="200">
        <v>2393</v>
      </c>
      <c r="C620" s="200">
        <v>0</v>
      </c>
      <c r="D620" s="201" t="s">
        <v>437</v>
      </c>
      <c r="E620" s="201" t="s">
        <v>630</v>
      </c>
      <c r="F620" s="200" t="s">
        <v>396</v>
      </c>
      <c r="G620" s="200" t="s">
        <v>434</v>
      </c>
    </row>
    <row r="621" spans="1:7">
      <c r="A621" s="199" t="s">
        <v>629</v>
      </c>
      <c r="B621" s="200">
        <v>321</v>
      </c>
      <c r="C621" s="200">
        <v>0</v>
      </c>
      <c r="D621" s="201" t="s">
        <v>282</v>
      </c>
      <c r="E621" s="201" t="s">
        <v>630</v>
      </c>
      <c r="F621" s="200" t="s">
        <v>396</v>
      </c>
      <c r="G621" s="200" t="s">
        <v>434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440</v>
      </c>
      <c r="E622" s="201" t="s">
        <v>320</v>
      </c>
      <c r="F622" s="200" t="s">
        <v>394</v>
      </c>
      <c r="G622" s="200" t="s">
        <v>434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440</v>
      </c>
      <c r="E623" s="201" t="s">
        <v>320</v>
      </c>
      <c r="F623" s="200" t="s">
        <v>441</v>
      </c>
      <c r="G623" s="200" t="s">
        <v>434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394</v>
      </c>
      <c r="G624" s="200" t="s">
        <v>434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437</v>
      </c>
      <c r="E625" s="201" t="s">
        <v>320</v>
      </c>
      <c r="F625" s="200" t="s">
        <v>394</v>
      </c>
      <c r="G625" s="200" t="s">
        <v>434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437</v>
      </c>
      <c r="E626" s="201" t="s">
        <v>320</v>
      </c>
      <c r="F626" s="200" t="s">
        <v>441</v>
      </c>
      <c r="G626" s="200" t="s">
        <v>434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437</v>
      </c>
      <c r="E627" s="201" t="s">
        <v>320</v>
      </c>
      <c r="F627" s="200" t="s">
        <v>406</v>
      </c>
      <c r="G627" s="200" t="s">
        <v>434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394</v>
      </c>
      <c r="G628" s="200" t="s">
        <v>434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393</v>
      </c>
      <c r="G629" s="200" t="s">
        <v>434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411</v>
      </c>
      <c r="G630" s="200" t="s">
        <v>434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442</v>
      </c>
      <c r="E631" s="201" t="s">
        <v>320</v>
      </c>
      <c r="F631" s="200" t="s">
        <v>394</v>
      </c>
      <c r="G631" s="200" t="s">
        <v>434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474</v>
      </c>
      <c r="E632" s="201" t="s">
        <v>320</v>
      </c>
      <c r="F632" s="200" t="s">
        <v>394</v>
      </c>
      <c r="G632" s="200" t="s">
        <v>434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474</v>
      </c>
      <c r="E633" s="201" t="s">
        <v>320</v>
      </c>
      <c r="F633" s="200" t="s">
        <v>402</v>
      </c>
      <c r="G633" s="200" t="s">
        <v>434</v>
      </c>
    </row>
    <row r="634" spans="1:7" hidden="1">
      <c r="A634" s="199" t="s">
        <v>631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394</v>
      </c>
      <c r="G634" s="200" t="s">
        <v>434</v>
      </c>
    </row>
    <row r="635" spans="1:7">
      <c r="A635" s="199" t="s">
        <v>631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394</v>
      </c>
      <c r="G635" s="200" t="s">
        <v>434</v>
      </c>
    </row>
    <row r="636" spans="1:7">
      <c r="A636" s="199" t="s">
        <v>631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408</v>
      </c>
      <c r="G636" s="200" t="s">
        <v>434</v>
      </c>
    </row>
    <row r="637" spans="1:7">
      <c r="A637" s="199" t="s">
        <v>631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393</v>
      </c>
      <c r="G637" s="200" t="s">
        <v>434</v>
      </c>
    </row>
    <row r="638" spans="1:7" hidden="1">
      <c r="A638" s="199" t="s">
        <v>632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394</v>
      </c>
      <c r="G638" s="200" t="s">
        <v>434</v>
      </c>
    </row>
    <row r="639" spans="1:7">
      <c r="A639" s="199" t="s">
        <v>632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394</v>
      </c>
      <c r="G639" s="200" t="s">
        <v>434</v>
      </c>
    </row>
    <row r="640" spans="1:7">
      <c r="A640" s="199" t="s">
        <v>632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408</v>
      </c>
      <c r="G640" s="200" t="s">
        <v>434</v>
      </c>
    </row>
    <row r="641" spans="1:7">
      <c r="A641" s="199" t="s">
        <v>632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393</v>
      </c>
      <c r="G641" s="200" t="s">
        <v>434</v>
      </c>
    </row>
    <row r="642" spans="1:7" hidden="1">
      <c r="A642" s="199" t="s">
        <v>633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394</v>
      </c>
      <c r="G642" s="200" t="s">
        <v>434</v>
      </c>
    </row>
    <row r="643" spans="1:7">
      <c r="A643" s="199" t="s">
        <v>633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394</v>
      </c>
      <c r="G643" s="200" t="s">
        <v>434</v>
      </c>
    </row>
    <row r="644" spans="1:7">
      <c r="A644" s="199" t="s">
        <v>633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408</v>
      </c>
      <c r="G644" s="200" t="s">
        <v>434</v>
      </c>
    </row>
    <row r="645" spans="1:7">
      <c r="A645" s="199" t="s">
        <v>633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393</v>
      </c>
      <c r="G645" s="200" t="s">
        <v>434</v>
      </c>
    </row>
    <row r="646" spans="1:7" hidden="1">
      <c r="A646" s="199" t="s">
        <v>634</v>
      </c>
      <c r="B646" s="200">
        <v>-77400</v>
      </c>
      <c r="C646" s="200">
        <v>0</v>
      </c>
      <c r="D646" s="201" t="s">
        <v>440</v>
      </c>
      <c r="E646" s="201" t="s">
        <v>439</v>
      </c>
      <c r="F646" s="200" t="s">
        <v>394</v>
      </c>
      <c r="G646" s="200" t="s">
        <v>434</v>
      </c>
    </row>
    <row r="647" spans="1:7" hidden="1">
      <c r="A647" s="199" t="s">
        <v>635</v>
      </c>
      <c r="B647" s="200">
        <v>1121145</v>
      </c>
      <c r="C647" s="200">
        <v>0</v>
      </c>
      <c r="D647" s="201" t="s">
        <v>440</v>
      </c>
      <c r="E647" s="201" t="s">
        <v>317</v>
      </c>
      <c r="F647" s="200" t="s">
        <v>394</v>
      </c>
      <c r="G647" s="200" t="s">
        <v>434</v>
      </c>
    </row>
    <row r="648" spans="1:7" hidden="1">
      <c r="A648" s="199" t="s">
        <v>635</v>
      </c>
      <c r="B648" s="200">
        <v>-105000</v>
      </c>
      <c r="C648" s="200">
        <v>0</v>
      </c>
      <c r="D648" s="201" t="s">
        <v>440</v>
      </c>
      <c r="E648" s="201" t="s">
        <v>317</v>
      </c>
      <c r="F648" s="200" t="s">
        <v>410</v>
      </c>
      <c r="G648" s="200" t="s">
        <v>434</v>
      </c>
    </row>
    <row r="649" spans="1:7" hidden="1">
      <c r="A649" s="199" t="s">
        <v>635</v>
      </c>
      <c r="B649" s="200">
        <v>-48215</v>
      </c>
      <c r="C649" s="200">
        <v>0</v>
      </c>
      <c r="D649" s="201" t="s">
        <v>440</v>
      </c>
      <c r="E649" s="201" t="s">
        <v>317</v>
      </c>
      <c r="F649" s="200" t="s">
        <v>407</v>
      </c>
      <c r="G649" s="200" t="s">
        <v>434</v>
      </c>
    </row>
    <row r="650" spans="1:7" hidden="1">
      <c r="A650" s="199" t="s">
        <v>635</v>
      </c>
      <c r="B650" s="200">
        <v>-459011</v>
      </c>
      <c r="C650" s="200">
        <v>0</v>
      </c>
      <c r="D650" s="201" t="s">
        <v>440</v>
      </c>
      <c r="E650" s="201" t="s">
        <v>317</v>
      </c>
      <c r="F650" s="200" t="s">
        <v>441</v>
      </c>
      <c r="G650" s="200" t="s">
        <v>434</v>
      </c>
    </row>
    <row r="651" spans="1:7" hidden="1">
      <c r="A651" s="199" t="s">
        <v>635</v>
      </c>
      <c r="B651" s="200">
        <v>255006</v>
      </c>
      <c r="C651" s="200">
        <v>0</v>
      </c>
      <c r="D651" s="201" t="s">
        <v>440</v>
      </c>
      <c r="E651" s="201" t="s">
        <v>317</v>
      </c>
      <c r="F651" s="200" t="s">
        <v>402</v>
      </c>
      <c r="G651" s="200" t="s">
        <v>434</v>
      </c>
    </row>
    <row r="652" spans="1:7" hidden="1">
      <c r="A652" s="199" t="s">
        <v>635</v>
      </c>
      <c r="B652" s="200">
        <v>-47392</v>
      </c>
      <c r="C652" s="200">
        <v>0</v>
      </c>
      <c r="D652" s="201" t="s">
        <v>437</v>
      </c>
      <c r="E652" s="201" t="s">
        <v>317</v>
      </c>
      <c r="F652" s="200" t="s">
        <v>394</v>
      </c>
      <c r="G652" s="200" t="s">
        <v>434</v>
      </c>
    </row>
    <row r="653" spans="1:7" hidden="1">
      <c r="A653" s="199" t="s">
        <v>635</v>
      </c>
      <c r="B653" s="200">
        <v>-311619</v>
      </c>
      <c r="C653" s="200">
        <v>0</v>
      </c>
      <c r="D653" s="201" t="s">
        <v>437</v>
      </c>
      <c r="E653" s="201" t="s">
        <v>317</v>
      </c>
      <c r="F653" s="200" t="s">
        <v>407</v>
      </c>
      <c r="G653" s="200" t="s">
        <v>434</v>
      </c>
    </row>
    <row r="654" spans="1:7" hidden="1">
      <c r="A654" s="199" t="s">
        <v>635</v>
      </c>
      <c r="B654" s="200">
        <v>459011</v>
      </c>
      <c r="C654" s="200">
        <v>0</v>
      </c>
      <c r="D654" s="201" t="s">
        <v>437</v>
      </c>
      <c r="E654" s="201" t="s">
        <v>317</v>
      </c>
      <c r="F654" s="200" t="s">
        <v>441</v>
      </c>
      <c r="G654" s="200" t="s">
        <v>434</v>
      </c>
    </row>
    <row r="655" spans="1:7" hidden="1">
      <c r="A655" s="199" t="s">
        <v>635</v>
      </c>
      <c r="B655" s="200">
        <v>-100000</v>
      </c>
      <c r="C655" s="200">
        <v>0</v>
      </c>
      <c r="D655" s="201" t="s">
        <v>437</v>
      </c>
      <c r="E655" s="201" t="s">
        <v>317</v>
      </c>
      <c r="F655" s="200" t="s">
        <v>402</v>
      </c>
      <c r="G655" s="200" t="s">
        <v>434</v>
      </c>
    </row>
    <row r="656" spans="1:7" hidden="1">
      <c r="A656" s="199" t="s">
        <v>635</v>
      </c>
      <c r="B656" s="200">
        <v>209832</v>
      </c>
      <c r="C656" s="200">
        <v>0</v>
      </c>
      <c r="D656" s="201" t="s">
        <v>442</v>
      </c>
      <c r="E656" s="201" t="s">
        <v>317</v>
      </c>
      <c r="F656" s="200" t="s">
        <v>394</v>
      </c>
      <c r="G656" s="200" t="s">
        <v>434</v>
      </c>
    </row>
    <row r="657" spans="1:7" hidden="1">
      <c r="A657" s="199" t="s">
        <v>635</v>
      </c>
      <c r="B657" s="200">
        <v>-33000</v>
      </c>
      <c r="C657" s="200">
        <v>0</v>
      </c>
      <c r="D657" s="201" t="s">
        <v>442</v>
      </c>
      <c r="E657" s="201" t="s">
        <v>317</v>
      </c>
      <c r="F657" s="200" t="s">
        <v>410</v>
      </c>
      <c r="G657" s="200" t="s">
        <v>434</v>
      </c>
    </row>
    <row r="658" spans="1:7" hidden="1">
      <c r="A658" s="199" t="s">
        <v>635</v>
      </c>
      <c r="B658" s="200">
        <v>-66101</v>
      </c>
      <c r="C658" s="200">
        <v>0</v>
      </c>
      <c r="D658" s="201" t="s">
        <v>442</v>
      </c>
      <c r="E658" s="201" t="s">
        <v>317</v>
      </c>
      <c r="F658" s="200" t="s">
        <v>407</v>
      </c>
      <c r="G658" s="200" t="s">
        <v>434</v>
      </c>
    </row>
    <row r="659" spans="1:7" hidden="1">
      <c r="A659" s="199" t="s">
        <v>635</v>
      </c>
      <c r="B659" s="200">
        <v>87930</v>
      </c>
      <c r="C659" s="200">
        <v>0</v>
      </c>
      <c r="D659" s="201" t="s">
        <v>545</v>
      </c>
      <c r="E659" s="201" t="s">
        <v>317</v>
      </c>
      <c r="F659" s="200" t="s">
        <v>394</v>
      </c>
      <c r="G659" s="200" t="s">
        <v>434</v>
      </c>
    </row>
    <row r="660" spans="1:7" hidden="1">
      <c r="A660" s="199" t="s">
        <v>635</v>
      </c>
      <c r="B660" s="200">
        <v>134518</v>
      </c>
      <c r="C660" s="200">
        <v>0</v>
      </c>
      <c r="D660" s="201" t="s">
        <v>474</v>
      </c>
      <c r="E660" s="201" t="s">
        <v>317</v>
      </c>
      <c r="F660" s="200" t="s">
        <v>394</v>
      </c>
      <c r="G660" s="200" t="s">
        <v>434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394</v>
      </c>
      <c r="G661" s="200" t="s">
        <v>434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441</v>
      </c>
      <c r="G662" s="200" t="s">
        <v>434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394</v>
      </c>
      <c r="G663" s="200" t="s">
        <v>434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445</v>
      </c>
      <c r="G664" s="200" t="s">
        <v>434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393</v>
      </c>
      <c r="G665" s="200" t="s">
        <v>434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413</v>
      </c>
      <c r="G666" s="200" t="s">
        <v>434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441</v>
      </c>
      <c r="G667" s="200" t="s">
        <v>434</v>
      </c>
    </row>
    <row r="668" spans="1:7" hidden="1">
      <c r="A668" s="199" t="s">
        <v>636</v>
      </c>
      <c r="B668" s="200">
        <v>155800</v>
      </c>
      <c r="C668" s="200">
        <v>0</v>
      </c>
      <c r="D668" s="201" t="s">
        <v>440</v>
      </c>
      <c r="E668" s="201" t="s">
        <v>39</v>
      </c>
      <c r="F668" s="200" t="s">
        <v>394</v>
      </c>
      <c r="G668" s="200" t="s">
        <v>434</v>
      </c>
    </row>
    <row r="669" spans="1:7" hidden="1">
      <c r="A669" s="199" t="s">
        <v>636</v>
      </c>
      <c r="B669" s="200">
        <v>-155800</v>
      </c>
      <c r="C669" s="200">
        <v>0</v>
      </c>
      <c r="D669" s="201" t="s">
        <v>440</v>
      </c>
      <c r="E669" s="201" t="s">
        <v>39</v>
      </c>
      <c r="F669" s="200" t="s">
        <v>402</v>
      </c>
      <c r="G669" s="200" t="s">
        <v>434</v>
      </c>
    </row>
    <row r="670" spans="1:7" hidden="1">
      <c r="A670" s="199" t="s">
        <v>637</v>
      </c>
      <c r="B670" s="200">
        <v>-1401012</v>
      </c>
      <c r="C670" s="200">
        <v>0</v>
      </c>
      <c r="D670" s="201" t="s">
        <v>440</v>
      </c>
      <c r="E670" s="201" t="s">
        <v>638</v>
      </c>
      <c r="F670" s="200" t="s">
        <v>393</v>
      </c>
      <c r="G670" s="200" t="s">
        <v>434</v>
      </c>
    </row>
    <row r="671" spans="1:7" hidden="1">
      <c r="A671" s="199" t="s">
        <v>376</v>
      </c>
      <c r="B671" s="200">
        <v>7120</v>
      </c>
      <c r="C671" s="200">
        <v>0</v>
      </c>
      <c r="D671" s="201" t="s">
        <v>283</v>
      </c>
      <c r="E671" s="201" t="s">
        <v>639</v>
      </c>
      <c r="F671" s="200" t="s">
        <v>393</v>
      </c>
      <c r="G671" s="200" t="s">
        <v>434</v>
      </c>
    </row>
    <row r="672" spans="1:7">
      <c r="A672" s="199" t="s">
        <v>376</v>
      </c>
      <c r="B672" s="200">
        <v>7120</v>
      </c>
      <c r="C672" s="200">
        <v>0</v>
      </c>
      <c r="D672" s="201" t="s">
        <v>282</v>
      </c>
      <c r="E672" s="201" t="s">
        <v>639</v>
      </c>
      <c r="F672" s="200" t="s">
        <v>393</v>
      </c>
      <c r="G672" s="200" t="s">
        <v>434</v>
      </c>
    </row>
    <row r="673" spans="1:7" hidden="1">
      <c r="A673" s="199" t="s">
        <v>640</v>
      </c>
      <c r="B673" s="200">
        <v>2379</v>
      </c>
      <c r="C673" s="200">
        <v>0</v>
      </c>
      <c r="D673" s="201" t="s">
        <v>442</v>
      </c>
      <c r="E673" s="201" t="s">
        <v>639</v>
      </c>
      <c r="F673" s="200" t="s">
        <v>393</v>
      </c>
      <c r="G673" s="200" t="s">
        <v>434</v>
      </c>
    </row>
    <row r="674" spans="1:7" hidden="1">
      <c r="A674" s="199" t="s">
        <v>641</v>
      </c>
      <c r="B674" s="200">
        <v>-1797</v>
      </c>
      <c r="C674" s="200">
        <v>0</v>
      </c>
      <c r="D674" s="201" t="s">
        <v>442</v>
      </c>
      <c r="E674" s="201" t="s">
        <v>639</v>
      </c>
      <c r="F674" s="200" t="s">
        <v>393</v>
      </c>
      <c r="G674" s="200" t="s">
        <v>434</v>
      </c>
    </row>
    <row r="675" spans="1:7" hidden="1">
      <c r="A675" s="199" t="s">
        <v>642</v>
      </c>
      <c r="B675" s="200">
        <v>-1728</v>
      </c>
      <c r="C675" s="200">
        <v>0</v>
      </c>
      <c r="D675" s="201" t="s">
        <v>442</v>
      </c>
      <c r="E675" s="201" t="s">
        <v>639</v>
      </c>
      <c r="F675" s="200" t="s">
        <v>393</v>
      </c>
      <c r="G675" s="200" t="s">
        <v>434</v>
      </c>
    </row>
    <row r="676" spans="1:7" hidden="1">
      <c r="A676" s="199" t="s">
        <v>643</v>
      </c>
      <c r="B676" s="200">
        <v>-27024</v>
      </c>
      <c r="C676" s="200">
        <v>0</v>
      </c>
      <c r="D676" s="201" t="s">
        <v>440</v>
      </c>
      <c r="E676" s="201" t="s">
        <v>639</v>
      </c>
      <c r="F676" s="200" t="s">
        <v>393</v>
      </c>
      <c r="G676" s="200" t="s">
        <v>434</v>
      </c>
    </row>
    <row r="677" spans="1:7" hidden="1">
      <c r="A677" s="199" t="s">
        <v>377</v>
      </c>
      <c r="B677" s="200">
        <v>1390</v>
      </c>
      <c r="C677" s="200">
        <v>0</v>
      </c>
      <c r="D677" s="201" t="s">
        <v>283</v>
      </c>
      <c r="E677" s="201" t="s">
        <v>639</v>
      </c>
      <c r="F677" s="200" t="s">
        <v>393</v>
      </c>
      <c r="G677" s="200" t="s">
        <v>434</v>
      </c>
    </row>
    <row r="678" spans="1:7">
      <c r="A678" s="199" t="s">
        <v>377</v>
      </c>
      <c r="B678" s="200">
        <v>1390</v>
      </c>
      <c r="C678" s="200">
        <v>0</v>
      </c>
      <c r="D678" s="201" t="s">
        <v>282</v>
      </c>
      <c r="E678" s="201" t="s">
        <v>639</v>
      </c>
      <c r="F678" s="200" t="s">
        <v>393</v>
      </c>
      <c r="G678" s="200" t="s">
        <v>434</v>
      </c>
    </row>
    <row r="679" spans="1:7" hidden="1">
      <c r="A679" s="199" t="s">
        <v>379</v>
      </c>
      <c r="B679" s="200">
        <v>5561</v>
      </c>
      <c r="C679" s="200">
        <v>0</v>
      </c>
      <c r="D679" s="201" t="s">
        <v>283</v>
      </c>
      <c r="E679" s="201" t="s">
        <v>639</v>
      </c>
      <c r="F679" s="200" t="s">
        <v>393</v>
      </c>
      <c r="G679" s="200" t="s">
        <v>434</v>
      </c>
    </row>
    <row r="680" spans="1:7">
      <c r="A680" s="199" t="s">
        <v>379</v>
      </c>
      <c r="B680" s="200">
        <v>5561</v>
      </c>
      <c r="C680" s="200">
        <v>0</v>
      </c>
      <c r="D680" s="201" t="s">
        <v>282</v>
      </c>
      <c r="E680" s="201" t="s">
        <v>639</v>
      </c>
      <c r="F680" s="200" t="s">
        <v>393</v>
      </c>
      <c r="G680" s="200" t="s">
        <v>434</v>
      </c>
    </row>
    <row r="681" spans="1:7" hidden="1">
      <c r="A681" s="199" t="s">
        <v>380</v>
      </c>
      <c r="B681" s="200">
        <v>5800</v>
      </c>
      <c r="C681" s="200">
        <v>0</v>
      </c>
      <c r="D681" s="201" t="s">
        <v>283</v>
      </c>
      <c r="E681" s="201" t="s">
        <v>639</v>
      </c>
      <c r="F681" s="200" t="s">
        <v>393</v>
      </c>
      <c r="G681" s="200" t="s">
        <v>434</v>
      </c>
    </row>
    <row r="682" spans="1:7">
      <c r="A682" s="199" t="s">
        <v>380</v>
      </c>
      <c r="B682" s="200">
        <v>5800</v>
      </c>
      <c r="C682" s="200">
        <v>0</v>
      </c>
      <c r="D682" s="201" t="s">
        <v>282</v>
      </c>
      <c r="E682" s="201" t="s">
        <v>639</v>
      </c>
      <c r="F682" s="200" t="s">
        <v>393</v>
      </c>
      <c r="G682" s="200" t="s">
        <v>434</v>
      </c>
    </row>
    <row r="683" spans="1:7" hidden="1">
      <c r="A683" s="199" t="s">
        <v>644</v>
      </c>
      <c r="B683" s="200">
        <v>-1500</v>
      </c>
      <c r="C683" s="200">
        <v>0</v>
      </c>
      <c r="D683" s="201" t="s">
        <v>440</v>
      </c>
      <c r="E683" s="201" t="s">
        <v>638</v>
      </c>
      <c r="F683" s="200" t="s">
        <v>409</v>
      </c>
      <c r="G683" s="200" t="s">
        <v>434</v>
      </c>
    </row>
    <row r="684" spans="1:7" hidden="1">
      <c r="A684" s="199" t="s">
        <v>645</v>
      </c>
      <c r="B684" s="200">
        <v>-508</v>
      </c>
      <c r="C684" s="200">
        <v>0</v>
      </c>
      <c r="D684" s="201" t="s">
        <v>474</v>
      </c>
      <c r="E684" s="201" t="s">
        <v>638</v>
      </c>
      <c r="F684" s="200" t="s">
        <v>409</v>
      </c>
      <c r="G684" s="200" t="s">
        <v>434</v>
      </c>
    </row>
    <row r="685" spans="1:7" hidden="1">
      <c r="A685" s="199" t="s">
        <v>646</v>
      </c>
      <c r="B685" s="200">
        <v>-7289</v>
      </c>
      <c r="C685" s="200">
        <v>0</v>
      </c>
      <c r="D685" s="201" t="s">
        <v>440</v>
      </c>
      <c r="E685" s="201" t="s">
        <v>638</v>
      </c>
      <c r="F685" s="200" t="s">
        <v>409</v>
      </c>
      <c r="G685" s="200" t="s">
        <v>434</v>
      </c>
    </row>
    <row r="686" spans="1:7" hidden="1">
      <c r="A686" s="199" t="s">
        <v>646</v>
      </c>
      <c r="B686" s="200">
        <v>-443</v>
      </c>
      <c r="C686" s="200">
        <v>0</v>
      </c>
      <c r="D686" s="201" t="s">
        <v>474</v>
      </c>
      <c r="E686" s="201" t="s">
        <v>638</v>
      </c>
      <c r="F686" s="200" t="s">
        <v>409</v>
      </c>
      <c r="G686" s="200" t="s">
        <v>434</v>
      </c>
    </row>
    <row r="687" spans="1:7" hidden="1">
      <c r="A687" s="199" t="s">
        <v>647</v>
      </c>
      <c r="B687" s="200">
        <v>-1985</v>
      </c>
      <c r="C687" s="200">
        <v>0</v>
      </c>
      <c r="D687" s="201" t="s">
        <v>440</v>
      </c>
      <c r="E687" s="201" t="s">
        <v>638</v>
      </c>
      <c r="F687" s="200" t="s">
        <v>409</v>
      </c>
      <c r="G687" s="200" t="s">
        <v>434</v>
      </c>
    </row>
    <row r="688" spans="1:7" hidden="1">
      <c r="A688" s="199" t="s">
        <v>648</v>
      </c>
      <c r="B688" s="200">
        <v>-2021</v>
      </c>
      <c r="C688" s="200">
        <v>0</v>
      </c>
      <c r="D688" s="201" t="s">
        <v>440</v>
      </c>
      <c r="E688" s="201" t="s">
        <v>638</v>
      </c>
      <c r="F688" s="200" t="s">
        <v>409</v>
      </c>
      <c r="G688" s="200" t="s">
        <v>434</v>
      </c>
    </row>
    <row r="689" spans="1:7" hidden="1">
      <c r="A689" s="199" t="s">
        <v>649</v>
      </c>
      <c r="B689" s="200">
        <v>-2019</v>
      </c>
      <c r="C689" s="200">
        <v>0</v>
      </c>
      <c r="D689" s="201" t="s">
        <v>440</v>
      </c>
      <c r="E689" s="201" t="s">
        <v>638</v>
      </c>
      <c r="F689" s="200" t="s">
        <v>409</v>
      </c>
      <c r="G689" s="200" t="s">
        <v>434</v>
      </c>
    </row>
    <row r="690" spans="1:7" hidden="1">
      <c r="A690" s="199" t="s">
        <v>650</v>
      </c>
      <c r="B690" s="200">
        <v>-2991</v>
      </c>
      <c r="C690" s="200">
        <v>0</v>
      </c>
      <c r="D690" s="201" t="s">
        <v>440</v>
      </c>
      <c r="E690" s="201" t="s">
        <v>638</v>
      </c>
      <c r="F690" s="200" t="s">
        <v>409</v>
      </c>
      <c r="G690" s="200" t="s">
        <v>434</v>
      </c>
    </row>
    <row r="691" spans="1:7" hidden="1">
      <c r="A691" s="199" t="s">
        <v>651</v>
      </c>
      <c r="B691" s="200">
        <v>-1957</v>
      </c>
      <c r="C691" s="200">
        <v>0</v>
      </c>
      <c r="D691" s="201" t="s">
        <v>440</v>
      </c>
      <c r="E691" s="201" t="s">
        <v>638</v>
      </c>
      <c r="F691" s="200" t="s">
        <v>409</v>
      </c>
      <c r="G691" s="200" t="s">
        <v>434</v>
      </c>
    </row>
    <row r="692" spans="1:7" hidden="1">
      <c r="A692" s="199" t="s">
        <v>370</v>
      </c>
      <c r="B692" s="200">
        <v>98</v>
      </c>
      <c r="C692" s="200">
        <v>0</v>
      </c>
      <c r="D692" s="201" t="s">
        <v>283</v>
      </c>
      <c r="E692" s="201" t="s">
        <v>639</v>
      </c>
      <c r="F692" s="200" t="s">
        <v>652</v>
      </c>
      <c r="G692" s="200" t="s">
        <v>434</v>
      </c>
    </row>
    <row r="693" spans="1:7">
      <c r="A693" s="199" t="s">
        <v>370</v>
      </c>
      <c r="B693" s="200">
        <v>98</v>
      </c>
      <c r="C693" s="200">
        <v>0</v>
      </c>
      <c r="D693" s="201" t="s">
        <v>282</v>
      </c>
      <c r="E693" s="201" t="s">
        <v>639</v>
      </c>
      <c r="F693" s="200" t="s">
        <v>652</v>
      </c>
      <c r="G693" s="200" t="s">
        <v>434</v>
      </c>
    </row>
    <row r="694" spans="1:7" hidden="1">
      <c r="A694" s="199" t="s">
        <v>374</v>
      </c>
      <c r="B694" s="200">
        <v>192</v>
      </c>
      <c r="C694" s="200">
        <v>0</v>
      </c>
      <c r="D694" s="201" t="s">
        <v>283</v>
      </c>
      <c r="E694" s="201" t="s">
        <v>639</v>
      </c>
      <c r="F694" s="200" t="s">
        <v>652</v>
      </c>
      <c r="G694" s="200" t="s">
        <v>434</v>
      </c>
    </row>
    <row r="695" spans="1:7">
      <c r="A695" s="199" t="s">
        <v>374</v>
      </c>
      <c r="B695" s="200">
        <v>192</v>
      </c>
      <c r="C695" s="200">
        <v>0</v>
      </c>
      <c r="D695" s="201" t="s">
        <v>282</v>
      </c>
      <c r="E695" s="201" t="s">
        <v>639</v>
      </c>
      <c r="F695" s="200" t="s">
        <v>652</v>
      </c>
      <c r="G695" s="200" t="s">
        <v>434</v>
      </c>
    </row>
    <row r="696" spans="1:7" hidden="1">
      <c r="A696" s="199" t="s">
        <v>372</v>
      </c>
      <c r="B696" s="200">
        <v>2418</v>
      </c>
      <c r="C696" s="200">
        <v>0</v>
      </c>
      <c r="D696" s="201" t="s">
        <v>283</v>
      </c>
      <c r="E696" s="201" t="s">
        <v>639</v>
      </c>
      <c r="F696" s="200" t="s">
        <v>652</v>
      </c>
      <c r="G696" s="200" t="s">
        <v>434</v>
      </c>
    </row>
    <row r="697" spans="1:7">
      <c r="A697" s="199" t="s">
        <v>372</v>
      </c>
      <c r="B697" s="200">
        <v>2418</v>
      </c>
      <c r="C697" s="200">
        <v>0</v>
      </c>
      <c r="D697" s="201" t="s">
        <v>282</v>
      </c>
      <c r="E697" s="201" t="s">
        <v>639</v>
      </c>
      <c r="F697" s="200" t="s">
        <v>652</v>
      </c>
      <c r="G697" s="200" t="s">
        <v>434</v>
      </c>
    </row>
    <row r="698" spans="1:7" hidden="1">
      <c r="A698" s="199" t="s">
        <v>375</v>
      </c>
      <c r="B698" s="200">
        <v>1185</v>
      </c>
      <c r="C698" s="200">
        <v>0</v>
      </c>
      <c r="D698" s="201" t="s">
        <v>283</v>
      </c>
      <c r="E698" s="201" t="s">
        <v>639</v>
      </c>
      <c r="F698" s="200" t="s">
        <v>652</v>
      </c>
      <c r="G698" s="200" t="s">
        <v>434</v>
      </c>
    </row>
    <row r="699" spans="1:7">
      <c r="A699" s="199" t="s">
        <v>375</v>
      </c>
      <c r="B699" s="200">
        <v>1186</v>
      </c>
      <c r="C699" s="200">
        <v>0</v>
      </c>
      <c r="D699" s="201" t="s">
        <v>282</v>
      </c>
      <c r="E699" s="201" t="s">
        <v>639</v>
      </c>
      <c r="F699" s="200" t="s">
        <v>652</v>
      </c>
      <c r="G699" s="200" t="s">
        <v>434</v>
      </c>
    </row>
    <row r="700" spans="1:7" hidden="1">
      <c r="A700" s="199" t="s">
        <v>653</v>
      </c>
      <c r="B700" s="200">
        <v>-8863</v>
      </c>
      <c r="C700" s="200">
        <v>0</v>
      </c>
      <c r="D700" s="201" t="s">
        <v>442</v>
      </c>
      <c r="E700" s="201" t="s">
        <v>638</v>
      </c>
      <c r="F700" s="200" t="s">
        <v>652</v>
      </c>
      <c r="G700" s="200" t="s">
        <v>434</v>
      </c>
    </row>
    <row r="701" spans="1:7" hidden="1">
      <c r="A701" s="199" t="s">
        <v>654</v>
      </c>
      <c r="B701" s="200">
        <v>-675998</v>
      </c>
      <c r="C701" s="200">
        <v>0</v>
      </c>
      <c r="D701" s="201" t="s">
        <v>442</v>
      </c>
      <c r="E701" s="201" t="s">
        <v>638</v>
      </c>
      <c r="F701" s="200" t="s">
        <v>652</v>
      </c>
      <c r="G701" s="200" t="s">
        <v>434</v>
      </c>
    </row>
    <row r="702" spans="1:7" hidden="1">
      <c r="A702" s="199" t="s">
        <v>655</v>
      </c>
      <c r="B702" s="200">
        <v>-3158</v>
      </c>
      <c r="C702" s="200">
        <v>0</v>
      </c>
      <c r="D702" s="201" t="s">
        <v>440</v>
      </c>
      <c r="E702" s="201" t="s">
        <v>639</v>
      </c>
      <c r="F702" s="200" t="s">
        <v>393</v>
      </c>
      <c r="G702" s="200" t="s">
        <v>434</v>
      </c>
    </row>
    <row r="703" spans="1:7" hidden="1">
      <c r="A703" s="199" t="s">
        <v>656</v>
      </c>
      <c r="B703" s="200">
        <v>-6018</v>
      </c>
      <c r="C703" s="200">
        <v>0</v>
      </c>
      <c r="D703" s="201" t="s">
        <v>440</v>
      </c>
      <c r="E703" s="201" t="s">
        <v>639</v>
      </c>
      <c r="F703" s="200" t="s">
        <v>393</v>
      </c>
      <c r="G703" s="200" t="s">
        <v>434</v>
      </c>
    </row>
    <row r="704" spans="1:7" hidden="1">
      <c r="A704" s="199" t="s">
        <v>657</v>
      </c>
      <c r="B704" s="200">
        <v>-27197</v>
      </c>
      <c r="C704" s="200">
        <v>0</v>
      </c>
      <c r="D704" s="201" t="s">
        <v>440</v>
      </c>
      <c r="E704" s="201" t="s">
        <v>439</v>
      </c>
      <c r="F704" s="200" t="s">
        <v>394</v>
      </c>
      <c r="G704" s="200" t="s">
        <v>434</v>
      </c>
    </row>
    <row r="705" spans="1:7" hidden="1">
      <c r="A705" s="199" t="s">
        <v>658</v>
      </c>
      <c r="B705" s="200">
        <v>54530</v>
      </c>
      <c r="C705" s="200">
        <v>0</v>
      </c>
      <c r="D705" s="201" t="s">
        <v>440</v>
      </c>
      <c r="E705" s="201" t="s">
        <v>317</v>
      </c>
      <c r="F705" s="200" t="s">
        <v>394</v>
      </c>
      <c r="G705" s="200" t="s">
        <v>434</v>
      </c>
    </row>
    <row r="706" spans="1:7" hidden="1">
      <c r="A706" s="199" t="s">
        <v>658</v>
      </c>
      <c r="B706" s="200">
        <v>-54530</v>
      </c>
      <c r="C706" s="200">
        <v>0</v>
      </c>
      <c r="D706" s="201" t="s">
        <v>440</v>
      </c>
      <c r="E706" s="201" t="s">
        <v>317</v>
      </c>
      <c r="F706" s="200" t="s">
        <v>441</v>
      </c>
      <c r="G706" s="200" t="s">
        <v>434</v>
      </c>
    </row>
    <row r="707" spans="1:7">
      <c r="A707" s="199" t="s">
        <v>658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394</v>
      </c>
      <c r="G707" s="200" t="s">
        <v>434</v>
      </c>
    </row>
    <row r="708" spans="1:7">
      <c r="A708" s="199" t="s">
        <v>658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393</v>
      </c>
      <c r="G708" s="200" t="s">
        <v>434</v>
      </c>
    </row>
    <row r="709" spans="1:7">
      <c r="A709" s="199" t="s">
        <v>658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441</v>
      </c>
      <c r="G709" s="200" t="s">
        <v>434</v>
      </c>
    </row>
    <row r="710" spans="1:7" hidden="1">
      <c r="A710" s="199" t="s">
        <v>659</v>
      </c>
      <c r="B710" s="200">
        <v>-7500000</v>
      </c>
      <c r="C710" s="200">
        <v>0</v>
      </c>
      <c r="D710" s="201" t="s">
        <v>437</v>
      </c>
      <c r="E710" s="201" t="s">
        <v>660</v>
      </c>
      <c r="F710" s="200" t="s">
        <v>394</v>
      </c>
      <c r="G710" s="200" t="s">
        <v>434</v>
      </c>
    </row>
    <row r="711" spans="1:7" hidden="1">
      <c r="A711" s="199" t="s">
        <v>659</v>
      </c>
      <c r="B711" s="200">
        <v>7500000</v>
      </c>
      <c r="C711" s="200">
        <v>0</v>
      </c>
      <c r="D711" s="201" t="s">
        <v>437</v>
      </c>
      <c r="E711" s="201" t="s">
        <v>660</v>
      </c>
      <c r="F711" s="200" t="s">
        <v>393</v>
      </c>
      <c r="G711" s="200" t="s">
        <v>434</v>
      </c>
    </row>
    <row r="712" spans="1:7">
      <c r="A712" s="199" t="s">
        <v>661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394</v>
      </c>
      <c r="G712" s="200" t="s">
        <v>434</v>
      </c>
    </row>
    <row r="713" spans="1:7">
      <c r="A713" s="199" t="s">
        <v>661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413</v>
      </c>
      <c r="G713" s="200" t="s">
        <v>434</v>
      </c>
    </row>
    <row r="714" spans="1:7">
      <c r="A714" s="199" t="s">
        <v>662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394</v>
      </c>
      <c r="G714" s="200" t="s">
        <v>434</v>
      </c>
    </row>
    <row r="715" spans="1:7">
      <c r="A715" s="199" t="s">
        <v>662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445</v>
      </c>
      <c r="G715" s="200" t="s">
        <v>434</v>
      </c>
    </row>
    <row r="716" spans="1:7">
      <c r="A716" s="199" t="s">
        <v>662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404</v>
      </c>
      <c r="G716" s="200" t="s">
        <v>434</v>
      </c>
    </row>
    <row r="717" spans="1:7">
      <c r="A717" s="199" t="s">
        <v>662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393</v>
      </c>
      <c r="G717" s="200" t="s">
        <v>434</v>
      </c>
    </row>
    <row r="718" spans="1:7">
      <c r="A718" s="199" t="s">
        <v>662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402</v>
      </c>
      <c r="G718" s="200" t="s">
        <v>434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394</v>
      </c>
      <c r="G719" s="200" t="s">
        <v>434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445</v>
      </c>
      <c r="G720" s="200" t="s">
        <v>434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393</v>
      </c>
      <c r="G721" s="200" t="s">
        <v>434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407</v>
      </c>
      <c r="G722" s="200" t="s">
        <v>434</v>
      </c>
    </row>
    <row r="723" spans="1:7" hidden="1">
      <c r="A723" s="199" t="s">
        <v>663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394</v>
      </c>
      <c r="G723" s="200" t="s">
        <v>434</v>
      </c>
    </row>
    <row r="724" spans="1:7" hidden="1">
      <c r="A724" s="199" t="s">
        <v>663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441</v>
      </c>
      <c r="G724" s="200" t="s">
        <v>434</v>
      </c>
    </row>
    <row r="725" spans="1:7">
      <c r="A725" s="199" t="s">
        <v>663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394</v>
      </c>
      <c r="G725" s="200" t="s">
        <v>434</v>
      </c>
    </row>
    <row r="726" spans="1:7">
      <c r="A726" s="199" t="s">
        <v>663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441</v>
      </c>
      <c r="G726" s="200" t="s">
        <v>434</v>
      </c>
    </row>
    <row r="727" spans="1:7" hidden="1">
      <c r="A727" s="199" t="s">
        <v>664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394</v>
      </c>
      <c r="G727" s="200" t="s">
        <v>434</v>
      </c>
    </row>
    <row r="728" spans="1:7" hidden="1">
      <c r="A728" s="199" t="s">
        <v>664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441</v>
      </c>
      <c r="G728" s="200" t="s">
        <v>434</v>
      </c>
    </row>
    <row r="729" spans="1:7">
      <c r="A729" s="199" t="s">
        <v>664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394</v>
      </c>
      <c r="G729" s="200" t="s">
        <v>434</v>
      </c>
    </row>
    <row r="730" spans="1:7">
      <c r="A730" s="199" t="s">
        <v>664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441</v>
      </c>
      <c r="G730" s="200" t="s">
        <v>434</v>
      </c>
    </row>
    <row r="731" spans="1:7" hidden="1">
      <c r="A731" s="199" t="s">
        <v>665</v>
      </c>
      <c r="B731" s="200">
        <v>-5568</v>
      </c>
      <c r="C731" s="200">
        <v>0</v>
      </c>
      <c r="D731" s="201" t="s">
        <v>442</v>
      </c>
      <c r="E731" s="201" t="s">
        <v>317</v>
      </c>
      <c r="F731" s="200" t="s">
        <v>394</v>
      </c>
      <c r="G731" s="200" t="s">
        <v>434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394</v>
      </c>
      <c r="G732" s="200" t="s">
        <v>434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441</v>
      </c>
      <c r="G733" s="200" t="s">
        <v>434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394</v>
      </c>
      <c r="G734" s="200" t="s">
        <v>434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393</v>
      </c>
      <c r="G735" s="200" t="s">
        <v>434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413</v>
      </c>
      <c r="G736" s="200" t="s">
        <v>434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403</v>
      </c>
      <c r="G737" s="200" t="s">
        <v>434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441</v>
      </c>
      <c r="G738" s="200" t="s">
        <v>434</v>
      </c>
    </row>
    <row r="739" spans="1:7" hidden="1">
      <c r="A739" s="199" t="s">
        <v>666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394</v>
      </c>
      <c r="G739" s="200" t="s">
        <v>434</v>
      </c>
    </row>
    <row r="740" spans="1:7">
      <c r="A740" s="199" t="s">
        <v>666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394</v>
      </c>
      <c r="G740" s="200" t="s">
        <v>434</v>
      </c>
    </row>
    <row r="741" spans="1:7">
      <c r="A741" s="199" t="s">
        <v>666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408</v>
      </c>
      <c r="G741" s="200" t="s">
        <v>434</v>
      </c>
    </row>
    <row r="742" spans="1:7" hidden="1">
      <c r="A742" s="199" t="s">
        <v>667</v>
      </c>
      <c r="B742" s="200">
        <v>-8</v>
      </c>
      <c r="C742" s="200">
        <v>0</v>
      </c>
      <c r="D742" s="201" t="s">
        <v>463</v>
      </c>
      <c r="E742" s="201" t="s">
        <v>668</v>
      </c>
      <c r="F742" s="200" t="s">
        <v>394</v>
      </c>
      <c r="G742" s="200" t="s">
        <v>434</v>
      </c>
    </row>
    <row r="743" spans="1:7">
      <c r="A743" s="199" t="s">
        <v>669</v>
      </c>
      <c r="B743" s="200">
        <v>-2</v>
      </c>
      <c r="C743" s="200">
        <v>0</v>
      </c>
      <c r="D743" s="201" t="s">
        <v>282</v>
      </c>
      <c r="E743" s="201" t="s">
        <v>517</v>
      </c>
      <c r="F743" s="200" t="s">
        <v>394</v>
      </c>
      <c r="G743" s="200" t="s">
        <v>434</v>
      </c>
    </row>
    <row r="744" spans="1:7">
      <c r="A744" s="199" t="s">
        <v>669</v>
      </c>
      <c r="B744" s="200">
        <v>2</v>
      </c>
      <c r="C744" s="200">
        <v>0</v>
      </c>
      <c r="D744" s="201" t="s">
        <v>282</v>
      </c>
      <c r="E744" s="201" t="s">
        <v>517</v>
      </c>
      <c r="F744" s="200" t="s">
        <v>393</v>
      </c>
      <c r="G744" s="200" t="s">
        <v>434</v>
      </c>
    </row>
    <row r="745" spans="1:7" hidden="1">
      <c r="A745" s="199" t="s">
        <v>670</v>
      </c>
      <c r="B745" s="200">
        <v>-31150</v>
      </c>
      <c r="C745" s="200">
        <v>0</v>
      </c>
      <c r="D745" s="201" t="s">
        <v>440</v>
      </c>
      <c r="E745" s="201" t="s">
        <v>439</v>
      </c>
      <c r="F745" s="200" t="s">
        <v>394</v>
      </c>
      <c r="G745" s="200" t="s">
        <v>434</v>
      </c>
    </row>
    <row r="746" spans="1:7" hidden="1">
      <c r="A746" s="199" t="s">
        <v>671</v>
      </c>
      <c r="B746" s="200">
        <v>93000000</v>
      </c>
      <c r="C746" s="200">
        <v>0</v>
      </c>
      <c r="D746" s="201" t="s">
        <v>437</v>
      </c>
      <c r="E746" s="201" t="s">
        <v>672</v>
      </c>
      <c r="F746" s="200" t="s">
        <v>673</v>
      </c>
      <c r="G746" s="200" t="s">
        <v>434</v>
      </c>
    </row>
    <row r="747" spans="1:7" hidden="1">
      <c r="A747" s="199" t="s">
        <v>674</v>
      </c>
      <c r="B747" s="200">
        <v>130200000</v>
      </c>
      <c r="C747" s="200">
        <v>0</v>
      </c>
      <c r="D747" s="201" t="s">
        <v>437</v>
      </c>
      <c r="E747" s="201" t="s">
        <v>672</v>
      </c>
      <c r="F747" s="200" t="s">
        <v>673</v>
      </c>
      <c r="G747" s="200" t="s">
        <v>434</v>
      </c>
    </row>
    <row r="748" spans="1:7" hidden="1">
      <c r="A748" s="199" t="s">
        <v>675</v>
      </c>
      <c r="B748" s="200">
        <v>-93000000</v>
      </c>
      <c r="C748" s="200">
        <v>0</v>
      </c>
      <c r="D748" s="201" t="s">
        <v>437</v>
      </c>
      <c r="E748" s="201" t="s">
        <v>672</v>
      </c>
      <c r="F748" s="200" t="s">
        <v>673</v>
      </c>
      <c r="G748" s="200" t="s">
        <v>434</v>
      </c>
    </row>
    <row r="749" spans="1:7" hidden="1">
      <c r="A749" s="199" t="s">
        <v>676</v>
      </c>
      <c r="B749" s="200">
        <v>-130200000</v>
      </c>
      <c r="C749" s="200">
        <v>0</v>
      </c>
      <c r="D749" s="201" t="s">
        <v>437</v>
      </c>
      <c r="E749" s="201" t="s">
        <v>672</v>
      </c>
      <c r="F749" s="200" t="s">
        <v>673</v>
      </c>
      <c r="G749" s="200" t="s">
        <v>434</v>
      </c>
    </row>
    <row r="750" spans="1:7">
      <c r="A750" s="199" t="s">
        <v>364</v>
      </c>
      <c r="B750" s="200">
        <v>25735</v>
      </c>
      <c r="C750" s="200">
        <v>0</v>
      </c>
      <c r="D750" s="201" t="s">
        <v>282</v>
      </c>
      <c r="E750" s="201" t="s">
        <v>447</v>
      </c>
      <c r="F750" s="200" t="s">
        <v>394</v>
      </c>
      <c r="G750" s="200" t="s">
        <v>434</v>
      </c>
    </row>
    <row r="751" spans="1:7">
      <c r="A751" s="199" t="s">
        <v>364</v>
      </c>
      <c r="B751" s="200">
        <v>-19191</v>
      </c>
      <c r="C751" s="200">
        <v>0</v>
      </c>
      <c r="D751" s="201" t="s">
        <v>282</v>
      </c>
      <c r="E751" s="201" t="s">
        <v>447</v>
      </c>
      <c r="F751" s="200" t="s">
        <v>397</v>
      </c>
      <c r="G751" s="200" t="s">
        <v>434</v>
      </c>
    </row>
    <row r="752" spans="1:7">
      <c r="A752" s="199" t="s">
        <v>364</v>
      </c>
      <c r="B752" s="200">
        <v>-6544</v>
      </c>
      <c r="C752" s="200">
        <v>0</v>
      </c>
      <c r="D752" s="201" t="s">
        <v>282</v>
      </c>
      <c r="E752" s="201" t="s">
        <v>447</v>
      </c>
      <c r="F752" s="200" t="s">
        <v>393</v>
      </c>
      <c r="G752" s="200" t="s">
        <v>434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394</v>
      </c>
      <c r="G753" s="200" t="s">
        <v>434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441</v>
      </c>
      <c r="G754" s="200" t="s">
        <v>434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394</v>
      </c>
      <c r="G755" s="200" t="s">
        <v>434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393</v>
      </c>
      <c r="G756" s="200" t="s">
        <v>434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413</v>
      </c>
      <c r="G757" s="200" t="s">
        <v>434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403</v>
      </c>
      <c r="G758" s="200" t="s">
        <v>434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441</v>
      </c>
      <c r="G759" s="200" t="s">
        <v>434</v>
      </c>
    </row>
    <row r="760" spans="1:7" hidden="1">
      <c r="A760" s="199" t="s">
        <v>677</v>
      </c>
      <c r="B760" s="200">
        <v>1298800</v>
      </c>
      <c r="C760" s="200">
        <v>0</v>
      </c>
      <c r="D760" s="201" t="s">
        <v>440</v>
      </c>
      <c r="E760" s="201" t="s">
        <v>39</v>
      </c>
      <c r="F760" s="200" t="s">
        <v>394</v>
      </c>
      <c r="G760" s="200" t="s">
        <v>434</v>
      </c>
    </row>
    <row r="761" spans="1:7" hidden="1">
      <c r="A761" s="199" t="s">
        <v>677</v>
      </c>
      <c r="B761" s="200">
        <v>-109565</v>
      </c>
      <c r="C761" s="200">
        <v>0</v>
      </c>
      <c r="D761" s="201" t="s">
        <v>440</v>
      </c>
      <c r="E761" s="201" t="s">
        <v>39</v>
      </c>
      <c r="F761" s="200" t="s">
        <v>397</v>
      </c>
      <c r="G761" s="200" t="s">
        <v>434</v>
      </c>
    </row>
    <row r="762" spans="1:7" hidden="1">
      <c r="A762" s="199" t="s">
        <v>677</v>
      </c>
      <c r="B762" s="200">
        <v>121000</v>
      </c>
      <c r="C762" s="200">
        <v>0</v>
      </c>
      <c r="D762" s="201" t="s">
        <v>440</v>
      </c>
      <c r="E762" s="201" t="s">
        <v>39</v>
      </c>
      <c r="F762" s="200" t="s">
        <v>441</v>
      </c>
      <c r="G762" s="200" t="s">
        <v>434</v>
      </c>
    </row>
    <row r="763" spans="1:7" hidden="1">
      <c r="A763" s="199" t="s">
        <v>677</v>
      </c>
      <c r="B763" s="200">
        <v>-121000</v>
      </c>
      <c r="C763" s="200">
        <v>0</v>
      </c>
      <c r="D763" s="201" t="s">
        <v>437</v>
      </c>
      <c r="E763" s="201" t="s">
        <v>39</v>
      </c>
      <c r="F763" s="200" t="s">
        <v>441</v>
      </c>
      <c r="G763" s="200" t="s">
        <v>434</v>
      </c>
    </row>
    <row r="764" spans="1:7" hidden="1">
      <c r="A764" s="199" t="s">
        <v>677</v>
      </c>
      <c r="B764" s="200">
        <v>121000</v>
      </c>
      <c r="C764" s="200">
        <v>0</v>
      </c>
      <c r="D764" s="201" t="s">
        <v>437</v>
      </c>
      <c r="E764" s="201" t="s">
        <v>39</v>
      </c>
      <c r="F764" s="200" t="s">
        <v>402</v>
      </c>
      <c r="G764" s="200" t="s">
        <v>434</v>
      </c>
    </row>
    <row r="765" spans="1:7">
      <c r="A765" s="199" t="s">
        <v>678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445</v>
      </c>
      <c r="G765" s="200" t="s">
        <v>434</v>
      </c>
    </row>
    <row r="766" spans="1:7">
      <c r="A766" s="199" t="s">
        <v>678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393</v>
      </c>
      <c r="G766" s="200" t="s">
        <v>434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394</v>
      </c>
      <c r="G767" s="200" t="s">
        <v>434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411</v>
      </c>
      <c r="G768" s="200" t="s">
        <v>434</v>
      </c>
    </row>
    <row r="769" spans="1:7" hidden="1">
      <c r="A769" s="199" t="s">
        <v>679</v>
      </c>
      <c r="B769" s="200">
        <v>-26784</v>
      </c>
      <c r="C769" s="200">
        <v>0</v>
      </c>
      <c r="D769" s="201" t="s">
        <v>437</v>
      </c>
      <c r="E769" s="201" t="s">
        <v>320</v>
      </c>
      <c r="F769" s="200" t="s">
        <v>394</v>
      </c>
      <c r="G769" s="200" t="s">
        <v>434</v>
      </c>
    </row>
    <row r="770" spans="1:7" hidden="1">
      <c r="A770" s="199" t="s">
        <v>679</v>
      </c>
      <c r="B770" s="200">
        <v>26784</v>
      </c>
      <c r="C770" s="200">
        <v>0</v>
      </c>
      <c r="D770" s="201" t="s">
        <v>437</v>
      </c>
      <c r="E770" s="201" t="s">
        <v>320</v>
      </c>
      <c r="F770" s="200" t="s">
        <v>402</v>
      </c>
      <c r="G770" s="200" t="s">
        <v>434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394</v>
      </c>
      <c r="G771" s="200" t="s">
        <v>434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441</v>
      </c>
      <c r="G772" s="200" t="s">
        <v>434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394</v>
      </c>
      <c r="G773" s="200" t="s">
        <v>434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445</v>
      </c>
      <c r="G774" s="200" t="s">
        <v>434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408</v>
      </c>
      <c r="G775" s="200" t="s">
        <v>434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393</v>
      </c>
      <c r="G776" s="200" t="s">
        <v>434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403</v>
      </c>
      <c r="G777" s="200" t="s">
        <v>434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441</v>
      </c>
      <c r="G778" s="200" t="s">
        <v>434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411</v>
      </c>
      <c r="G779" s="200" t="s">
        <v>434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442</v>
      </c>
      <c r="E780" s="201" t="s">
        <v>320</v>
      </c>
      <c r="F780" s="200" t="s">
        <v>394</v>
      </c>
      <c r="G780" s="200" t="s">
        <v>434</v>
      </c>
    </row>
    <row r="781" spans="1:7">
      <c r="A781" s="199" t="s">
        <v>680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408</v>
      </c>
      <c r="G781" s="200" t="s">
        <v>434</v>
      </c>
    </row>
    <row r="782" spans="1:7">
      <c r="A782" s="199" t="s">
        <v>680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393</v>
      </c>
      <c r="G782" s="200" t="s">
        <v>434</v>
      </c>
    </row>
    <row r="783" spans="1:7" hidden="1">
      <c r="A783" s="199" t="s">
        <v>681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394</v>
      </c>
      <c r="G783" s="200" t="s">
        <v>434</v>
      </c>
    </row>
    <row r="784" spans="1:7" hidden="1">
      <c r="A784" s="199" t="s">
        <v>681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441</v>
      </c>
      <c r="G784" s="200" t="s">
        <v>434</v>
      </c>
    </row>
    <row r="785" spans="1:7">
      <c r="A785" s="199" t="s">
        <v>681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394</v>
      </c>
      <c r="G785" s="200" t="s">
        <v>434</v>
      </c>
    </row>
    <row r="786" spans="1:7">
      <c r="A786" s="199" t="s">
        <v>681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408</v>
      </c>
      <c r="G786" s="200" t="s">
        <v>434</v>
      </c>
    </row>
    <row r="787" spans="1:7">
      <c r="A787" s="199" t="s">
        <v>681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393</v>
      </c>
      <c r="G787" s="200" t="s">
        <v>434</v>
      </c>
    </row>
    <row r="788" spans="1:7">
      <c r="A788" s="199" t="s">
        <v>681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441</v>
      </c>
      <c r="G788" s="200" t="s">
        <v>434</v>
      </c>
    </row>
    <row r="789" spans="1:7" hidden="1">
      <c r="A789" s="199" t="s">
        <v>682</v>
      </c>
      <c r="B789" s="200">
        <v>1390</v>
      </c>
      <c r="C789" s="200">
        <v>0</v>
      </c>
      <c r="D789" s="201" t="s">
        <v>437</v>
      </c>
      <c r="E789" s="201" t="s">
        <v>324</v>
      </c>
      <c r="F789" s="200" t="s">
        <v>394</v>
      </c>
      <c r="G789" s="200" t="s">
        <v>434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437</v>
      </c>
      <c r="E790" s="201" t="s">
        <v>320</v>
      </c>
      <c r="F790" s="200" t="s">
        <v>394</v>
      </c>
      <c r="G790" s="200" t="s">
        <v>434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437</v>
      </c>
      <c r="E791" s="201" t="s">
        <v>320</v>
      </c>
      <c r="F791" s="200" t="s">
        <v>402</v>
      </c>
      <c r="G791" s="200" t="s">
        <v>434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442</v>
      </c>
      <c r="E792" s="201" t="s">
        <v>320</v>
      </c>
      <c r="F792" s="200" t="s">
        <v>394</v>
      </c>
      <c r="G792" s="200" t="s">
        <v>434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394</v>
      </c>
      <c r="G793" s="200" t="s">
        <v>434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441</v>
      </c>
      <c r="G794" s="200" t="s">
        <v>434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394</v>
      </c>
      <c r="G795" s="200" t="s">
        <v>434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393</v>
      </c>
      <c r="G796" s="200" t="s">
        <v>434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403</v>
      </c>
      <c r="G797" s="200" t="s">
        <v>434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441</v>
      </c>
      <c r="G798" s="200" t="s">
        <v>434</v>
      </c>
    </row>
    <row r="799" spans="1:7" hidden="1">
      <c r="A799" s="199" t="s">
        <v>683</v>
      </c>
      <c r="B799" s="200">
        <v>-21251</v>
      </c>
      <c r="C799" s="200">
        <v>0</v>
      </c>
      <c r="D799" s="201" t="s">
        <v>440</v>
      </c>
      <c r="E799" s="201" t="s">
        <v>320</v>
      </c>
      <c r="F799" s="200" t="s">
        <v>394</v>
      </c>
      <c r="G799" s="200" t="s">
        <v>434</v>
      </c>
    </row>
    <row r="800" spans="1:7" hidden="1">
      <c r="A800" s="199" t="s">
        <v>683</v>
      </c>
      <c r="B800" s="200">
        <v>15000</v>
      </c>
      <c r="C800" s="200">
        <v>0</v>
      </c>
      <c r="D800" s="201" t="s">
        <v>440</v>
      </c>
      <c r="E800" s="201" t="s">
        <v>320</v>
      </c>
      <c r="F800" s="200" t="s">
        <v>441</v>
      </c>
      <c r="G800" s="200" t="s">
        <v>434</v>
      </c>
    </row>
    <row r="801" spans="1:7" hidden="1">
      <c r="A801" s="199" t="s">
        <v>683</v>
      </c>
      <c r="B801" s="200">
        <v>15000</v>
      </c>
      <c r="C801" s="200">
        <v>0</v>
      </c>
      <c r="D801" s="201" t="s">
        <v>437</v>
      </c>
      <c r="E801" s="201" t="s">
        <v>320</v>
      </c>
      <c r="F801" s="200" t="s">
        <v>394</v>
      </c>
      <c r="G801" s="200" t="s">
        <v>434</v>
      </c>
    </row>
    <row r="802" spans="1:7" hidden="1">
      <c r="A802" s="199" t="s">
        <v>683</v>
      </c>
      <c r="B802" s="200">
        <v>-15000</v>
      </c>
      <c r="C802" s="200">
        <v>0</v>
      </c>
      <c r="D802" s="201" t="s">
        <v>437</v>
      </c>
      <c r="E802" s="201" t="s">
        <v>320</v>
      </c>
      <c r="F802" s="200" t="s">
        <v>441</v>
      </c>
      <c r="G802" s="200" t="s">
        <v>434</v>
      </c>
    </row>
    <row r="803" spans="1:7" hidden="1">
      <c r="A803" s="199" t="s">
        <v>683</v>
      </c>
      <c r="B803" s="200">
        <v>-5177</v>
      </c>
      <c r="C803" s="200">
        <v>0</v>
      </c>
      <c r="D803" s="201" t="s">
        <v>442</v>
      </c>
      <c r="E803" s="201" t="s">
        <v>320</v>
      </c>
      <c r="F803" s="200" t="s">
        <v>394</v>
      </c>
      <c r="G803" s="200" t="s">
        <v>434</v>
      </c>
    </row>
    <row r="804" spans="1:7" hidden="1">
      <c r="A804" s="199" t="s">
        <v>683</v>
      </c>
      <c r="B804" s="200">
        <v>-4731</v>
      </c>
      <c r="C804" s="200">
        <v>0</v>
      </c>
      <c r="D804" s="201" t="s">
        <v>545</v>
      </c>
      <c r="E804" s="201" t="s">
        <v>320</v>
      </c>
      <c r="F804" s="200" t="s">
        <v>394</v>
      </c>
      <c r="G804" s="200" t="s">
        <v>434</v>
      </c>
    </row>
    <row r="805" spans="1:7" hidden="1">
      <c r="A805" s="199" t="s">
        <v>684</v>
      </c>
      <c r="B805" s="200">
        <v>-627</v>
      </c>
      <c r="C805" s="200">
        <v>0</v>
      </c>
      <c r="D805" s="201" t="s">
        <v>440</v>
      </c>
      <c r="E805" s="201" t="s">
        <v>324</v>
      </c>
      <c r="F805" s="200" t="s">
        <v>394</v>
      </c>
      <c r="G805" s="200" t="s">
        <v>434</v>
      </c>
    </row>
    <row r="806" spans="1:7" hidden="1">
      <c r="A806" s="199" t="s">
        <v>685</v>
      </c>
      <c r="B806" s="200">
        <v>627</v>
      </c>
      <c r="C806" s="200">
        <v>0</v>
      </c>
      <c r="D806" s="201" t="s">
        <v>440</v>
      </c>
      <c r="E806" s="201" t="s">
        <v>324</v>
      </c>
      <c r="F806" s="200" t="s">
        <v>394</v>
      </c>
      <c r="G806" s="200" t="s">
        <v>434</v>
      </c>
    </row>
    <row r="807" spans="1:7" hidden="1">
      <c r="A807" s="199" t="s">
        <v>686</v>
      </c>
      <c r="B807" s="200">
        <v>627</v>
      </c>
      <c r="C807" s="200">
        <v>0</v>
      </c>
      <c r="D807" s="201" t="s">
        <v>440</v>
      </c>
      <c r="E807" s="201" t="s">
        <v>324</v>
      </c>
      <c r="F807" s="200" t="s">
        <v>394</v>
      </c>
      <c r="G807" s="200" t="s">
        <v>434</v>
      </c>
    </row>
    <row r="808" spans="1:7" hidden="1">
      <c r="A808" s="199" t="s">
        <v>402</v>
      </c>
      <c r="B808" s="200">
        <v>408683</v>
      </c>
      <c r="C808" s="200">
        <v>0</v>
      </c>
      <c r="D808" s="201" t="s">
        <v>440</v>
      </c>
      <c r="E808" s="201" t="s">
        <v>317</v>
      </c>
      <c r="F808" s="200" t="s">
        <v>394</v>
      </c>
      <c r="G808" s="200" t="s">
        <v>434</v>
      </c>
    </row>
    <row r="809" spans="1:7" hidden="1">
      <c r="A809" s="199" t="s">
        <v>402</v>
      </c>
      <c r="B809" s="200">
        <v>-94370</v>
      </c>
      <c r="C809" s="200">
        <v>0</v>
      </c>
      <c r="D809" s="201" t="s">
        <v>440</v>
      </c>
      <c r="E809" s="201" t="s">
        <v>317</v>
      </c>
      <c r="F809" s="200" t="s">
        <v>673</v>
      </c>
      <c r="G809" s="200" t="s">
        <v>434</v>
      </c>
    </row>
    <row r="810" spans="1:7" hidden="1">
      <c r="A810" s="199" t="s">
        <v>402</v>
      </c>
      <c r="B810" s="200">
        <v>-126440</v>
      </c>
      <c r="C810" s="200">
        <v>0</v>
      </c>
      <c r="D810" s="201" t="s">
        <v>440</v>
      </c>
      <c r="E810" s="201" t="s">
        <v>317</v>
      </c>
      <c r="F810" s="200" t="s">
        <v>397</v>
      </c>
      <c r="G810" s="200" t="s">
        <v>434</v>
      </c>
    </row>
    <row r="811" spans="1:7" hidden="1">
      <c r="A811" s="199" t="s">
        <v>402</v>
      </c>
      <c r="B811" s="200">
        <v>-48418</v>
      </c>
      <c r="C811" s="200">
        <v>0</v>
      </c>
      <c r="D811" s="201" t="s">
        <v>440</v>
      </c>
      <c r="E811" s="201" t="s">
        <v>317</v>
      </c>
      <c r="F811" s="200" t="s">
        <v>393</v>
      </c>
      <c r="G811" s="200" t="s">
        <v>434</v>
      </c>
    </row>
    <row r="812" spans="1:7" hidden="1">
      <c r="A812" s="199" t="s">
        <v>402</v>
      </c>
      <c r="B812" s="200">
        <v>-94260</v>
      </c>
      <c r="C812" s="200">
        <v>0</v>
      </c>
      <c r="D812" s="201" t="s">
        <v>440</v>
      </c>
      <c r="E812" s="201" t="s">
        <v>317</v>
      </c>
      <c r="F812" s="200" t="s">
        <v>410</v>
      </c>
      <c r="G812" s="200" t="s">
        <v>434</v>
      </c>
    </row>
    <row r="813" spans="1:7" hidden="1">
      <c r="A813" s="199" t="s">
        <v>402</v>
      </c>
      <c r="B813" s="200">
        <v>78422</v>
      </c>
      <c r="C813" s="200">
        <v>0</v>
      </c>
      <c r="D813" s="201" t="s">
        <v>440</v>
      </c>
      <c r="E813" s="201" t="s">
        <v>317</v>
      </c>
      <c r="F813" s="200" t="s">
        <v>407</v>
      </c>
      <c r="G813" s="200" t="s">
        <v>434</v>
      </c>
    </row>
    <row r="814" spans="1:7" hidden="1">
      <c r="A814" s="199" t="s">
        <v>402</v>
      </c>
      <c r="B814" s="200">
        <v>-194600</v>
      </c>
      <c r="C814" s="200">
        <v>0</v>
      </c>
      <c r="D814" s="201" t="s">
        <v>440</v>
      </c>
      <c r="E814" s="201" t="s">
        <v>317</v>
      </c>
      <c r="F814" s="200" t="s">
        <v>441</v>
      </c>
      <c r="G814" s="200" t="s">
        <v>434</v>
      </c>
    </row>
    <row r="815" spans="1:7" hidden="1">
      <c r="A815" s="199" t="s">
        <v>402</v>
      </c>
      <c r="B815" s="200">
        <v>-110224</v>
      </c>
      <c r="C815" s="200">
        <v>0</v>
      </c>
      <c r="D815" s="201" t="s">
        <v>440</v>
      </c>
      <c r="E815" s="201" t="s">
        <v>317</v>
      </c>
      <c r="F815" s="200" t="s">
        <v>411</v>
      </c>
      <c r="G815" s="200" t="s">
        <v>434</v>
      </c>
    </row>
    <row r="816" spans="1:7" hidden="1">
      <c r="A816" s="199" t="s">
        <v>402</v>
      </c>
      <c r="B816" s="200">
        <v>459400</v>
      </c>
      <c r="C816" s="200">
        <v>0</v>
      </c>
      <c r="D816" s="201" t="s">
        <v>440</v>
      </c>
      <c r="E816" s="201" t="s">
        <v>317</v>
      </c>
      <c r="F816" s="200" t="s">
        <v>402</v>
      </c>
      <c r="G816" s="200" t="s">
        <v>434</v>
      </c>
    </row>
    <row r="817" spans="1:7" hidden="1">
      <c r="A817" s="199" t="s">
        <v>402</v>
      </c>
      <c r="B817" s="200">
        <v>-96600</v>
      </c>
      <c r="C817" s="200">
        <v>0</v>
      </c>
      <c r="D817" s="201" t="s">
        <v>437</v>
      </c>
      <c r="E817" s="201" t="s">
        <v>317</v>
      </c>
      <c r="F817" s="200" t="s">
        <v>394</v>
      </c>
      <c r="G817" s="200" t="s">
        <v>434</v>
      </c>
    </row>
    <row r="818" spans="1:7" hidden="1">
      <c r="A818" s="199" t="s">
        <v>402</v>
      </c>
      <c r="B818" s="200">
        <v>96600</v>
      </c>
      <c r="C818" s="200">
        <v>0</v>
      </c>
      <c r="D818" s="201" t="s">
        <v>437</v>
      </c>
      <c r="E818" s="201" t="s">
        <v>317</v>
      </c>
      <c r="F818" s="200" t="s">
        <v>441</v>
      </c>
      <c r="G818" s="200" t="s">
        <v>434</v>
      </c>
    </row>
    <row r="819" spans="1:7" hidden="1">
      <c r="A819" s="199" t="s">
        <v>402</v>
      </c>
      <c r="B819" s="200">
        <v>-31562</v>
      </c>
      <c r="C819" s="200">
        <v>0</v>
      </c>
      <c r="D819" s="201" t="s">
        <v>442</v>
      </c>
      <c r="E819" s="201" t="s">
        <v>317</v>
      </c>
      <c r="F819" s="200" t="s">
        <v>394</v>
      </c>
      <c r="G819" s="200" t="s">
        <v>434</v>
      </c>
    </row>
    <row r="820" spans="1:7" hidden="1">
      <c r="A820" s="199" t="s">
        <v>402</v>
      </c>
      <c r="B820" s="200">
        <v>-34008</v>
      </c>
      <c r="C820" s="200">
        <v>0</v>
      </c>
      <c r="D820" s="201" t="s">
        <v>442</v>
      </c>
      <c r="E820" s="201" t="s">
        <v>317</v>
      </c>
      <c r="F820" s="200" t="s">
        <v>397</v>
      </c>
      <c r="G820" s="200" t="s">
        <v>434</v>
      </c>
    </row>
    <row r="821" spans="1:7" hidden="1">
      <c r="A821" s="199" t="s">
        <v>402</v>
      </c>
      <c r="B821" s="200">
        <v>98000</v>
      </c>
      <c r="C821" s="200">
        <v>0</v>
      </c>
      <c r="D821" s="201" t="s">
        <v>442</v>
      </c>
      <c r="E821" s="201" t="s">
        <v>317</v>
      </c>
      <c r="F821" s="200" t="s">
        <v>441</v>
      </c>
      <c r="G821" s="200" t="s">
        <v>434</v>
      </c>
    </row>
    <row r="822" spans="1:7" hidden="1">
      <c r="A822" s="199" t="s">
        <v>402</v>
      </c>
      <c r="B822" s="200">
        <v>38525</v>
      </c>
      <c r="C822" s="200">
        <v>0</v>
      </c>
      <c r="D822" s="201" t="s">
        <v>545</v>
      </c>
      <c r="E822" s="201" t="s">
        <v>317</v>
      </c>
      <c r="F822" s="200" t="s">
        <v>394</v>
      </c>
      <c r="G822" s="200" t="s">
        <v>434</v>
      </c>
    </row>
    <row r="823" spans="1:7" hidden="1">
      <c r="A823" s="199" t="s">
        <v>402</v>
      </c>
      <c r="B823" s="200">
        <v>-985</v>
      </c>
      <c r="C823" s="200">
        <v>0</v>
      </c>
      <c r="D823" s="201" t="s">
        <v>545</v>
      </c>
      <c r="E823" s="201" t="s">
        <v>317</v>
      </c>
      <c r="F823" s="200" t="s">
        <v>397</v>
      </c>
      <c r="G823" s="200" t="s">
        <v>434</v>
      </c>
    </row>
    <row r="824" spans="1:7" hidden="1">
      <c r="A824" s="199" t="s">
        <v>402</v>
      </c>
      <c r="B824" s="200">
        <v>-37540</v>
      </c>
      <c r="C824" s="200">
        <v>0</v>
      </c>
      <c r="D824" s="201" t="s">
        <v>545</v>
      </c>
      <c r="E824" s="201" t="s">
        <v>317</v>
      </c>
      <c r="F824" s="200" t="s">
        <v>411</v>
      </c>
      <c r="G824" s="200" t="s">
        <v>434</v>
      </c>
    </row>
    <row r="825" spans="1:7" hidden="1">
      <c r="A825" s="199" t="s">
        <v>402</v>
      </c>
      <c r="B825" s="200">
        <v>-186800</v>
      </c>
      <c r="C825" s="200">
        <v>0</v>
      </c>
      <c r="D825" s="201" t="s">
        <v>474</v>
      </c>
      <c r="E825" s="201" t="s">
        <v>317</v>
      </c>
      <c r="F825" s="200" t="s">
        <v>394</v>
      </c>
      <c r="G825" s="200" t="s">
        <v>434</v>
      </c>
    </row>
    <row r="826" spans="1:7" hidden="1">
      <c r="A826" s="199" t="s">
        <v>401</v>
      </c>
      <c r="B826" s="200">
        <v>-11942</v>
      </c>
      <c r="C826" s="200">
        <v>0</v>
      </c>
      <c r="D826" s="201" t="s">
        <v>442</v>
      </c>
      <c r="E826" s="201" t="s">
        <v>320</v>
      </c>
      <c r="F826" s="200" t="s">
        <v>394</v>
      </c>
      <c r="G826" s="200" t="s">
        <v>434</v>
      </c>
    </row>
    <row r="827" spans="1:7">
      <c r="A827" s="199" t="s">
        <v>365</v>
      </c>
      <c r="B827" s="200">
        <v>91590</v>
      </c>
      <c r="C827" s="200">
        <v>0</v>
      </c>
      <c r="D827" s="201" t="s">
        <v>282</v>
      </c>
      <c r="E827" s="201" t="s">
        <v>687</v>
      </c>
      <c r="F827" s="200" t="s">
        <v>394</v>
      </c>
      <c r="G827" s="200" t="s">
        <v>434</v>
      </c>
    </row>
    <row r="828" spans="1:7">
      <c r="A828" s="199" t="s">
        <v>365</v>
      </c>
      <c r="B828" s="200">
        <v>-91590</v>
      </c>
      <c r="C828" s="200">
        <v>0</v>
      </c>
      <c r="D828" s="201" t="s">
        <v>282</v>
      </c>
      <c r="E828" s="201" t="s">
        <v>687</v>
      </c>
      <c r="F828" s="200" t="s">
        <v>393</v>
      </c>
      <c r="G828" s="200" t="s">
        <v>434</v>
      </c>
    </row>
    <row r="829" spans="1:7" hidden="1">
      <c r="A829" s="199" t="s">
        <v>433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394</v>
      </c>
      <c r="G829" s="200" t="s">
        <v>688</v>
      </c>
    </row>
    <row r="830" spans="1:7">
      <c r="A830" s="199" t="s">
        <v>433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394</v>
      </c>
      <c r="G830" s="200" t="s">
        <v>688</v>
      </c>
    </row>
    <row r="831" spans="1:7" hidden="1">
      <c r="A831" s="199" t="s">
        <v>689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394</v>
      </c>
      <c r="G831" s="200" t="s">
        <v>688</v>
      </c>
    </row>
    <row r="832" spans="1:7">
      <c r="A832" s="199" t="s">
        <v>689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394</v>
      </c>
      <c r="G832" s="200" t="s">
        <v>688</v>
      </c>
    </row>
    <row r="833" spans="1:7" hidden="1">
      <c r="A833" s="199" t="s">
        <v>438</v>
      </c>
      <c r="B833" s="200">
        <v>180</v>
      </c>
      <c r="C833" s="200">
        <v>0</v>
      </c>
      <c r="D833" s="201" t="s">
        <v>283</v>
      </c>
      <c r="E833" s="201" t="s">
        <v>439</v>
      </c>
      <c r="F833" s="200" t="s">
        <v>394</v>
      </c>
      <c r="G833" s="200" t="s">
        <v>688</v>
      </c>
    </row>
    <row r="834" spans="1:7">
      <c r="A834" s="199" t="s">
        <v>438</v>
      </c>
      <c r="B834" s="200">
        <v>-180</v>
      </c>
      <c r="C834" s="200">
        <v>0</v>
      </c>
      <c r="D834" s="201" t="s">
        <v>282</v>
      </c>
      <c r="E834" s="201" t="s">
        <v>439</v>
      </c>
      <c r="F834" s="200" t="s">
        <v>394</v>
      </c>
      <c r="G834" s="200" t="s">
        <v>688</v>
      </c>
    </row>
    <row r="835" spans="1:7">
      <c r="A835" s="199" t="s">
        <v>438</v>
      </c>
      <c r="B835" s="200">
        <v>359</v>
      </c>
      <c r="C835" s="200">
        <v>0</v>
      </c>
      <c r="D835" s="201" t="s">
        <v>282</v>
      </c>
      <c r="E835" s="201" t="s">
        <v>439</v>
      </c>
      <c r="F835" s="200" t="s">
        <v>393</v>
      </c>
      <c r="G835" s="200" t="s">
        <v>688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440</v>
      </c>
      <c r="E836" s="201" t="s">
        <v>317</v>
      </c>
      <c r="F836" s="200" t="s">
        <v>394</v>
      </c>
      <c r="G836" s="200" t="s">
        <v>688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440</v>
      </c>
      <c r="E837" s="201" t="s">
        <v>317</v>
      </c>
      <c r="F837" s="200" t="s">
        <v>441</v>
      </c>
      <c r="G837" s="200" t="s">
        <v>688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394</v>
      </c>
      <c r="G838" s="200" t="s">
        <v>688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413</v>
      </c>
      <c r="G839" s="200" t="s">
        <v>688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441</v>
      </c>
      <c r="G840" s="200" t="s">
        <v>688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437</v>
      </c>
      <c r="E841" s="201" t="s">
        <v>317</v>
      </c>
      <c r="F841" s="200" t="s">
        <v>394</v>
      </c>
      <c r="G841" s="200" t="s">
        <v>688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437</v>
      </c>
      <c r="E842" s="201" t="s">
        <v>317</v>
      </c>
      <c r="F842" s="200" t="s">
        <v>441</v>
      </c>
      <c r="G842" s="200" t="s">
        <v>688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394</v>
      </c>
      <c r="G843" s="200" t="s">
        <v>688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393</v>
      </c>
      <c r="G844" s="200" t="s">
        <v>688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413</v>
      </c>
      <c r="G845" s="200" t="s">
        <v>688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403</v>
      </c>
      <c r="G846" s="200" t="s">
        <v>688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441</v>
      </c>
      <c r="G847" s="200" t="s">
        <v>688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411</v>
      </c>
      <c r="G848" s="200" t="s">
        <v>688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442</v>
      </c>
      <c r="E849" s="201" t="s">
        <v>317</v>
      </c>
      <c r="F849" s="200" t="s">
        <v>394</v>
      </c>
      <c r="G849" s="200" t="s">
        <v>688</v>
      </c>
    </row>
    <row r="850" spans="1:7" hidden="1">
      <c r="A850" s="199" t="s">
        <v>443</v>
      </c>
      <c r="B850" s="200">
        <v>333986</v>
      </c>
      <c r="C850" s="200">
        <v>0</v>
      </c>
      <c r="D850" s="201" t="s">
        <v>440</v>
      </c>
      <c r="E850" s="201" t="s">
        <v>39</v>
      </c>
      <c r="F850" s="200" t="s">
        <v>394</v>
      </c>
      <c r="G850" s="200" t="s">
        <v>688</v>
      </c>
    </row>
    <row r="851" spans="1:7">
      <c r="A851" s="199" t="s">
        <v>444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394</v>
      </c>
      <c r="G851" s="200" t="s">
        <v>688</v>
      </c>
    </row>
    <row r="852" spans="1:7">
      <c r="A852" s="199" t="s">
        <v>444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445</v>
      </c>
      <c r="G852" s="200" t="s">
        <v>688</v>
      </c>
    </row>
    <row r="853" spans="1:7">
      <c r="A853" s="199" t="s">
        <v>444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393</v>
      </c>
      <c r="G853" s="200" t="s">
        <v>688</v>
      </c>
    </row>
    <row r="854" spans="1:7">
      <c r="A854" s="199" t="s">
        <v>446</v>
      </c>
      <c r="B854" s="200">
        <v>-8460</v>
      </c>
      <c r="C854" s="200">
        <v>0</v>
      </c>
      <c r="D854" s="201" t="s">
        <v>282</v>
      </c>
      <c r="E854" s="201" t="s">
        <v>447</v>
      </c>
      <c r="F854" s="200" t="s">
        <v>394</v>
      </c>
      <c r="G854" s="200" t="s">
        <v>688</v>
      </c>
    </row>
    <row r="855" spans="1:7">
      <c r="A855" s="199" t="s">
        <v>446</v>
      </c>
      <c r="B855" s="200">
        <v>8460</v>
      </c>
      <c r="C855" s="200">
        <v>0</v>
      </c>
      <c r="D855" s="201" t="s">
        <v>282</v>
      </c>
      <c r="E855" s="201" t="s">
        <v>447</v>
      </c>
      <c r="F855" s="200" t="s">
        <v>397</v>
      </c>
      <c r="G855" s="200" t="s">
        <v>688</v>
      </c>
    </row>
    <row r="856" spans="1:7">
      <c r="A856" s="199" t="s">
        <v>448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394</v>
      </c>
      <c r="G856" s="200" t="s">
        <v>688</v>
      </c>
    </row>
    <row r="857" spans="1:7">
      <c r="A857" s="199" t="s">
        <v>448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449</v>
      </c>
      <c r="G857" s="200" t="s">
        <v>688</v>
      </c>
    </row>
    <row r="858" spans="1:7" hidden="1">
      <c r="A858" s="199" t="s">
        <v>399</v>
      </c>
      <c r="B858" s="200">
        <v>1615</v>
      </c>
      <c r="C858" s="200">
        <v>0</v>
      </c>
      <c r="D858" s="201" t="s">
        <v>437</v>
      </c>
      <c r="E858" s="201" t="s">
        <v>317</v>
      </c>
      <c r="F858" s="200" t="s">
        <v>394</v>
      </c>
      <c r="G858" s="200" t="s">
        <v>688</v>
      </c>
    </row>
    <row r="859" spans="1:7" hidden="1">
      <c r="A859" s="199" t="s">
        <v>399</v>
      </c>
      <c r="B859" s="200">
        <v>-1615</v>
      </c>
      <c r="C859" s="200">
        <v>0</v>
      </c>
      <c r="D859" s="201" t="s">
        <v>437</v>
      </c>
      <c r="E859" s="201" t="s">
        <v>317</v>
      </c>
      <c r="F859" s="200" t="s">
        <v>441</v>
      </c>
      <c r="G859" s="200" t="s">
        <v>688</v>
      </c>
    </row>
    <row r="860" spans="1:7">
      <c r="A860" s="199" t="s">
        <v>399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394</v>
      </c>
      <c r="G860" s="200" t="s">
        <v>688</v>
      </c>
    </row>
    <row r="861" spans="1:7">
      <c r="A861" s="199" t="s">
        <v>399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408</v>
      </c>
      <c r="G861" s="200" t="s">
        <v>688</v>
      </c>
    </row>
    <row r="862" spans="1:7">
      <c r="A862" s="199" t="s">
        <v>399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393</v>
      </c>
      <c r="G862" s="200" t="s">
        <v>688</v>
      </c>
    </row>
    <row r="863" spans="1:7">
      <c r="A863" s="199" t="s">
        <v>399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413</v>
      </c>
      <c r="G863" s="200" t="s">
        <v>688</v>
      </c>
    </row>
    <row r="864" spans="1:7">
      <c r="A864" s="199" t="s">
        <v>399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441</v>
      </c>
      <c r="G864" s="200" t="s">
        <v>688</v>
      </c>
    </row>
    <row r="865" spans="1:7">
      <c r="A865" s="199" t="s">
        <v>399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449</v>
      </c>
      <c r="G865" s="200" t="s">
        <v>688</v>
      </c>
    </row>
    <row r="866" spans="1:7" hidden="1">
      <c r="A866" s="199" t="s">
        <v>399</v>
      </c>
      <c r="B866" s="200">
        <v>154</v>
      </c>
      <c r="C866" s="200">
        <v>0</v>
      </c>
      <c r="D866" s="201" t="s">
        <v>442</v>
      </c>
      <c r="E866" s="201" t="s">
        <v>317</v>
      </c>
      <c r="F866" s="200" t="s">
        <v>394</v>
      </c>
      <c r="G866" s="200" t="s">
        <v>688</v>
      </c>
    </row>
    <row r="867" spans="1:7">
      <c r="A867" s="199" t="s">
        <v>450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408</v>
      </c>
      <c r="G867" s="200" t="s">
        <v>688</v>
      </c>
    </row>
    <row r="868" spans="1:7">
      <c r="A868" s="199" t="s">
        <v>450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393</v>
      </c>
      <c r="G868" s="200" t="s">
        <v>688</v>
      </c>
    </row>
    <row r="869" spans="1:7">
      <c r="A869" s="199" t="s">
        <v>451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408</v>
      </c>
      <c r="G869" s="200" t="s">
        <v>688</v>
      </c>
    </row>
    <row r="870" spans="1:7">
      <c r="A870" s="199" t="s">
        <v>451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393</v>
      </c>
      <c r="G870" s="200" t="s">
        <v>688</v>
      </c>
    </row>
    <row r="871" spans="1:7" hidden="1">
      <c r="A871" s="199" t="s">
        <v>452</v>
      </c>
      <c r="B871" s="200">
        <v>2552</v>
      </c>
      <c r="C871" s="200">
        <v>0</v>
      </c>
      <c r="D871" s="201" t="s">
        <v>442</v>
      </c>
      <c r="E871" s="201" t="s">
        <v>317</v>
      </c>
      <c r="F871" s="200" t="s">
        <v>394</v>
      </c>
      <c r="G871" s="200" t="s">
        <v>688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394</v>
      </c>
      <c r="G872" s="200" t="s">
        <v>688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408</v>
      </c>
      <c r="G873" s="200" t="s">
        <v>688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394</v>
      </c>
      <c r="G874" s="200" t="s">
        <v>688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408</v>
      </c>
      <c r="G875" s="200" t="s">
        <v>688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442</v>
      </c>
      <c r="E876" s="201" t="s">
        <v>320</v>
      </c>
      <c r="F876" s="200" t="s">
        <v>394</v>
      </c>
      <c r="G876" s="200" t="s">
        <v>688</v>
      </c>
    </row>
    <row r="877" spans="1:7" hidden="1">
      <c r="A877" s="199" t="s">
        <v>453</v>
      </c>
      <c r="B877" s="200">
        <v>643</v>
      </c>
      <c r="C877" s="200">
        <v>0</v>
      </c>
      <c r="D877" s="201" t="s">
        <v>437</v>
      </c>
      <c r="E877" s="201" t="s">
        <v>324</v>
      </c>
      <c r="F877" s="200" t="s">
        <v>394</v>
      </c>
      <c r="G877" s="200" t="s">
        <v>688</v>
      </c>
    </row>
    <row r="878" spans="1:7" hidden="1">
      <c r="A878" s="199" t="s">
        <v>454</v>
      </c>
      <c r="B878" s="200">
        <v>-643</v>
      </c>
      <c r="C878" s="200">
        <v>0</v>
      </c>
      <c r="D878" s="201" t="s">
        <v>437</v>
      </c>
      <c r="E878" s="201" t="s">
        <v>324</v>
      </c>
      <c r="F878" s="200" t="s">
        <v>394</v>
      </c>
      <c r="G878" s="200" t="s">
        <v>688</v>
      </c>
    </row>
    <row r="879" spans="1:7" hidden="1">
      <c r="A879" s="199" t="s">
        <v>455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394</v>
      </c>
      <c r="G879" s="200" t="s">
        <v>688</v>
      </c>
    </row>
    <row r="880" spans="1:7" hidden="1">
      <c r="A880" s="199" t="s">
        <v>455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408</v>
      </c>
      <c r="G880" s="200" t="s">
        <v>688</v>
      </c>
    </row>
    <row r="881" spans="1:7">
      <c r="A881" s="199" t="s">
        <v>455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394</v>
      </c>
      <c r="G881" s="200" t="s">
        <v>688</v>
      </c>
    </row>
    <row r="882" spans="1:7">
      <c r="A882" s="199" t="s">
        <v>455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408</v>
      </c>
      <c r="G882" s="200" t="s">
        <v>688</v>
      </c>
    </row>
    <row r="883" spans="1:7" hidden="1">
      <c r="A883" s="199" t="s">
        <v>456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394</v>
      </c>
      <c r="G883" s="200" t="s">
        <v>688</v>
      </c>
    </row>
    <row r="884" spans="1:7" hidden="1">
      <c r="A884" s="199" t="s">
        <v>456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408</v>
      </c>
      <c r="G884" s="200" t="s">
        <v>688</v>
      </c>
    </row>
    <row r="885" spans="1:7">
      <c r="A885" s="199" t="s">
        <v>456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394</v>
      </c>
      <c r="G885" s="200" t="s">
        <v>688</v>
      </c>
    </row>
    <row r="886" spans="1:7">
      <c r="A886" s="199" t="s">
        <v>456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408</v>
      </c>
      <c r="G886" s="200" t="s">
        <v>688</v>
      </c>
    </row>
    <row r="887" spans="1:7">
      <c r="A887" s="199" t="s">
        <v>457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394</v>
      </c>
      <c r="G887" s="200" t="s">
        <v>688</v>
      </c>
    </row>
    <row r="888" spans="1:7">
      <c r="A888" s="199" t="s">
        <v>457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393</v>
      </c>
      <c r="G888" s="200" t="s">
        <v>688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394</v>
      </c>
      <c r="G889" s="200" t="s">
        <v>688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397</v>
      </c>
      <c r="G890" s="200" t="s">
        <v>688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413</v>
      </c>
      <c r="G891" s="200" t="s">
        <v>688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441</v>
      </c>
      <c r="G892" s="200" t="s">
        <v>688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394</v>
      </c>
      <c r="G893" s="200" t="s">
        <v>688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445</v>
      </c>
      <c r="G894" s="200" t="s">
        <v>688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408</v>
      </c>
      <c r="G895" s="200" t="s">
        <v>688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393</v>
      </c>
      <c r="G896" s="200" t="s">
        <v>688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413</v>
      </c>
      <c r="G897" s="200" t="s">
        <v>688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403</v>
      </c>
      <c r="G898" s="200" t="s">
        <v>688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441</v>
      </c>
      <c r="G899" s="200" t="s">
        <v>688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449</v>
      </c>
      <c r="G900" s="200" t="s">
        <v>688</v>
      </c>
    </row>
    <row r="901" spans="1:7">
      <c r="A901" s="199" t="s">
        <v>458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394</v>
      </c>
      <c r="G901" s="200" t="s">
        <v>688</v>
      </c>
    </row>
    <row r="902" spans="1:7">
      <c r="A902" s="199" t="s">
        <v>458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408</v>
      </c>
      <c r="G902" s="200" t="s">
        <v>688</v>
      </c>
    </row>
    <row r="903" spans="1:7">
      <c r="A903" s="199" t="s">
        <v>459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394</v>
      </c>
      <c r="G903" s="200" t="s">
        <v>688</v>
      </c>
    </row>
    <row r="904" spans="1:7">
      <c r="A904" s="199" t="s">
        <v>459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408</v>
      </c>
      <c r="G904" s="200" t="s">
        <v>688</v>
      </c>
    </row>
    <row r="905" spans="1:7">
      <c r="A905" s="199" t="s">
        <v>460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394</v>
      </c>
      <c r="G905" s="200" t="s">
        <v>688</v>
      </c>
    </row>
    <row r="906" spans="1:7">
      <c r="A906" s="199" t="s">
        <v>460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445</v>
      </c>
      <c r="G906" s="200" t="s">
        <v>688</v>
      </c>
    </row>
    <row r="907" spans="1:7">
      <c r="A907" s="199" t="s">
        <v>460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397</v>
      </c>
      <c r="G907" s="200" t="s">
        <v>688</v>
      </c>
    </row>
    <row r="908" spans="1:7">
      <c r="A908" s="199" t="s">
        <v>460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393</v>
      </c>
      <c r="G908" s="200" t="s">
        <v>688</v>
      </c>
    </row>
    <row r="909" spans="1:7">
      <c r="A909" s="199" t="s">
        <v>461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394</v>
      </c>
      <c r="G909" s="200" t="s">
        <v>688</v>
      </c>
    </row>
    <row r="910" spans="1:7">
      <c r="A910" s="199" t="s">
        <v>461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445</v>
      </c>
      <c r="G910" s="200" t="s">
        <v>688</v>
      </c>
    </row>
    <row r="911" spans="1:7">
      <c r="A911" s="199" t="s">
        <v>461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393</v>
      </c>
      <c r="G911" s="200" t="s">
        <v>688</v>
      </c>
    </row>
    <row r="912" spans="1:7">
      <c r="A912" s="199" t="s">
        <v>465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394</v>
      </c>
      <c r="G912" s="200" t="s">
        <v>688</v>
      </c>
    </row>
    <row r="913" spans="1:7">
      <c r="A913" s="199" t="s">
        <v>465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445</v>
      </c>
      <c r="G913" s="200" t="s">
        <v>688</v>
      </c>
    </row>
    <row r="914" spans="1:7">
      <c r="A914" s="199" t="s">
        <v>465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393</v>
      </c>
      <c r="G914" s="200" t="s">
        <v>688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394</v>
      </c>
      <c r="G915" s="200" t="s">
        <v>688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393</v>
      </c>
      <c r="G916" s="200" t="s">
        <v>688</v>
      </c>
    </row>
    <row r="917" spans="1:7" hidden="1">
      <c r="A917" s="199" t="s">
        <v>471</v>
      </c>
      <c r="B917" s="200">
        <v>20000</v>
      </c>
      <c r="C917" s="200">
        <v>0</v>
      </c>
      <c r="D917" s="201" t="s">
        <v>463</v>
      </c>
      <c r="E917" s="201" t="s">
        <v>464</v>
      </c>
      <c r="F917" s="200" t="s">
        <v>468</v>
      </c>
      <c r="G917" s="200" t="s">
        <v>688</v>
      </c>
    </row>
    <row r="918" spans="1:7" hidden="1">
      <c r="A918" s="199" t="s">
        <v>471</v>
      </c>
      <c r="B918" s="200">
        <v>-90000</v>
      </c>
      <c r="C918" s="200">
        <v>0</v>
      </c>
      <c r="D918" s="201" t="s">
        <v>463</v>
      </c>
      <c r="E918" s="201" t="s">
        <v>464</v>
      </c>
      <c r="F918" s="200" t="s">
        <v>397</v>
      </c>
      <c r="G918" s="200" t="s">
        <v>688</v>
      </c>
    </row>
    <row r="919" spans="1:7" hidden="1">
      <c r="A919" s="199" t="s">
        <v>471</v>
      </c>
      <c r="B919" s="200">
        <v>70000</v>
      </c>
      <c r="C919" s="200">
        <v>0</v>
      </c>
      <c r="D919" s="201" t="s">
        <v>463</v>
      </c>
      <c r="E919" s="201" t="s">
        <v>464</v>
      </c>
      <c r="F919" s="200" t="s">
        <v>469</v>
      </c>
      <c r="G919" s="200" t="s">
        <v>688</v>
      </c>
    </row>
    <row r="920" spans="1:7" hidden="1">
      <c r="A920" s="199" t="s">
        <v>472</v>
      </c>
      <c r="B920" s="200">
        <v>-1100000</v>
      </c>
      <c r="C920" s="200">
        <v>0</v>
      </c>
      <c r="D920" s="201" t="s">
        <v>463</v>
      </c>
      <c r="E920" s="201" t="s">
        <v>464</v>
      </c>
      <c r="F920" s="200" t="s">
        <v>397</v>
      </c>
      <c r="G920" s="200" t="s">
        <v>688</v>
      </c>
    </row>
    <row r="921" spans="1:7" hidden="1">
      <c r="A921" s="199" t="s">
        <v>472</v>
      </c>
      <c r="B921" s="200">
        <v>950000</v>
      </c>
      <c r="C921" s="200">
        <v>0</v>
      </c>
      <c r="D921" s="201" t="s">
        <v>463</v>
      </c>
      <c r="E921" s="201" t="s">
        <v>464</v>
      </c>
      <c r="F921" s="200" t="s">
        <v>413</v>
      </c>
      <c r="G921" s="200" t="s">
        <v>688</v>
      </c>
    </row>
    <row r="922" spans="1:7" hidden="1">
      <c r="A922" s="199" t="s">
        <v>472</v>
      </c>
      <c r="B922" s="200">
        <v>150000</v>
      </c>
      <c r="C922" s="200">
        <v>0</v>
      </c>
      <c r="D922" s="201" t="s">
        <v>463</v>
      </c>
      <c r="E922" s="201" t="s">
        <v>464</v>
      </c>
      <c r="F922" s="200" t="s">
        <v>469</v>
      </c>
      <c r="G922" s="200" t="s">
        <v>688</v>
      </c>
    </row>
    <row r="923" spans="1:7" hidden="1">
      <c r="A923" s="199" t="s">
        <v>473</v>
      </c>
      <c r="B923" s="200">
        <v>-428</v>
      </c>
      <c r="C923" s="200">
        <v>0</v>
      </c>
      <c r="D923" s="201" t="s">
        <v>442</v>
      </c>
      <c r="E923" s="201" t="s">
        <v>39</v>
      </c>
      <c r="F923" s="200" t="s">
        <v>394</v>
      </c>
      <c r="G923" s="200" t="s">
        <v>688</v>
      </c>
    </row>
    <row r="924" spans="1:7" hidden="1">
      <c r="A924" s="199" t="s">
        <v>473</v>
      </c>
      <c r="B924" s="200">
        <v>3283</v>
      </c>
      <c r="C924" s="200">
        <v>0</v>
      </c>
      <c r="D924" s="201" t="s">
        <v>474</v>
      </c>
      <c r="E924" s="201" t="s">
        <v>39</v>
      </c>
      <c r="F924" s="200" t="s">
        <v>394</v>
      </c>
      <c r="G924" s="200" t="s">
        <v>688</v>
      </c>
    </row>
    <row r="925" spans="1:7" hidden="1">
      <c r="A925" s="199" t="s">
        <v>473</v>
      </c>
      <c r="B925" s="200">
        <v>-3283</v>
      </c>
      <c r="C925" s="200">
        <v>0</v>
      </c>
      <c r="D925" s="201" t="s">
        <v>474</v>
      </c>
      <c r="E925" s="201" t="s">
        <v>39</v>
      </c>
      <c r="F925" s="200" t="s">
        <v>402</v>
      </c>
      <c r="G925" s="200" t="s">
        <v>688</v>
      </c>
    </row>
    <row r="926" spans="1:7">
      <c r="A926" s="199" t="s">
        <v>475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394</v>
      </c>
      <c r="G926" s="200" t="s">
        <v>688</v>
      </c>
    </row>
    <row r="927" spans="1:7">
      <c r="A927" s="199" t="s">
        <v>475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445</v>
      </c>
      <c r="G927" s="200" t="s">
        <v>688</v>
      </c>
    </row>
    <row r="928" spans="1:7">
      <c r="A928" s="199" t="s">
        <v>475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393</v>
      </c>
      <c r="G928" s="200" t="s">
        <v>688</v>
      </c>
    </row>
    <row r="929" spans="1:7">
      <c r="A929" s="199" t="s">
        <v>690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394</v>
      </c>
      <c r="G929" s="200" t="s">
        <v>688</v>
      </c>
    </row>
    <row r="930" spans="1:7">
      <c r="A930" s="199" t="s">
        <v>690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449</v>
      </c>
      <c r="G930" s="200" t="s">
        <v>688</v>
      </c>
    </row>
    <row r="931" spans="1:7" hidden="1">
      <c r="A931" s="199" t="s">
        <v>479</v>
      </c>
      <c r="B931" s="200">
        <v>-825000</v>
      </c>
      <c r="C931" s="200">
        <v>0</v>
      </c>
      <c r="D931" s="201" t="s">
        <v>480</v>
      </c>
      <c r="E931" s="201" t="s">
        <v>477</v>
      </c>
      <c r="F931" s="200" t="s">
        <v>394</v>
      </c>
      <c r="G931" s="200" t="s">
        <v>688</v>
      </c>
    </row>
    <row r="932" spans="1:7" hidden="1">
      <c r="A932" s="199" t="s">
        <v>479</v>
      </c>
      <c r="B932" s="200">
        <v>825000</v>
      </c>
      <c r="C932" s="200">
        <v>0</v>
      </c>
      <c r="D932" s="201" t="s">
        <v>480</v>
      </c>
      <c r="E932" s="201" t="s">
        <v>477</v>
      </c>
      <c r="F932" s="200" t="s">
        <v>481</v>
      </c>
      <c r="G932" s="200" t="s">
        <v>688</v>
      </c>
    </row>
    <row r="933" spans="1:7">
      <c r="A933" s="199" t="s">
        <v>479</v>
      </c>
      <c r="B933" s="200">
        <v>-425000</v>
      </c>
      <c r="C933" s="200">
        <v>0</v>
      </c>
      <c r="D933" s="201" t="s">
        <v>282</v>
      </c>
      <c r="E933" s="201" t="s">
        <v>477</v>
      </c>
      <c r="F933" s="200" t="s">
        <v>394</v>
      </c>
      <c r="G933" s="200" t="s">
        <v>688</v>
      </c>
    </row>
    <row r="934" spans="1:7">
      <c r="A934" s="199" t="s">
        <v>479</v>
      </c>
      <c r="B934" s="200">
        <v>425000</v>
      </c>
      <c r="C934" s="200">
        <v>0</v>
      </c>
      <c r="D934" s="201" t="s">
        <v>282</v>
      </c>
      <c r="E934" s="201" t="s">
        <v>477</v>
      </c>
      <c r="F934" s="200" t="s">
        <v>481</v>
      </c>
      <c r="G934" s="200" t="s">
        <v>688</v>
      </c>
    </row>
    <row r="935" spans="1:7" hidden="1">
      <c r="A935" s="199" t="s">
        <v>482</v>
      </c>
      <c r="B935" s="200">
        <v>1818750</v>
      </c>
      <c r="C935" s="200">
        <v>0</v>
      </c>
      <c r="D935" s="201" t="s">
        <v>480</v>
      </c>
      <c r="E935" s="201" t="s">
        <v>477</v>
      </c>
      <c r="F935" s="200" t="s">
        <v>394</v>
      </c>
      <c r="G935" s="200" t="s">
        <v>688</v>
      </c>
    </row>
    <row r="936" spans="1:7">
      <c r="A936" s="199" t="s">
        <v>482</v>
      </c>
      <c r="B936" s="200">
        <v>681250</v>
      </c>
      <c r="C936" s="200">
        <v>0</v>
      </c>
      <c r="D936" s="201" t="s">
        <v>282</v>
      </c>
      <c r="E936" s="201" t="s">
        <v>477</v>
      </c>
      <c r="F936" s="200" t="s">
        <v>394</v>
      </c>
      <c r="G936" s="200" t="s">
        <v>688</v>
      </c>
    </row>
    <row r="937" spans="1:7">
      <c r="A937" s="199" t="s">
        <v>483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394</v>
      </c>
      <c r="G937" s="200" t="s">
        <v>688</v>
      </c>
    </row>
    <row r="938" spans="1:7">
      <c r="A938" s="199" t="s">
        <v>483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393</v>
      </c>
      <c r="G938" s="200" t="s">
        <v>688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394</v>
      </c>
      <c r="G939" s="200" t="s">
        <v>688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393</v>
      </c>
      <c r="G940" s="200" t="s">
        <v>688</v>
      </c>
    </row>
    <row r="941" spans="1:7">
      <c r="A941" s="199" t="s">
        <v>484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394</v>
      </c>
      <c r="G941" s="200" t="s">
        <v>688</v>
      </c>
    </row>
    <row r="942" spans="1:7">
      <c r="A942" s="199" t="s">
        <v>484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445</v>
      </c>
      <c r="G942" s="200" t="s">
        <v>688</v>
      </c>
    </row>
    <row r="943" spans="1:7">
      <c r="A943" s="199" t="s">
        <v>484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393</v>
      </c>
      <c r="G943" s="200" t="s">
        <v>688</v>
      </c>
    </row>
    <row r="944" spans="1:7" hidden="1">
      <c r="A944" s="199" t="s">
        <v>485</v>
      </c>
      <c r="B944" s="200">
        <v>29</v>
      </c>
      <c r="C944" s="200">
        <v>0</v>
      </c>
      <c r="D944" s="201" t="s">
        <v>440</v>
      </c>
      <c r="E944" s="201" t="s">
        <v>486</v>
      </c>
      <c r="F944" s="200" t="s">
        <v>394</v>
      </c>
      <c r="G944" s="200" t="s">
        <v>688</v>
      </c>
    </row>
    <row r="945" spans="1:7" hidden="1">
      <c r="A945" s="199" t="s">
        <v>485</v>
      </c>
      <c r="B945" s="200">
        <v>6</v>
      </c>
      <c r="C945" s="200">
        <v>0</v>
      </c>
      <c r="D945" s="201" t="s">
        <v>437</v>
      </c>
      <c r="E945" s="201" t="s">
        <v>486</v>
      </c>
      <c r="F945" s="200" t="s">
        <v>394</v>
      </c>
      <c r="G945" s="200" t="s">
        <v>688</v>
      </c>
    </row>
    <row r="946" spans="1:7" hidden="1">
      <c r="A946" s="199" t="s">
        <v>485</v>
      </c>
      <c r="B946" s="200">
        <v>-2</v>
      </c>
      <c r="C946" s="200">
        <v>0</v>
      </c>
      <c r="D946" s="201" t="s">
        <v>437</v>
      </c>
      <c r="E946" s="201" t="s">
        <v>486</v>
      </c>
      <c r="F946" s="200" t="s">
        <v>396</v>
      </c>
      <c r="G946" s="200" t="s">
        <v>688</v>
      </c>
    </row>
    <row r="947" spans="1:7" hidden="1">
      <c r="A947" s="199" t="s">
        <v>485</v>
      </c>
      <c r="B947" s="200">
        <v>-1</v>
      </c>
      <c r="C947" s="200">
        <v>0</v>
      </c>
      <c r="D947" s="201" t="s">
        <v>442</v>
      </c>
      <c r="E947" s="201" t="s">
        <v>486</v>
      </c>
      <c r="F947" s="200" t="s">
        <v>394</v>
      </c>
      <c r="G947" s="200" t="s">
        <v>688</v>
      </c>
    </row>
    <row r="948" spans="1:7" hidden="1">
      <c r="A948" s="199" t="s">
        <v>487</v>
      </c>
      <c r="B948" s="200">
        <v>70</v>
      </c>
      <c r="C948" s="200">
        <v>0</v>
      </c>
      <c r="D948" s="201" t="s">
        <v>440</v>
      </c>
      <c r="E948" s="201" t="s">
        <v>488</v>
      </c>
      <c r="F948" s="200" t="s">
        <v>394</v>
      </c>
      <c r="G948" s="200" t="s">
        <v>688</v>
      </c>
    </row>
    <row r="949" spans="1:7" hidden="1">
      <c r="A949" s="199" t="s">
        <v>489</v>
      </c>
      <c r="B949" s="200">
        <v>-70</v>
      </c>
      <c r="C949" s="200">
        <v>0</v>
      </c>
      <c r="D949" s="201" t="s">
        <v>440</v>
      </c>
      <c r="E949" s="201" t="s">
        <v>488</v>
      </c>
      <c r="F949" s="200" t="s">
        <v>394</v>
      </c>
      <c r="G949" s="200" t="s">
        <v>688</v>
      </c>
    </row>
    <row r="950" spans="1:7" hidden="1">
      <c r="A950" s="199" t="s">
        <v>490</v>
      </c>
      <c r="B950" s="200">
        <v>70</v>
      </c>
      <c r="C950" s="200">
        <v>0</v>
      </c>
      <c r="D950" s="201" t="s">
        <v>440</v>
      </c>
      <c r="E950" s="201" t="s">
        <v>488</v>
      </c>
      <c r="F950" s="200" t="s">
        <v>394</v>
      </c>
      <c r="G950" s="200" t="s">
        <v>688</v>
      </c>
    </row>
    <row r="951" spans="1:7" hidden="1">
      <c r="A951" s="199" t="s">
        <v>491</v>
      </c>
      <c r="B951" s="200">
        <v>-44</v>
      </c>
      <c r="C951" s="200">
        <v>0</v>
      </c>
      <c r="D951" s="201" t="s">
        <v>440</v>
      </c>
      <c r="E951" s="201" t="s">
        <v>486</v>
      </c>
      <c r="F951" s="200" t="s">
        <v>394</v>
      </c>
      <c r="G951" s="200" t="s">
        <v>688</v>
      </c>
    </row>
    <row r="952" spans="1:7" hidden="1">
      <c r="A952" s="199" t="s">
        <v>491</v>
      </c>
      <c r="B952" s="200">
        <v>3</v>
      </c>
      <c r="C952" s="200">
        <v>0</v>
      </c>
      <c r="D952" s="201" t="s">
        <v>440</v>
      </c>
      <c r="E952" s="201" t="s">
        <v>486</v>
      </c>
      <c r="F952" s="200" t="s">
        <v>409</v>
      </c>
      <c r="G952" s="200" t="s">
        <v>688</v>
      </c>
    </row>
    <row r="953" spans="1:7" hidden="1">
      <c r="A953" s="199" t="s">
        <v>491</v>
      </c>
      <c r="B953" s="200">
        <v>1</v>
      </c>
      <c r="C953" s="200">
        <v>0</v>
      </c>
      <c r="D953" s="201" t="s">
        <v>440</v>
      </c>
      <c r="E953" s="201" t="s">
        <v>486</v>
      </c>
      <c r="F953" s="200" t="s">
        <v>402</v>
      </c>
      <c r="G953" s="200" t="s">
        <v>688</v>
      </c>
    </row>
    <row r="954" spans="1:7" hidden="1">
      <c r="A954" s="199" t="s">
        <v>492</v>
      </c>
      <c r="B954" s="200">
        <v>288</v>
      </c>
      <c r="C954" s="200">
        <v>0</v>
      </c>
      <c r="D954" s="201" t="s">
        <v>442</v>
      </c>
      <c r="E954" s="201" t="s">
        <v>317</v>
      </c>
      <c r="F954" s="200" t="s">
        <v>394</v>
      </c>
      <c r="G954" s="200" t="s">
        <v>688</v>
      </c>
    </row>
    <row r="955" spans="1:7" hidden="1">
      <c r="A955" s="199" t="s">
        <v>691</v>
      </c>
      <c r="B955" s="200">
        <v>347600</v>
      </c>
      <c r="C955" s="200">
        <v>0</v>
      </c>
      <c r="D955" s="201" t="s">
        <v>440</v>
      </c>
      <c r="E955" s="201" t="s">
        <v>692</v>
      </c>
      <c r="F955" s="200" t="s">
        <v>409</v>
      </c>
      <c r="G955" s="200" t="s">
        <v>688</v>
      </c>
    </row>
    <row r="956" spans="1:7" hidden="1">
      <c r="A956" s="199" t="s">
        <v>693</v>
      </c>
      <c r="B956" s="200">
        <v>-347600</v>
      </c>
      <c r="C956" s="200">
        <v>0</v>
      </c>
      <c r="D956" s="201" t="s">
        <v>440</v>
      </c>
      <c r="E956" s="201" t="s">
        <v>692</v>
      </c>
      <c r="F956" s="200" t="s">
        <v>409</v>
      </c>
      <c r="G956" s="200" t="s">
        <v>688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394</v>
      </c>
      <c r="G957" s="200" t="s">
        <v>688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441</v>
      </c>
      <c r="G958" s="200" t="s">
        <v>688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394</v>
      </c>
      <c r="G959" s="200" t="s">
        <v>688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408</v>
      </c>
      <c r="G960" s="200" t="s">
        <v>688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393</v>
      </c>
      <c r="G961" s="200" t="s">
        <v>688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413</v>
      </c>
      <c r="G962" s="200" t="s">
        <v>688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403</v>
      </c>
      <c r="G963" s="200" t="s">
        <v>688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441</v>
      </c>
      <c r="G964" s="200" t="s">
        <v>688</v>
      </c>
    </row>
    <row r="965" spans="1:7">
      <c r="A965" s="199" t="s">
        <v>493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408</v>
      </c>
      <c r="G965" s="200" t="s">
        <v>688</v>
      </c>
    </row>
    <row r="966" spans="1:7">
      <c r="A966" s="199" t="s">
        <v>493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393</v>
      </c>
      <c r="G966" s="200" t="s">
        <v>688</v>
      </c>
    </row>
    <row r="967" spans="1:7">
      <c r="A967" s="199" t="s">
        <v>494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394</v>
      </c>
      <c r="G967" s="200" t="s">
        <v>688</v>
      </c>
    </row>
    <row r="968" spans="1:7">
      <c r="A968" s="199" t="s">
        <v>494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408</v>
      </c>
      <c r="G968" s="200" t="s">
        <v>688</v>
      </c>
    </row>
    <row r="969" spans="1:7">
      <c r="A969" s="199" t="s">
        <v>494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393</v>
      </c>
      <c r="G969" s="200" t="s">
        <v>688</v>
      </c>
    </row>
    <row r="970" spans="1:7">
      <c r="A970" s="199" t="s">
        <v>495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408</v>
      </c>
      <c r="G970" s="200" t="s">
        <v>688</v>
      </c>
    </row>
    <row r="971" spans="1:7">
      <c r="A971" s="199" t="s">
        <v>495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393</v>
      </c>
      <c r="G971" s="200" t="s">
        <v>688</v>
      </c>
    </row>
    <row r="972" spans="1:7">
      <c r="A972" s="199" t="s">
        <v>496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394</v>
      </c>
      <c r="G972" s="200" t="s">
        <v>688</v>
      </c>
    </row>
    <row r="973" spans="1:7">
      <c r="A973" s="199" t="s">
        <v>496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408</v>
      </c>
      <c r="G973" s="200" t="s">
        <v>688</v>
      </c>
    </row>
    <row r="974" spans="1:7">
      <c r="A974" s="199" t="s">
        <v>497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394</v>
      </c>
      <c r="G974" s="200" t="s">
        <v>688</v>
      </c>
    </row>
    <row r="975" spans="1:7">
      <c r="A975" s="199" t="s">
        <v>497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408</v>
      </c>
      <c r="G975" s="200" t="s">
        <v>688</v>
      </c>
    </row>
    <row r="976" spans="1:7">
      <c r="A976" s="199" t="s">
        <v>497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393</v>
      </c>
      <c r="G976" s="200" t="s">
        <v>688</v>
      </c>
    </row>
    <row r="977" spans="1:7">
      <c r="A977" s="199" t="s">
        <v>498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394</v>
      </c>
      <c r="G977" s="200" t="s">
        <v>688</v>
      </c>
    </row>
    <row r="978" spans="1:7">
      <c r="A978" s="199" t="s">
        <v>498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408</v>
      </c>
      <c r="G978" s="200" t="s">
        <v>688</v>
      </c>
    </row>
    <row r="979" spans="1:7">
      <c r="A979" s="199" t="s">
        <v>499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394</v>
      </c>
      <c r="G979" s="200" t="s">
        <v>688</v>
      </c>
    </row>
    <row r="980" spans="1:7">
      <c r="A980" s="199" t="s">
        <v>499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445</v>
      </c>
      <c r="G980" s="200" t="s">
        <v>688</v>
      </c>
    </row>
    <row r="981" spans="1:7">
      <c r="A981" s="199" t="s">
        <v>499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397</v>
      </c>
      <c r="G981" s="200" t="s">
        <v>688</v>
      </c>
    </row>
    <row r="982" spans="1:7">
      <c r="A982" s="199" t="s">
        <v>499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393</v>
      </c>
      <c r="G982" s="200" t="s">
        <v>688</v>
      </c>
    </row>
    <row r="983" spans="1:7">
      <c r="A983" s="199" t="s">
        <v>500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445</v>
      </c>
      <c r="G983" s="200" t="s">
        <v>688</v>
      </c>
    </row>
    <row r="984" spans="1:7">
      <c r="A984" s="199" t="s">
        <v>500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393</v>
      </c>
      <c r="G984" s="200" t="s">
        <v>688</v>
      </c>
    </row>
    <row r="985" spans="1:7">
      <c r="A985" s="199" t="s">
        <v>501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394</v>
      </c>
      <c r="G985" s="200" t="s">
        <v>688</v>
      </c>
    </row>
    <row r="986" spans="1:7">
      <c r="A986" s="199" t="s">
        <v>501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393</v>
      </c>
      <c r="G986" s="200" t="s">
        <v>688</v>
      </c>
    </row>
    <row r="987" spans="1:7">
      <c r="A987" s="199" t="s">
        <v>501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403</v>
      </c>
      <c r="G987" s="200" t="s">
        <v>688</v>
      </c>
    </row>
    <row r="988" spans="1:7" hidden="1">
      <c r="A988" s="199" t="s">
        <v>502</v>
      </c>
      <c r="B988" s="200">
        <v>1230</v>
      </c>
      <c r="C988" s="200">
        <v>0</v>
      </c>
      <c r="D988" s="201" t="s">
        <v>442</v>
      </c>
      <c r="E988" s="201" t="s">
        <v>320</v>
      </c>
      <c r="F988" s="200" t="s">
        <v>394</v>
      </c>
      <c r="G988" s="200" t="s">
        <v>688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394</v>
      </c>
      <c r="G989" s="200" t="s">
        <v>688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413</v>
      </c>
      <c r="G990" s="200" t="s">
        <v>688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441</v>
      </c>
      <c r="G991" s="200" t="s">
        <v>688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394</v>
      </c>
      <c r="G992" s="200" t="s">
        <v>688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413</v>
      </c>
      <c r="G993" s="200" t="s">
        <v>688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441</v>
      </c>
      <c r="G994" s="200" t="s">
        <v>688</v>
      </c>
    </row>
    <row r="995" spans="1:7" hidden="1">
      <c r="A995" s="199" t="s">
        <v>694</v>
      </c>
      <c r="B995" s="200">
        <v>-98400</v>
      </c>
      <c r="C995" s="200">
        <v>0</v>
      </c>
      <c r="D995" s="201" t="s">
        <v>440</v>
      </c>
      <c r="E995" s="201" t="s">
        <v>692</v>
      </c>
      <c r="F995" s="200" t="s">
        <v>409</v>
      </c>
      <c r="G995" s="200" t="s">
        <v>688</v>
      </c>
    </row>
    <row r="996" spans="1:7" hidden="1">
      <c r="A996" s="199" t="s">
        <v>695</v>
      </c>
      <c r="B996" s="200">
        <v>98400</v>
      </c>
      <c r="C996" s="200">
        <v>0</v>
      </c>
      <c r="D996" s="201" t="s">
        <v>440</v>
      </c>
      <c r="E996" s="201" t="s">
        <v>692</v>
      </c>
      <c r="F996" s="200" t="s">
        <v>409</v>
      </c>
      <c r="G996" s="200" t="s">
        <v>688</v>
      </c>
    </row>
    <row r="997" spans="1:7" hidden="1">
      <c r="A997" s="199" t="s">
        <v>503</v>
      </c>
      <c r="B997" s="200">
        <v>434</v>
      </c>
      <c r="C997" s="200">
        <v>0</v>
      </c>
      <c r="D997" s="201" t="s">
        <v>442</v>
      </c>
      <c r="E997" s="201" t="s">
        <v>320</v>
      </c>
      <c r="F997" s="200" t="s">
        <v>394</v>
      </c>
      <c r="G997" s="200" t="s">
        <v>688</v>
      </c>
    </row>
    <row r="998" spans="1:7" hidden="1">
      <c r="A998" s="199" t="s">
        <v>503</v>
      </c>
      <c r="B998" s="200">
        <v>-371</v>
      </c>
      <c r="C998" s="200">
        <v>0</v>
      </c>
      <c r="D998" s="201" t="s">
        <v>442</v>
      </c>
      <c r="E998" s="201" t="s">
        <v>320</v>
      </c>
      <c r="F998" s="200" t="s">
        <v>409</v>
      </c>
      <c r="G998" s="200" t="s">
        <v>688</v>
      </c>
    </row>
    <row r="999" spans="1:7" hidden="1">
      <c r="A999" s="199" t="s">
        <v>504</v>
      </c>
      <c r="B999" s="200">
        <v>-710</v>
      </c>
      <c r="C999" s="200">
        <v>0</v>
      </c>
      <c r="D999" s="201" t="s">
        <v>440</v>
      </c>
      <c r="E999" s="201" t="s">
        <v>439</v>
      </c>
      <c r="F999" s="200" t="s">
        <v>394</v>
      </c>
      <c r="G999" s="200" t="s">
        <v>688</v>
      </c>
    </row>
    <row r="1000" spans="1:7" hidden="1">
      <c r="A1000" s="199" t="s">
        <v>505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394</v>
      </c>
      <c r="G1000" s="200" t="s">
        <v>688</v>
      </c>
    </row>
    <row r="1001" spans="1:7" hidden="1">
      <c r="A1001" s="199" t="s">
        <v>505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441</v>
      </c>
      <c r="G1001" s="200" t="s">
        <v>688</v>
      </c>
    </row>
    <row r="1002" spans="1:7">
      <c r="A1002" s="199" t="s">
        <v>505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394</v>
      </c>
      <c r="G1002" s="200" t="s">
        <v>688</v>
      </c>
    </row>
    <row r="1003" spans="1:7">
      <c r="A1003" s="199" t="s">
        <v>505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393</v>
      </c>
      <c r="G1003" s="200" t="s">
        <v>688</v>
      </c>
    </row>
    <row r="1004" spans="1:7">
      <c r="A1004" s="199" t="s">
        <v>505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441</v>
      </c>
      <c r="G1004" s="200" t="s">
        <v>688</v>
      </c>
    </row>
    <row r="1005" spans="1:7">
      <c r="A1005" s="199" t="s">
        <v>506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394</v>
      </c>
      <c r="G1005" s="200" t="s">
        <v>688</v>
      </c>
    </row>
    <row r="1006" spans="1:7">
      <c r="A1006" s="199" t="s">
        <v>506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445</v>
      </c>
      <c r="G1006" s="200" t="s">
        <v>688</v>
      </c>
    </row>
    <row r="1007" spans="1:7">
      <c r="A1007" s="199" t="s">
        <v>506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403</v>
      </c>
      <c r="G1007" s="200" t="s">
        <v>688</v>
      </c>
    </row>
    <row r="1008" spans="1:7" hidden="1">
      <c r="A1008" s="199" t="s">
        <v>507</v>
      </c>
      <c r="B1008" s="200">
        <v>1521</v>
      </c>
      <c r="C1008" s="200">
        <v>0</v>
      </c>
      <c r="D1008" s="201" t="s">
        <v>442</v>
      </c>
      <c r="E1008" s="201" t="s">
        <v>39</v>
      </c>
      <c r="F1008" s="200" t="s">
        <v>394</v>
      </c>
      <c r="G1008" s="200" t="s">
        <v>688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394</v>
      </c>
      <c r="G1009" s="200" t="s">
        <v>688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409</v>
      </c>
      <c r="G1010" s="200" t="s">
        <v>688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437</v>
      </c>
      <c r="E1011" s="201" t="s">
        <v>322</v>
      </c>
      <c r="F1011" s="200" t="s">
        <v>394</v>
      </c>
      <c r="G1011" s="200" t="s">
        <v>688</v>
      </c>
    </row>
    <row r="1012" spans="1:7" hidden="1">
      <c r="A1012" s="199" t="s">
        <v>508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394</v>
      </c>
      <c r="G1012" s="200" t="s">
        <v>688</v>
      </c>
    </row>
    <row r="1013" spans="1:7" hidden="1">
      <c r="A1013" s="199" t="s">
        <v>508</v>
      </c>
      <c r="B1013" s="200">
        <v>-7</v>
      </c>
      <c r="C1013" s="200">
        <v>0</v>
      </c>
      <c r="D1013" s="201" t="s">
        <v>437</v>
      </c>
      <c r="E1013" s="201" t="s">
        <v>315</v>
      </c>
      <c r="F1013" s="200" t="s">
        <v>394</v>
      </c>
      <c r="G1013" s="200" t="s">
        <v>688</v>
      </c>
    </row>
    <row r="1014" spans="1:7">
      <c r="A1014" s="199" t="s">
        <v>508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394</v>
      </c>
      <c r="G1014" s="200" t="s">
        <v>688</v>
      </c>
    </row>
    <row r="1015" spans="1:7" hidden="1">
      <c r="A1015" s="199" t="s">
        <v>509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394</v>
      </c>
      <c r="G1015" s="200" t="s">
        <v>688</v>
      </c>
    </row>
    <row r="1016" spans="1:7" hidden="1">
      <c r="A1016" s="199" t="s">
        <v>509</v>
      </c>
      <c r="B1016" s="200">
        <v>7</v>
      </c>
      <c r="C1016" s="200">
        <v>0</v>
      </c>
      <c r="D1016" s="201" t="s">
        <v>437</v>
      </c>
      <c r="E1016" s="201" t="s">
        <v>315</v>
      </c>
      <c r="F1016" s="200" t="s">
        <v>394</v>
      </c>
      <c r="G1016" s="200" t="s">
        <v>688</v>
      </c>
    </row>
    <row r="1017" spans="1:7">
      <c r="A1017" s="199" t="s">
        <v>509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394</v>
      </c>
      <c r="G1017" s="200" t="s">
        <v>688</v>
      </c>
    </row>
    <row r="1018" spans="1:7" hidden="1">
      <c r="A1018" s="199" t="s">
        <v>510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394</v>
      </c>
      <c r="G1018" s="200" t="s">
        <v>688</v>
      </c>
    </row>
    <row r="1019" spans="1:7">
      <c r="A1019" s="199" t="s">
        <v>510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394</v>
      </c>
      <c r="G1019" s="200" t="s">
        <v>688</v>
      </c>
    </row>
    <row r="1020" spans="1:7">
      <c r="A1020" s="199" t="s">
        <v>510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393</v>
      </c>
      <c r="G1020" s="200" t="s">
        <v>688</v>
      </c>
    </row>
    <row r="1021" spans="1:7" hidden="1">
      <c r="A1021" s="199" t="s">
        <v>511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394</v>
      </c>
      <c r="G1021" s="200" t="s">
        <v>688</v>
      </c>
    </row>
    <row r="1022" spans="1:7">
      <c r="A1022" s="199" t="s">
        <v>511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394</v>
      </c>
      <c r="G1022" s="200" t="s">
        <v>688</v>
      </c>
    </row>
    <row r="1023" spans="1:7">
      <c r="A1023" s="199" t="s">
        <v>511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408</v>
      </c>
      <c r="G1023" s="200" t="s">
        <v>688</v>
      </c>
    </row>
    <row r="1024" spans="1:7" hidden="1">
      <c r="A1024" s="199" t="s">
        <v>512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394</v>
      </c>
      <c r="G1024" s="200" t="s">
        <v>688</v>
      </c>
    </row>
    <row r="1025" spans="1:7">
      <c r="A1025" s="199" t="s">
        <v>512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394</v>
      </c>
      <c r="G1025" s="200" t="s">
        <v>688</v>
      </c>
    </row>
    <row r="1026" spans="1:7">
      <c r="A1026" s="199" t="s">
        <v>512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408</v>
      </c>
      <c r="G1026" s="200" t="s">
        <v>688</v>
      </c>
    </row>
    <row r="1027" spans="1:7">
      <c r="A1027" s="199" t="s">
        <v>513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394</v>
      </c>
      <c r="G1027" s="200" t="s">
        <v>688</v>
      </c>
    </row>
    <row r="1028" spans="1:7">
      <c r="A1028" s="199" t="s">
        <v>513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445</v>
      </c>
      <c r="G1028" s="200" t="s">
        <v>688</v>
      </c>
    </row>
    <row r="1029" spans="1:7">
      <c r="A1029" s="199" t="s">
        <v>513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393</v>
      </c>
      <c r="G1029" s="200" t="s">
        <v>688</v>
      </c>
    </row>
    <row r="1030" spans="1:7" hidden="1">
      <c r="A1030" s="199" t="s">
        <v>514</v>
      </c>
      <c r="B1030" s="200">
        <v>-152541</v>
      </c>
      <c r="C1030" s="200">
        <v>0</v>
      </c>
      <c r="D1030" s="201" t="s">
        <v>440</v>
      </c>
      <c r="E1030" s="201" t="s">
        <v>320</v>
      </c>
      <c r="F1030" s="200" t="s">
        <v>394</v>
      </c>
      <c r="G1030" s="200" t="s">
        <v>688</v>
      </c>
    </row>
    <row r="1031" spans="1:7" hidden="1">
      <c r="A1031" s="199" t="s">
        <v>514</v>
      </c>
      <c r="B1031" s="200">
        <v>-5213</v>
      </c>
      <c r="C1031" s="200">
        <v>0</v>
      </c>
      <c r="D1031" s="201" t="s">
        <v>442</v>
      </c>
      <c r="E1031" s="201" t="s">
        <v>320</v>
      </c>
      <c r="F1031" s="200" t="s">
        <v>394</v>
      </c>
      <c r="G1031" s="200" t="s">
        <v>688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394</v>
      </c>
      <c r="G1032" s="200" t="s">
        <v>688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445</v>
      </c>
      <c r="G1033" s="200" t="s">
        <v>688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393</v>
      </c>
      <c r="G1034" s="200" t="s">
        <v>688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403</v>
      </c>
      <c r="G1035" s="200" t="s">
        <v>688</v>
      </c>
    </row>
    <row r="1036" spans="1:7">
      <c r="A1036" s="199" t="s">
        <v>515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394</v>
      </c>
      <c r="G1036" s="200" t="s">
        <v>688</v>
      </c>
    </row>
    <row r="1037" spans="1:7">
      <c r="A1037" s="199" t="s">
        <v>515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408</v>
      </c>
      <c r="G1037" s="200" t="s">
        <v>688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437</v>
      </c>
      <c r="E1038" s="201" t="s">
        <v>320</v>
      </c>
      <c r="F1038" s="200" t="s">
        <v>394</v>
      </c>
      <c r="G1038" s="200" t="s">
        <v>688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437</v>
      </c>
      <c r="E1039" s="201" t="s">
        <v>320</v>
      </c>
      <c r="F1039" s="200" t="s">
        <v>393</v>
      </c>
      <c r="G1039" s="200" t="s">
        <v>688</v>
      </c>
    </row>
    <row r="1040" spans="1:7" hidden="1">
      <c r="A1040" s="199" t="s">
        <v>395</v>
      </c>
      <c r="B1040" s="200">
        <v>77</v>
      </c>
      <c r="C1040" s="200">
        <v>0</v>
      </c>
      <c r="D1040" s="201" t="s">
        <v>283</v>
      </c>
      <c r="E1040" s="201" t="s">
        <v>517</v>
      </c>
      <c r="F1040" s="200" t="s">
        <v>394</v>
      </c>
      <c r="G1040" s="200" t="s">
        <v>688</v>
      </c>
    </row>
    <row r="1041" spans="1:7">
      <c r="A1041" s="199" t="s">
        <v>395</v>
      </c>
      <c r="B1041" s="200">
        <v>65</v>
      </c>
      <c r="C1041" s="200">
        <v>0</v>
      </c>
      <c r="D1041" s="201" t="s">
        <v>282</v>
      </c>
      <c r="E1041" s="201" t="s">
        <v>517</v>
      </c>
      <c r="F1041" s="200" t="s">
        <v>394</v>
      </c>
      <c r="G1041" s="200" t="s">
        <v>688</v>
      </c>
    </row>
    <row r="1042" spans="1:7">
      <c r="A1042" s="199" t="s">
        <v>395</v>
      </c>
      <c r="B1042" s="200">
        <v>11</v>
      </c>
      <c r="C1042" s="200">
        <v>0</v>
      </c>
      <c r="D1042" s="201" t="s">
        <v>282</v>
      </c>
      <c r="E1042" s="201" t="s">
        <v>517</v>
      </c>
      <c r="F1042" s="200" t="s">
        <v>393</v>
      </c>
      <c r="G1042" s="200" t="s">
        <v>688</v>
      </c>
    </row>
    <row r="1043" spans="1:7" hidden="1">
      <c r="A1043" s="199" t="s">
        <v>696</v>
      </c>
      <c r="B1043" s="200">
        <v>-16300</v>
      </c>
      <c r="C1043" s="200">
        <v>0</v>
      </c>
      <c r="D1043" s="201" t="s">
        <v>440</v>
      </c>
      <c r="E1043" s="201" t="s">
        <v>697</v>
      </c>
      <c r="F1043" s="200" t="s">
        <v>394</v>
      </c>
      <c r="G1043" s="200" t="s">
        <v>688</v>
      </c>
    </row>
    <row r="1044" spans="1:7" hidden="1">
      <c r="A1044" s="199" t="s">
        <v>696</v>
      </c>
      <c r="B1044" s="200">
        <v>16300</v>
      </c>
      <c r="C1044" s="200">
        <v>0</v>
      </c>
      <c r="D1044" s="201" t="s">
        <v>440</v>
      </c>
      <c r="E1044" s="201" t="s">
        <v>697</v>
      </c>
      <c r="F1044" s="200" t="s">
        <v>407</v>
      </c>
      <c r="G1044" s="200" t="s">
        <v>688</v>
      </c>
    </row>
    <row r="1045" spans="1:7" hidden="1">
      <c r="A1045" s="199" t="s">
        <v>698</v>
      </c>
      <c r="B1045" s="200">
        <v>-208000</v>
      </c>
      <c r="C1045" s="200">
        <v>0</v>
      </c>
      <c r="D1045" s="201" t="s">
        <v>442</v>
      </c>
      <c r="E1045" s="201" t="s">
        <v>692</v>
      </c>
      <c r="F1045" s="200" t="s">
        <v>409</v>
      </c>
      <c r="G1045" s="200" t="s">
        <v>688</v>
      </c>
    </row>
    <row r="1046" spans="1:7" hidden="1">
      <c r="A1046" s="199" t="s">
        <v>699</v>
      </c>
      <c r="B1046" s="200">
        <v>-208000</v>
      </c>
      <c r="C1046" s="200">
        <v>0</v>
      </c>
      <c r="D1046" s="201" t="s">
        <v>442</v>
      </c>
      <c r="E1046" s="201" t="s">
        <v>692</v>
      </c>
      <c r="F1046" s="200" t="s">
        <v>409</v>
      </c>
      <c r="G1046" s="200" t="s">
        <v>688</v>
      </c>
    </row>
    <row r="1047" spans="1:7" hidden="1">
      <c r="A1047" s="199" t="s">
        <v>700</v>
      </c>
      <c r="B1047" s="200">
        <v>208000</v>
      </c>
      <c r="C1047" s="200">
        <v>0</v>
      </c>
      <c r="D1047" s="201" t="s">
        <v>442</v>
      </c>
      <c r="E1047" s="201" t="s">
        <v>692</v>
      </c>
      <c r="F1047" s="200" t="s">
        <v>409</v>
      </c>
      <c r="G1047" s="200" t="s">
        <v>688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394</v>
      </c>
      <c r="G1048" s="200" t="s">
        <v>688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445</v>
      </c>
      <c r="G1049" s="200" t="s">
        <v>688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393</v>
      </c>
      <c r="G1050" s="200" t="s">
        <v>688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403</v>
      </c>
      <c r="G1051" s="200" t="s">
        <v>688</v>
      </c>
    </row>
    <row r="1052" spans="1:7" hidden="1">
      <c r="A1052" s="199" t="s">
        <v>521</v>
      </c>
      <c r="B1052" s="200">
        <v>-1143</v>
      </c>
      <c r="C1052" s="200">
        <v>0</v>
      </c>
      <c r="D1052" s="201" t="s">
        <v>442</v>
      </c>
      <c r="E1052" s="201" t="s">
        <v>522</v>
      </c>
      <c r="F1052" s="200" t="s">
        <v>394</v>
      </c>
      <c r="G1052" s="200" t="s">
        <v>688</v>
      </c>
    </row>
    <row r="1053" spans="1:7" hidden="1">
      <c r="A1053" s="199" t="s">
        <v>701</v>
      </c>
      <c r="B1053" s="200">
        <v>-5</v>
      </c>
      <c r="C1053" s="200">
        <v>0</v>
      </c>
      <c r="D1053" s="201" t="s">
        <v>442</v>
      </c>
      <c r="E1053" s="201" t="s">
        <v>702</v>
      </c>
      <c r="F1053" s="200" t="s">
        <v>394</v>
      </c>
      <c r="G1053" s="200" t="s">
        <v>688</v>
      </c>
    </row>
    <row r="1054" spans="1:7" hidden="1">
      <c r="A1054" s="199" t="s">
        <v>703</v>
      </c>
      <c r="B1054" s="200">
        <v>24500</v>
      </c>
      <c r="C1054" s="200">
        <v>0</v>
      </c>
      <c r="D1054" s="201" t="s">
        <v>440</v>
      </c>
      <c r="E1054" s="201" t="s">
        <v>704</v>
      </c>
      <c r="F1054" s="200" t="s">
        <v>409</v>
      </c>
      <c r="G1054" s="200" t="s">
        <v>688</v>
      </c>
    </row>
    <row r="1055" spans="1:7" hidden="1">
      <c r="A1055" s="199" t="s">
        <v>705</v>
      </c>
      <c r="B1055" s="200">
        <v>23300</v>
      </c>
      <c r="C1055" s="200">
        <v>0</v>
      </c>
      <c r="D1055" s="201" t="s">
        <v>440</v>
      </c>
      <c r="E1055" s="201" t="s">
        <v>704</v>
      </c>
      <c r="F1055" s="200" t="s">
        <v>409</v>
      </c>
      <c r="G1055" s="200" t="s">
        <v>688</v>
      </c>
    </row>
    <row r="1056" spans="1:7" hidden="1">
      <c r="A1056" s="199" t="s">
        <v>706</v>
      </c>
      <c r="B1056" s="200">
        <v>-31700</v>
      </c>
      <c r="C1056" s="200">
        <v>0</v>
      </c>
      <c r="D1056" s="201" t="s">
        <v>440</v>
      </c>
      <c r="E1056" s="201" t="s">
        <v>704</v>
      </c>
      <c r="F1056" s="200" t="s">
        <v>409</v>
      </c>
      <c r="G1056" s="200" t="s">
        <v>688</v>
      </c>
    </row>
    <row r="1057" spans="1:7" hidden="1">
      <c r="A1057" s="199" t="s">
        <v>707</v>
      </c>
      <c r="B1057" s="200">
        <v>31700</v>
      </c>
      <c r="C1057" s="200">
        <v>0</v>
      </c>
      <c r="D1057" s="201" t="s">
        <v>440</v>
      </c>
      <c r="E1057" s="201" t="s">
        <v>704</v>
      </c>
      <c r="F1057" s="200" t="s">
        <v>409</v>
      </c>
      <c r="G1057" s="200" t="s">
        <v>688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394</v>
      </c>
      <c r="G1058" s="200" t="s">
        <v>688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441</v>
      </c>
      <c r="G1059" s="200" t="s">
        <v>688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394</v>
      </c>
      <c r="G1060" s="200" t="s">
        <v>688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393</v>
      </c>
      <c r="G1061" s="200" t="s">
        <v>688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413</v>
      </c>
      <c r="G1062" s="200" t="s">
        <v>688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403</v>
      </c>
      <c r="G1063" s="200" t="s">
        <v>688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441</v>
      </c>
      <c r="G1064" s="200" t="s">
        <v>688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411</v>
      </c>
      <c r="G1065" s="200" t="s">
        <v>688</v>
      </c>
    </row>
    <row r="1066" spans="1:7">
      <c r="A1066" s="199" t="s">
        <v>708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394</v>
      </c>
      <c r="G1066" s="200" t="s">
        <v>688</v>
      </c>
    </row>
    <row r="1067" spans="1:7">
      <c r="A1067" s="199" t="s">
        <v>708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407</v>
      </c>
      <c r="G1067" s="200" t="s">
        <v>688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441</v>
      </c>
      <c r="G1068" s="200" t="s">
        <v>688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408</v>
      </c>
      <c r="G1069" s="200" t="s">
        <v>688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441</v>
      </c>
      <c r="G1070" s="200" t="s">
        <v>688</v>
      </c>
    </row>
    <row r="1071" spans="1:7" hidden="1">
      <c r="A1071" s="199" t="s">
        <v>524</v>
      </c>
      <c r="B1071" s="200">
        <v>618800</v>
      </c>
      <c r="C1071" s="200">
        <v>0</v>
      </c>
      <c r="D1071" s="201" t="s">
        <v>437</v>
      </c>
      <c r="E1071" s="201" t="s">
        <v>525</v>
      </c>
      <c r="F1071" s="200" t="s">
        <v>394</v>
      </c>
      <c r="G1071" s="200" t="s">
        <v>688</v>
      </c>
    </row>
    <row r="1072" spans="1:7" hidden="1">
      <c r="A1072" s="199" t="s">
        <v>524</v>
      </c>
      <c r="B1072" s="200">
        <v>-618800</v>
      </c>
      <c r="C1072" s="200">
        <v>0</v>
      </c>
      <c r="D1072" s="201" t="s">
        <v>437</v>
      </c>
      <c r="E1072" s="201" t="s">
        <v>525</v>
      </c>
      <c r="F1072" s="200" t="s">
        <v>393</v>
      </c>
      <c r="G1072" s="200" t="s">
        <v>688</v>
      </c>
    </row>
    <row r="1073" spans="1:7">
      <c r="A1073" s="199" t="s">
        <v>524</v>
      </c>
      <c r="B1073" s="200">
        <v>618800</v>
      </c>
      <c r="C1073" s="200">
        <v>0</v>
      </c>
      <c r="D1073" s="201" t="s">
        <v>282</v>
      </c>
      <c r="E1073" s="201" t="s">
        <v>525</v>
      </c>
      <c r="F1073" s="200" t="s">
        <v>394</v>
      </c>
      <c r="G1073" s="200" t="s">
        <v>688</v>
      </c>
    </row>
    <row r="1074" spans="1:7">
      <c r="A1074" s="199" t="s">
        <v>524</v>
      </c>
      <c r="B1074" s="200">
        <v>-618800</v>
      </c>
      <c r="C1074" s="200">
        <v>0</v>
      </c>
      <c r="D1074" s="201" t="s">
        <v>282</v>
      </c>
      <c r="E1074" s="201" t="s">
        <v>525</v>
      </c>
      <c r="F1074" s="200" t="s">
        <v>393</v>
      </c>
      <c r="G1074" s="200" t="s">
        <v>688</v>
      </c>
    </row>
    <row r="1075" spans="1:7" hidden="1">
      <c r="A1075" s="199" t="s">
        <v>526</v>
      </c>
      <c r="B1075" s="200">
        <v>348203</v>
      </c>
      <c r="C1075" s="200">
        <v>0</v>
      </c>
      <c r="D1075" s="201" t="s">
        <v>440</v>
      </c>
      <c r="E1075" s="201" t="s">
        <v>39</v>
      </c>
      <c r="F1075" s="200" t="s">
        <v>394</v>
      </c>
      <c r="G1075" s="200" t="s">
        <v>688</v>
      </c>
    </row>
    <row r="1076" spans="1:7" hidden="1">
      <c r="A1076" s="199" t="s">
        <v>526</v>
      </c>
      <c r="B1076" s="200">
        <v>14179</v>
      </c>
      <c r="C1076" s="200">
        <v>0</v>
      </c>
      <c r="D1076" s="201" t="s">
        <v>442</v>
      </c>
      <c r="E1076" s="201" t="s">
        <v>39</v>
      </c>
      <c r="F1076" s="200" t="s">
        <v>394</v>
      </c>
      <c r="G1076" s="200" t="s">
        <v>688</v>
      </c>
    </row>
    <row r="1077" spans="1:7" hidden="1">
      <c r="A1077" s="199" t="s">
        <v>527</v>
      </c>
      <c r="B1077" s="200">
        <v>-3020</v>
      </c>
      <c r="C1077" s="200">
        <v>0</v>
      </c>
      <c r="D1077" s="201" t="s">
        <v>440</v>
      </c>
      <c r="E1077" s="201" t="s">
        <v>327</v>
      </c>
      <c r="F1077" s="200" t="s">
        <v>394</v>
      </c>
      <c r="G1077" s="200" t="s">
        <v>688</v>
      </c>
    </row>
    <row r="1078" spans="1:7" hidden="1">
      <c r="A1078" s="199" t="s">
        <v>528</v>
      </c>
      <c r="B1078" s="200">
        <v>-3020</v>
      </c>
      <c r="C1078" s="200">
        <v>0</v>
      </c>
      <c r="D1078" s="201" t="s">
        <v>440</v>
      </c>
      <c r="E1078" s="201" t="s">
        <v>327</v>
      </c>
      <c r="F1078" s="200" t="s">
        <v>394</v>
      </c>
      <c r="G1078" s="200" t="s">
        <v>688</v>
      </c>
    </row>
    <row r="1079" spans="1:7" hidden="1">
      <c r="A1079" s="199" t="s">
        <v>529</v>
      </c>
      <c r="B1079" s="200">
        <v>3020</v>
      </c>
      <c r="C1079" s="200">
        <v>0</v>
      </c>
      <c r="D1079" s="201" t="s">
        <v>440</v>
      </c>
      <c r="E1079" s="201" t="s">
        <v>327</v>
      </c>
      <c r="F1079" s="200" t="s">
        <v>394</v>
      </c>
      <c r="G1079" s="200" t="s">
        <v>688</v>
      </c>
    </row>
    <row r="1080" spans="1:7" hidden="1">
      <c r="A1080" s="199" t="s">
        <v>530</v>
      </c>
      <c r="B1080" s="200">
        <v>-3280</v>
      </c>
      <c r="C1080" s="200">
        <v>0</v>
      </c>
      <c r="D1080" s="201" t="s">
        <v>440</v>
      </c>
      <c r="E1080" s="201" t="s">
        <v>327</v>
      </c>
      <c r="F1080" s="200" t="s">
        <v>409</v>
      </c>
      <c r="G1080" s="200" t="s">
        <v>688</v>
      </c>
    </row>
    <row r="1081" spans="1:7" hidden="1">
      <c r="A1081" s="199" t="s">
        <v>531</v>
      </c>
      <c r="B1081" s="200">
        <v>-3280</v>
      </c>
      <c r="C1081" s="200">
        <v>0</v>
      </c>
      <c r="D1081" s="201" t="s">
        <v>440</v>
      </c>
      <c r="E1081" s="201" t="s">
        <v>327</v>
      </c>
      <c r="F1081" s="200" t="s">
        <v>409</v>
      </c>
      <c r="G1081" s="200" t="s">
        <v>688</v>
      </c>
    </row>
    <row r="1082" spans="1:7" hidden="1">
      <c r="A1082" s="199" t="s">
        <v>532</v>
      </c>
      <c r="B1082" s="200">
        <v>3280</v>
      </c>
      <c r="C1082" s="200">
        <v>0</v>
      </c>
      <c r="D1082" s="201" t="s">
        <v>440</v>
      </c>
      <c r="E1082" s="201" t="s">
        <v>327</v>
      </c>
      <c r="F1082" s="200" t="s">
        <v>409</v>
      </c>
      <c r="G1082" s="200" t="s">
        <v>688</v>
      </c>
    </row>
    <row r="1083" spans="1:7" hidden="1">
      <c r="A1083" s="199" t="s">
        <v>709</v>
      </c>
      <c r="B1083" s="200">
        <v>-44300</v>
      </c>
      <c r="C1083" s="200">
        <v>0</v>
      </c>
      <c r="D1083" s="201" t="s">
        <v>442</v>
      </c>
      <c r="E1083" s="201" t="s">
        <v>692</v>
      </c>
      <c r="F1083" s="200" t="s">
        <v>409</v>
      </c>
      <c r="G1083" s="200" t="s">
        <v>688</v>
      </c>
    </row>
    <row r="1084" spans="1:7" hidden="1">
      <c r="A1084" s="199" t="s">
        <v>710</v>
      </c>
      <c r="B1084" s="200">
        <v>44300</v>
      </c>
      <c r="C1084" s="200">
        <v>0</v>
      </c>
      <c r="D1084" s="201" t="s">
        <v>442</v>
      </c>
      <c r="E1084" s="201" t="s">
        <v>692</v>
      </c>
      <c r="F1084" s="200" t="s">
        <v>409</v>
      </c>
      <c r="G1084" s="200" t="s">
        <v>688</v>
      </c>
    </row>
    <row r="1085" spans="1:7" hidden="1">
      <c r="A1085" s="199" t="s">
        <v>711</v>
      </c>
      <c r="B1085" s="200">
        <v>438000</v>
      </c>
      <c r="C1085" s="200">
        <v>0</v>
      </c>
      <c r="D1085" s="201" t="s">
        <v>440</v>
      </c>
      <c r="E1085" s="201" t="s">
        <v>692</v>
      </c>
      <c r="F1085" s="200" t="s">
        <v>409</v>
      </c>
      <c r="G1085" s="200" t="s">
        <v>688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440</v>
      </c>
      <c r="E1086" s="201" t="s">
        <v>320</v>
      </c>
      <c r="F1086" s="200" t="s">
        <v>394</v>
      </c>
      <c r="G1086" s="200" t="s">
        <v>688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440</v>
      </c>
      <c r="E1087" s="201" t="s">
        <v>320</v>
      </c>
      <c r="F1087" s="200" t="s">
        <v>441</v>
      </c>
      <c r="G1087" s="200" t="s">
        <v>688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437</v>
      </c>
      <c r="E1088" s="201" t="s">
        <v>320</v>
      </c>
      <c r="F1088" s="200" t="s">
        <v>394</v>
      </c>
      <c r="G1088" s="200" t="s">
        <v>688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437</v>
      </c>
      <c r="E1089" s="201" t="s">
        <v>320</v>
      </c>
      <c r="F1089" s="200" t="s">
        <v>441</v>
      </c>
      <c r="G1089" s="200" t="s">
        <v>688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394</v>
      </c>
      <c r="G1090" s="200" t="s">
        <v>688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393</v>
      </c>
      <c r="G1091" s="200" t="s">
        <v>688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442</v>
      </c>
      <c r="E1092" s="201" t="s">
        <v>320</v>
      </c>
      <c r="F1092" s="200" t="s">
        <v>394</v>
      </c>
      <c r="G1092" s="200" t="s">
        <v>688</v>
      </c>
    </row>
    <row r="1093" spans="1:7" hidden="1">
      <c r="A1093" s="199" t="s">
        <v>533</v>
      </c>
      <c r="B1093" s="200">
        <v>1400</v>
      </c>
      <c r="C1093" s="200">
        <v>0</v>
      </c>
      <c r="D1093" s="201" t="s">
        <v>442</v>
      </c>
      <c r="E1093" s="201" t="s">
        <v>39</v>
      </c>
      <c r="F1093" s="200" t="s">
        <v>394</v>
      </c>
      <c r="G1093" s="200" t="s">
        <v>688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394</v>
      </c>
      <c r="G1094" s="200" t="s">
        <v>688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441</v>
      </c>
      <c r="G1095" s="200" t="s">
        <v>688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437</v>
      </c>
      <c r="E1096" s="201" t="s">
        <v>320</v>
      </c>
      <c r="F1096" s="200" t="s">
        <v>394</v>
      </c>
      <c r="G1096" s="200" t="s">
        <v>688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394</v>
      </c>
      <c r="G1097" s="200" t="s">
        <v>688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445</v>
      </c>
      <c r="G1098" s="200" t="s">
        <v>688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393</v>
      </c>
      <c r="G1099" s="200" t="s">
        <v>688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413</v>
      </c>
      <c r="G1100" s="200" t="s">
        <v>688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403</v>
      </c>
      <c r="G1101" s="200" t="s">
        <v>688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441</v>
      </c>
      <c r="G1102" s="200" t="s">
        <v>688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449</v>
      </c>
      <c r="G1103" s="200" t="s">
        <v>688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394</v>
      </c>
      <c r="G1104" s="200" t="s">
        <v>688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394</v>
      </c>
      <c r="G1105" s="200" t="s">
        <v>688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445</v>
      </c>
      <c r="G1106" s="200" t="s">
        <v>688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393</v>
      </c>
      <c r="G1107" s="200" t="s">
        <v>688</v>
      </c>
    </row>
    <row r="1108" spans="1:7" hidden="1">
      <c r="A1108" s="199" t="s">
        <v>534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394</v>
      </c>
      <c r="G1108" s="200" t="s">
        <v>688</v>
      </c>
    </row>
    <row r="1109" spans="1:7">
      <c r="A1109" s="199" t="s">
        <v>534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394</v>
      </c>
      <c r="G1109" s="200" t="s">
        <v>688</v>
      </c>
    </row>
    <row r="1110" spans="1:7">
      <c r="A1110" s="199" t="s">
        <v>534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408</v>
      </c>
      <c r="G1110" s="200" t="s">
        <v>688</v>
      </c>
    </row>
    <row r="1111" spans="1:7" hidden="1">
      <c r="A1111" s="199" t="s">
        <v>535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394</v>
      </c>
      <c r="G1111" s="200" t="s">
        <v>688</v>
      </c>
    </row>
    <row r="1112" spans="1:7">
      <c r="A1112" s="199" t="s">
        <v>535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394</v>
      </c>
      <c r="G1112" s="200" t="s">
        <v>688</v>
      </c>
    </row>
    <row r="1113" spans="1:7">
      <c r="A1113" s="199" t="s">
        <v>535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408</v>
      </c>
      <c r="G1113" s="200" t="s">
        <v>688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408</v>
      </c>
      <c r="G1114" s="200" t="s">
        <v>688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393</v>
      </c>
      <c r="G1115" s="200" t="s">
        <v>688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413</v>
      </c>
      <c r="G1116" s="200" t="s">
        <v>688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437</v>
      </c>
      <c r="E1117" s="201" t="s">
        <v>320</v>
      </c>
      <c r="F1117" s="200" t="s">
        <v>394</v>
      </c>
      <c r="G1117" s="200" t="s">
        <v>688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437</v>
      </c>
      <c r="E1118" s="201" t="s">
        <v>320</v>
      </c>
      <c r="F1118" s="200" t="s">
        <v>393</v>
      </c>
      <c r="G1118" s="200" t="s">
        <v>688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394</v>
      </c>
      <c r="G1119" s="200" t="s">
        <v>688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408</v>
      </c>
      <c r="G1120" s="200" t="s">
        <v>688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393</v>
      </c>
      <c r="G1121" s="200" t="s">
        <v>688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413</v>
      </c>
      <c r="G1122" s="200" t="s">
        <v>688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403</v>
      </c>
      <c r="G1123" s="200" t="s">
        <v>688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442</v>
      </c>
      <c r="E1124" s="201" t="s">
        <v>320</v>
      </c>
      <c r="F1124" s="200" t="s">
        <v>394</v>
      </c>
      <c r="G1124" s="200" t="s">
        <v>688</v>
      </c>
    </row>
    <row r="1125" spans="1:7" hidden="1">
      <c r="A1125" s="199" t="s">
        <v>536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394</v>
      </c>
      <c r="G1125" s="200" t="s">
        <v>688</v>
      </c>
    </row>
    <row r="1126" spans="1:7" hidden="1">
      <c r="A1126" s="199" t="s">
        <v>536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441</v>
      </c>
      <c r="G1126" s="200" t="s">
        <v>688</v>
      </c>
    </row>
    <row r="1127" spans="1:7">
      <c r="A1127" s="199" t="s">
        <v>536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394</v>
      </c>
      <c r="G1127" s="200" t="s">
        <v>688</v>
      </c>
    </row>
    <row r="1128" spans="1:7">
      <c r="A1128" s="199" t="s">
        <v>536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408</v>
      </c>
      <c r="G1128" s="200" t="s">
        <v>688</v>
      </c>
    </row>
    <row r="1129" spans="1:7">
      <c r="A1129" s="199" t="s">
        <v>536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393</v>
      </c>
      <c r="G1129" s="200" t="s">
        <v>688</v>
      </c>
    </row>
    <row r="1130" spans="1:7">
      <c r="A1130" s="199" t="s">
        <v>536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441</v>
      </c>
      <c r="G1130" s="200" t="s">
        <v>688</v>
      </c>
    </row>
    <row r="1131" spans="1:7" hidden="1">
      <c r="A1131" s="199" t="s">
        <v>537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394</v>
      </c>
      <c r="G1131" s="200" t="s">
        <v>688</v>
      </c>
    </row>
    <row r="1132" spans="1:7" hidden="1">
      <c r="A1132" s="199" t="s">
        <v>537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408</v>
      </c>
      <c r="G1132" s="200" t="s">
        <v>688</v>
      </c>
    </row>
    <row r="1133" spans="1:7" hidden="1">
      <c r="A1133" s="199" t="s">
        <v>537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441</v>
      </c>
      <c r="G1133" s="200" t="s">
        <v>688</v>
      </c>
    </row>
    <row r="1134" spans="1:7">
      <c r="A1134" s="199" t="s">
        <v>537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394</v>
      </c>
      <c r="G1134" s="200" t="s">
        <v>688</v>
      </c>
    </row>
    <row r="1135" spans="1:7">
      <c r="A1135" s="199" t="s">
        <v>537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408</v>
      </c>
      <c r="G1135" s="200" t="s">
        <v>688</v>
      </c>
    </row>
    <row r="1136" spans="1:7">
      <c r="A1136" s="199" t="s">
        <v>537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393</v>
      </c>
      <c r="G1136" s="200" t="s">
        <v>688</v>
      </c>
    </row>
    <row r="1137" spans="1:7">
      <c r="A1137" s="199" t="s">
        <v>537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441</v>
      </c>
      <c r="G1137" s="200" t="s">
        <v>688</v>
      </c>
    </row>
    <row r="1138" spans="1:7" hidden="1">
      <c r="A1138" s="199" t="s">
        <v>538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394</v>
      </c>
      <c r="G1138" s="200" t="s">
        <v>688</v>
      </c>
    </row>
    <row r="1139" spans="1:7" hidden="1">
      <c r="A1139" s="199" t="s">
        <v>538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441</v>
      </c>
      <c r="G1139" s="200" t="s">
        <v>688</v>
      </c>
    </row>
    <row r="1140" spans="1:7">
      <c r="A1140" s="199" t="s">
        <v>538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394</v>
      </c>
      <c r="G1140" s="200" t="s">
        <v>688</v>
      </c>
    </row>
    <row r="1141" spans="1:7">
      <c r="A1141" s="199" t="s">
        <v>538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408</v>
      </c>
      <c r="G1141" s="200" t="s">
        <v>688</v>
      </c>
    </row>
    <row r="1142" spans="1:7">
      <c r="A1142" s="199" t="s">
        <v>538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393</v>
      </c>
      <c r="G1142" s="200" t="s">
        <v>688</v>
      </c>
    </row>
    <row r="1143" spans="1:7">
      <c r="A1143" s="199" t="s">
        <v>538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441</v>
      </c>
      <c r="G1143" s="200" t="s">
        <v>688</v>
      </c>
    </row>
    <row r="1144" spans="1:7" hidden="1">
      <c r="A1144" s="199" t="s">
        <v>539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394</v>
      </c>
      <c r="G1144" s="200" t="s">
        <v>688</v>
      </c>
    </row>
    <row r="1145" spans="1:7" hidden="1">
      <c r="A1145" s="199" t="s">
        <v>539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408</v>
      </c>
      <c r="G1145" s="200" t="s">
        <v>688</v>
      </c>
    </row>
    <row r="1146" spans="1:7" hidden="1">
      <c r="A1146" s="199" t="s">
        <v>539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441</v>
      </c>
      <c r="G1146" s="200" t="s">
        <v>688</v>
      </c>
    </row>
    <row r="1147" spans="1:7">
      <c r="A1147" s="199" t="s">
        <v>539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394</v>
      </c>
      <c r="G1147" s="200" t="s">
        <v>688</v>
      </c>
    </row>
    <row r="1148" spans="1:7">
      <c r="A1148" s="199" t="s">
        <v>539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408</v>
      </c>
      <c r="G1148" s="200" t="s">
        <v>688</v>
      </c>
    </row>
    <row r="1149" spans="1:7">
      <c r="A1149" s="199" t="s">
        <v>539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393</v>
      </c>
      <c r="G1149" s="200" t="s">
        <v>688</v>
      </c>
    </row>
    <row r="1150" spans="1:7">
      <c r="A1150" s="199" t="s">
        <v>539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441</v>
      </c>
      <c r="G1150" s="200" t="s">
        <v>688</v>
      </c>
    </row>
    <row r="1151" spans="1:7" hidden="1">
      <c r="A1151" s="199" t="s">
        <v>540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394</v>
      </c>
      <c r="G1151" s="200" t="s">
        <v>688</v>
      </c>
    </row>
    <row r="1152" spans="1:7">
      <c r="A1152" s="199" t="s">
        <v>540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394</v>
      </c>
      <c r="G1152" s="200" t="s">
        <v>688</v>
      </c>
    </row>
    <row r="1153" spans="1:7">
      <c r="A1153" s="199" t="s">
        <v>540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408</v>
      </c>
      <c r="G1153" s="200" t="s">
        <v>688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394</v>
      </c>
      <c r="G1154" s="200" t="s">
        <v>688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394</v>
      </c>
      <c r="G1155" s="200" t="s">
        <v>688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408</v>
      </c>
      <c r="G1156" s="200" t="s">
        <v>688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394</v>
      </c>
      <c r="G1157" s="200" t="s">
        <v>688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394</v>
      </c>
      <c r="G1158" s="200" t="s">
        <v>688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408</v>
      </c>
      <c r="G1159" s="200" t="s">
        <v>688</v>
      </c>
    </row>
    <row r="1160" spans="1:7" hidden="1">
      <c r="A1160" s="199" t="s">
        <v>541</v>
      </c>
      <c r="B1160" s="200">
        <v>-40000</v>
      </c>
      <c r="C1160" s="200">
        <v>0</v>
      </c>
      <c r="D1160" s="201" t="s">
        <v>463</v>
      </c>
      <c r="E1160" s="201" t="s">
        <v>464</v>
      </c>
      <c r="F1160" s="200" t="s">
        <v>413</v>
      </c>
      <c r="G1160" s="200" t="s">
        <v>688</v>
      </c>
    </row>
    <row r="1161" spans="1:7" hidden="1">
      <c r="A1161" s="199" t="s">
        <v>541</v>
      </c>
      <c r="B1161" s="200">
        <v>40000</v>
      </c>
      <c r="C1161" s="200">
        <v>0</v>
      </c>
      <c r="D1161" s="201" t="s">
        <v>463</v>
      </c>
      <c r="E1161" s="201" t="s">
        <v>464</v>
      </c>
      <c r="F1161" s="200" t="s">
        <v>469</v>
      </c>
      <c r="G1161" s="200" t="s">
        <v>688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394</v>
      </c>
      <c r="G1162" s="200" t="s">
        <v>688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441</v>
      </c>
      <c r="G1163" s="200" t="s">
        <v>688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394</v>
      </c>
      <c r="G1164" s="200" t="s">
        <v>688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445</v>
      </c>
      <c r="G1165" s="200" t="s">
        <v>688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393</v>
      </c>
      <c r="G1166" s="200" t="s">
        <v>688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441</v>
      </c>
      <c r="G1167" s="200" t="s">
        <v>688</v>
      </c>
    </row>
    <row r="1168" spans="1:7" hidden="1">
      <c r="A1168" s="199" t="s">
        <v>543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413</v>
      </c>
      <c r="G1168" s="200" t="s">
        <v>688</v>
      </c>
    </row>
    <row r="1169" spans="1:7" hidden="1">
      <c r="A1169" s="199" t="s">
        <v>543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441</v>
      </c>
      <c r="G1169" s="200" t="s">
        <v>688</v>
      </c>
    </row>
    <row r="1170" spans="1:7">
      <c r="A1170" s="199" t="s">
        <v>543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413</v>
      </c>
      <c r="G1170" s="200" t="s">
        <v>688</v>
      </c>
    </row>
    <row r="1171" spans="1:7">
      <c r="A1171" s="199" t="s">
        <v>543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441</v>
      </c>
      <c r="G1171" s="200" t="s">
        <v>688</v>
      </c>
    </row>
    <row r="1172" spans="1:7" hidden="1">
      <c r="A1172" s="199" t="s">
        <v>544</v>
      </c>
      <c r="B1172" s="200">
        <v>-148</v>
      </c>
      <c r="C1172" s="200">
        <v>0</v>
      </c>
      <c r="D1172" s="201" t="s">
        <v>440</v>
      </c>
      <c r="E1172" s="201" t="s">
        <v>317</v>
      </c>
      <c r="F1172" s="200" t="s">
        <v>394</v>
      </c>
      <c r="G1172" s="200" t="s">
        <v>688</v>
      </c>
    </row>
    <row r="1173" spans="1:7" hidden="1">
      <c r="A1173" s="199" t="s">
        <v>544</v>
      </c>
      <c r="B1173" s="200">
        <v>229</v>
      </c>
      <c r="C1173" s="200">
        <v>0</v>
      </c>
      <c r="D1173" s="201" t="s">
        <v>440</v>
      </c>
      <c r="E1173" s="201" t="s">
        <v>317</v>
      </c>
      <c r="F1173" s="200" t="s">
        <v>407</v>
      </c>
      <c r="G1173" s="200" t="s">
        <v>688</v>
      </c>
    </row>
    <row r="1174" spans="1:7" hidden="1">
      <c r="A1174" s="199" t="s">
        <v>544</v>
      </c>
      <c r="B1174" s="200">
        <v>69</v>
      </c>
      <c r="C1174" s="200">
        <v>0</v>
      </c>
      <c r="D1174" s="201" t="s">
        <v>442</v>
      </c>
      <c r="E1174" s="201" t="s">
        <v>317</v>
      </c>
      <c r="F1174" s="200" t="s">
        <v>394</v>
      </c>
      <c r="G1174" s="200" t="s">
        <v>688</v>
      </c>
    </row>
    <row r="1175" spans="1:7" hidden="1">
      <c r="A1175" s="199" t="s">
        <v>544</v>
      </c>
      <c r="B1175" s="200">
        <v>81</v>
      </c>
      <c r="C1175" s="200">
        <v>0</v>
      </c>
      <c r="D1175" s="201" t="s">
        <v>474</v>
      </c>
      <c r="E1175" s="201" t="s">
        <v>317</v>
      </c>
      <c r="F1175" s="200" t="s">
        <v>394</v>
      </c>
      <c r="G1175" s="200" t="s">
        <v>688</v>
      </c>
    </row>
    <row r="1176" spans="1:7" hidden="1">
      <c r="A1176" s="199" t="s">
        <v>546</v>
      </c>
      <c r="B1176" s="200">
        <v>32</v>
      </c>
      <c r="C1176" s="200">
        <v>0</v>
      </c>
      <c r="D1176" s="201" t="s">
        <v>437</v>
      </c>
      <c r="E1176" s="201" t="s">
        <v>547</v>
      </c>
      <c r="F1176" s="200" t="s">
        <v>394</v>
      </c>
      <c r="G1176" s="200" t="s">
        <v>688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394</v>
      </c>
      <c r="G1177" s="200" t="s">
        <v>688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441</v>
      </c>
      <c r="G1178" s="200" t="s">
        <v>688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437</v>
      </c>
      <c r="E1179" s="201" t="s">
        <v>317</v>
      </c>
      <c r="F1179" s="200" t="s">
        <v>394</v>
      </c>
      <c r="G1179" s="200" t="s">
        <v>688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437</v>
      </c>
      <c r="E1180" s="201" t="s">
        <v>317</v>
      </c>
      <c r="F1180" s="200" t="s">
        <v>441</v>
      </c>
      <c r="G1180" s="200" t="s">
        <v>688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394</v>
      </c>
      <c r="G1181" s="200" t="s">
        <v>688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445</v>
      </c>
      <c r="G1182" s="200" t="s">
        <v>688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408</v>
      </c>
      <c r="G1183" s="200" t="s">
        <v>688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393</v>
      </c>
      <c r="G1184" s="200" t="s">
        <v>688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413</v>
      </c>
      <c r="G1185" s="200" t="s">
        <v>688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441</v>
      </c>
      <c r="G1186" s="200" t="s">
        <v>688</v>
      </c>
    </row>
    <row r="1187" spans="1:7" hidden="1">
      <c r="A1187" s="199" t="s">
        <v>548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394</v>
      </c>
      <c r="G1187" s="200" t="s">
        <v>688</v>
      </c>
    </row>
    <row r="1188" spans="1:7" hidden="1">
      <c r="A1188" s="199" t="s">
        <v>548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408</v>
      </c>
      <c r="G1188" s="200" t="s">
        <v>688</v>
      </c>
    </row>
    <row r="1189" spans="1:7">
      <c r="A1189" s="199" t="s">
        <v>548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394</v>
      </c>
      <c r="G1189" s="200" t="s">
        <v>688</v>
      </c>
    </row>
    <row r="1190" spans="1:7">
      <c r="A1190" s="199" t="s">
        <v>548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408</v>
      </c>
      <c r="G1190" s="200" t="s">
        <v>688</v>
      </c>
    </row>
    <row r="1191" spans="1:7">
      <c r="A1191" s="199" t="s">
        <v>548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393</v>
      </c>
      <c r="G1191" s="200" t="s">
        <v>688</v>
      </c>
    </row>
    <row r="1192" spans="1:7" hidden="1">
      <c r="A1192" s="199" t="s">
        <v>549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394</v>
      </c>
      <c r="G1192" s="200" t="s">
        <v>688</v>
      </c>
    </row>
    <row r="1193" spans="1:7" hidden="1">
      <c r="A1193" s="199" t="s">
        <v>549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408</v>
      </c>
      <c r="G1193" s="200" t="s">
        <v>688</v>
      </c>
    </row>
    <row r="1194" spans="1:7">
      <c r="A1194" s="199" t="s">
        <v>549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394</v>
      </c>
      <c r="G1194" s="200" t="s">
        <v>688</v>
      </c>
    </row>
    <row r="1195" spans="1:7">
      <c r="A1195" s="199" t="s">
        <v>549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408</v>
      </c>
      <c r="G1195" s="200" t="s">
        <v>688</v>
      </c>
    </row>
    <row r="1196" spans="1:7">
      <c r="A1196" s="199" t="s">
        <v>549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393</v>
      </c>
      <c r="G1196" s="200" t="s">
        <v>688</v>
      </c>
    </row>
    <row r="1197" spans="1:7" hidden="1">
      <c r="A1197" s="199" t="s">
        <v>550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394</v>
      </c>
      <c r="G1197" s="200" t="s">
        <v>688</v>
      </c>
    </row>
    <row r="1198" spans="1:7">
      <c r="A1198" s="199" t="s">
        <v>550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394</v>
      </c>
      <c r="G1198" s="200" t="s">
        <v>688</v>
      </c>
    </row>
    <row r="1199" spans="1:7">
      <c r="A1199" s="199" t="s">
        <v>550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408</v>
      </c>
      <c r="G1199" s="200" t="s">
        <v>688</v>
      </c>
    </row>
    <row r="1200" spans="1:7">
      <c r="A1200" s="199" t="s">
        <v>550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393</v>
      </c>
      <c r="G1200" s="200" t="s">
        <v>688</v>
      </c>
    </row>
    <row r="1201" spans="1:7">
      <c r="A1201" s="199" t="s">
        <v>551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408</v>
      </c>
      <c r="G1201" s="200" t="s">
        <v>688</v>
      </c>
    </row>
    <row r="1202" spans="1:7">
      <c r="A1202" s="199" t="s">
        <v>551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393</v>
      </c>
      <c r="G1202" s="200" t="s">
        <v>688</v>
      </c>
    </row>
    <row r="1203" spans="1:7" hidden="1">
      <c r="A1203" s="199" t="s">
        <v>552</v>
      </c>
      <c r="B1203" s="200">
        <v>4</v>
      </c>
      <c r="C1203" s="200">
        <v>0</v>
      </c>
      <c r="D1203" s="201" t="s">
        <v>437</v>
      </c>
      <c r="E1203" s="201" t="s">
        <v>553</v>
      </c>
      <c r="F1203" s="200" t="s">
        <v>394</v>
      </c>
      <c r="G1203" s="200" t="s">
        <v>688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394</v>
      </c>
      <c r="G1204" s="200" t="s">
        <v>688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393</v>
      </c>
      <c r="G1205" s="200" t="s">
        <v>688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413</v>
      </c>
      <c r="G1206" s="200" t="s">
        <v>688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403</v>
      </c>
      <c r="G1207" s="200" t="s">
        <v>688</v>
      </c>
    </row>
    <row r="1208" spans="1:7" hidden="1">
      <c r="A1208" s="199" t="s">
        <v>712</v>
      </c>
      <c r="B1208" s="200">
        <v>62000</v>
      </c>
      <c r="C1208" s="200">
        <v>0</v>
      </c>
      <c r="D1208" s="201" t="s">
        <v>463</v>
      </c>
      <c r="E1208" s="201" t="s">
        <v>464</v>
      </c>
      <c r="F1208" s="200" t="s">
        <v>394</v>
      </c>
      <c r="G1208" s="200" t="s">
        <v>688</v>
      </c>
    </row>
    <row r="1209" spans="1:7" hidden="1">
      <c r="A1209" s="199" t="s">
        <v>712</v>
      </c>
      <c r="B1209" s="200">
        <v>-117000</v>
      </c>
      <c r="C1209" s="200">
        <v>0</v>
      </c>
      <c r="D1209" s="201" t="s">
        <v>463</v>
      </c>
      <c r="E1209" s="201" t="s">
        <v>464</v>
      </c>
      <c r="F1209" s="200" t="s">
        <v>468</v>
      </c>
      <c r="G1209" s="200" t="s">
        <v>688</v>
      </c>
    </row>
    <row r="1210" spans="1:7" hidden="1">
      <c r="A1210" s="199" t="s">
        <v>712</v>
      </c>
      <c r="B1210" s="200">
        <v>55000</v>
      </c>
      <c r="C1210" s="200">
        <v>0</v>
      </c>
      <c r="D1210" s="201" t="s">
        <v>463</v>
      </c>
      <c r="E1210" s="201" t="s">
        <v>464</v>
      </c>
      <c r="F1210" s="200" t="s">
        <v>469</v>
      </c>
      <c r="G1210" s="200" t="s">
        <v>688</v>
      </c>
    </row>
    <row r="1211" spans="1:7" hidden="1">
      <c r="A1211" s="199" t="s">
        <v>554</v>
      </c>
      <c r="B1211" s="200">
        <v>-81000</v>
      </c>
      <c r="C1211" s="200">
        <v>0</v>
      </c>
      <c r="D1211" s="201" t="s">
        <v>463</v>
      </c>
      <c r="E1211" s="201" t="s">
        <v>464</v>
      </c>
      <c r="F1211" s="200" t="s">
        <v>394</v>
      </c>
      <c r="G1211" s="200" t="s">
        <v>688</v>
      </c>
    </row>
    <row r="1212" spans="1:7" hidden="1">
      <c r="A1212" s="199" t="s">
        <v>554</v>
      </c>
      <c r="B1212" s="200">
        <v>29000</v>
      </c>
      <c r="C1212" s="200">
        <v>0</v>
      </c>
      <c r="D1212" s="201" t="s">
        <v>463</v>
      </c>
      <c r="E1212" s="201" t="s">
        <v>464</v>
      </c>
      <c r="F1212" s="200" t="s">
        <v>413</v>
      </c>
      <c r="G1212" s="200" t="s">
        <v>688</v>
      </c>
    </row>
    <row r="1213" spans="1:7" hidden="1">
      <c r="A1213" s="199" t="s">
        <v>554</v>
      </c>
      <c r="B1213" s="200">
        <v>52000</v>
      </c>
      <c r="C1213" s="200">
        <v>0</v>
      </c>
      <c r="D1213" s="201" t="s">
        <v>463</v>
      </c>
      <c r="E1213" s="201" t="s">
        <v>464</v>
      </c>
      <c r="F1213" s="200" t="s">
        <v>469</v>
      </c>
      <c r="G1213" s="200" t="s">
        <v>688</v>
      </c>
    </row>
    <row r="1214" spans="1:7">
      <c r="A1214" s="199" t="s">
        <v>555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408</v>
      </c>
      <c r="G1214" s="200" t="s">
        <v>688</v>
      </c>
    </row>
    <row r="1215" spans="1:7">
      <c r="A1215" s="199" t="s">
        <v>555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393</v>
      </c>
      <c r="G1215" s="200" t="s">
        <v>688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394</v>
      </c>
      <c r="G1216" s="200" t="s">
        <v>688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413</v>
      </c>
      <c r="G1217" s="200" t="s">
        <v>688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441</v>
      </c>
      <c r="G1218" s="200" t="s">
        <v>688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394</v>
      </c>
      <c r="G1219" s="200" t="s">
        <v>688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408</v>
      </c>
      <c r="G1220" s="200" t="s">
        <v>688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393</v>
      </c>
      <c r="G1221" s="200" t="s">
        <v>688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413</v>
      </c>
      <c r="G1222" s="200" t="s">
        <v>688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403</v>
      </c>
      <c r="G1223" s="200" t="s">
        <v>688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441</v>
      </c>
      <c r="G1224" s="200" t="s">
        <v>688</v>
      </c>
    </row>
    <row r="1225" spans="1:7" hidden="1">
      <c r="A1225" s="199" t="s">
        <v>556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394</v>
      </c>
      <c r="G1225" s="200" t="s">
        <v>688</v>
      </c>
    </row>
    <row r="1226" spans="1:7">
      <c r="A1226" s="199" t="s">
        <v>556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394</v>
      </c>
      <c r="G1226" s="200" t="s">
        <v>688</v>
      </c>
    </row>
    <row r="1227" spans="1:7">
      <c r="A1227" s="199" t="s">
        <v>556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408</v>
      </c>
      <c r="G1227" s="200" t="s">
        <v>688</v>
      </c>
    </row>
    <row r="1228" spans="1:7" hidden="1">
      <c r="A1228" s="199" t="s">
        <v>557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394</v>
      </c>
      <c r="G1228" s="200" t="s">
        <v>688</v>
      </c>
    </row>
    <row r="1229" spans="1:7">
      <c r="A1229" s="199" t="s">
        <v>557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394</v>
      </c>
      <c r="G1229" s="200" t="s">
        <v>688</v>
      </c>
    </row>
    <row r="1230" spans="1:7">
      <c r="A1230" s="199" t="s">
        <v>557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408</v>
      </c>
      <c r="G1230" s="200" t="s">
        <v>688</v>
      </c>
    </row>
    <row r="1231" spans="1:7" hidden="1">
      <c r="A1231" s="199" t="s">
        <v>558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394</v>
      </c>
      <c r="G1231" s="200" t="s">
        <v>688</v>
      </c>
    </row>
    <row r="1232" spans="1:7">
      <c r="A1232" s="199" t="s">
        <v>558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394</v>
      </c>
      <c r="G1232" s="200" t="s">
        <v>688</v>
      </c>
    </row>
    <row r="1233" spans="1:7">
      <c r="A1233" s="199" t="s">
        <v>558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408</v>
      </c>
      <c r="G1233" s="200" t="s">
        <v>688</v>
      </c>
    </row>
    <row r="1234" spans="1:7" hidden="1">
      <c r="A1234" s="199" t="s">
        <v>559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394</v>
      </c>
      <c r="G1234" s="200" t="s">
        <v>688</v>
      </c>
    </row>
    <row r="1235" spans="1:7">
      <c r="A1235" s="199" t="s">
        <v>559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394</v>
      </c>
      <c r="G1235" s="200" t="s">
        <v>688</v>
      </c>
    </row>
    <row r="1236" spans="1:7">
      <c r="A1236" s="199" t="s">
        <v>559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408</v>
      </c>
      <c r="G1236" s="200" t="s">
        <v>688</v>
      </c>
    </row>
    <row r="1237" spans="1:7">
      <c r="A1237" s="199" t="s">
        <v>560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394</v>
      </c>
      <c r="G1237" s="200" t="s">
        <v>688</v>
      </c>
    </row>
    <row r="1238" spans="1:7">
      <c r="A1238" s="199" t="s">
        <v>560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408</v>
      </c>
      <c r="G1238" s="200" t="s">
        <v>688</v>
      </c>
    </row>
    <row r="1239" spans="1:7">
      <c r="A1239" s="199" t="s">
        <v>560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393</v>
      </c>
      <c r="G1239" s="200" t="s">
        <v>688</v>
      </c>
    </row>
    <row r="1240" spans="1:7" hidden="1">
      <c r="A1240" s="199" t="s">
        <v>561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394</v>
      </c>
      <c r="G1240" s="200" t="s">
        <v>688</v>
      </c>
    </row>
    <row r="1241" spans="1:7" hidden="1">
      <c r="A1241" s="199" t="s">
        <v>561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408</v>
      </c>
      <c r="G1241" s="200" t="s">
        <v>688</v>
      </c>
    </row>
    <row r="1242" spans="1:7">
      <c r="A1242" s="199" t="s">
        <v>561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394</v>
      </c>
      <c r="G1242" s="200" t="s">
        <v>688</v>
      </c>
    </row>
    <row r="1243" spans="1:7">
      <c r="A1243" s="199" t="s">
        <v>561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408</v>
      </c>
      <c r="G1243" s="200" t="s">
        <v>688</v>
      </c>
    </row>
    <row r="1244" spans="1:7" hidden="1">
      <c r="A1244" s="199" t="s">
        <v>562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394</v>
      </c>
      <c r="G1244" s="200" t="s">
        <v>688</v>
      </c>
    </row>
    <row r="1245" spans="1:7" hidden="1">
      <c r="A1245" s="199" t="s">
        <v>562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408</v>
      </c>
      <c r="G1245" s="200" t="s">
        <v>688</v>
      </c>
    </row>
    <row r="1246" spans="1:7">
      <c r="A1246" s="199" t="s">
        <v>562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394</v>
      </c>
      <c r="G1246" s="200" t="s">
        <v>688</v>
      </c>
    </row>
    <row r="1247" spans="1:7">
      <c r="A1247" s="199" t="s">
        <v>562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408</v>
      </c>
      <c r="G1247" s="200" t="s">
        <v>688</v>
      </c>
    </row>
    <row r="1248" spans="1:7">
      <c r="A1248" s="199" t="s">
        <v>562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393</v>
      </c>
      <c r="G1248" s="200" t="s">
        <v>688</v>
      </c>
    </row>
    <row r="1249" spans="1:7">
      <c r="A1249" s="199" t="s">
        <v>563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394</v>
      </c>
      <c r="G1249" s="200" t="s">
        <v>688</v>
      </c>
    </row>
    <row r="1250" spans="1:7">
      <c r="A1250" s="199" t="s">
        <v>563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408</v>
      </c>
      <c r="G1250" s="200" t="s">
        <v>688</v>
      </c>
    </row>
    <row r="1251" spans="1:7">
      <c r="A1251" s="199" t="s">
        <v>564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394</v>
      </c>
      <c r="G1251" s="200" t="s">
        <v>688</v>
      </c>
    </row>
    <row r="1252" spans="1:7">
      <c r="A1252" s="199" t="s">
        <v>564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408</v>
      </c>
      <c r="G1252" s="200" t="s">
        <v>688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394</v>
      </c>
      <c r="G1253" s="200" t="s">
        <v>688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445</v>
      </c>
      <c r="G1254" s="200" t="s">
        <v>688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393</v>
      </c>
      <c r="G1255" s="200" t="s">
        <v>688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413</v>
      </c>
      <c r="G1256" s="200" t="s">
        <v>688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403</v>
      </c>
      <c r="G1257" s="200" t="s">
        <v>688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449</v>
      </c>
      <c r="G1258" s="200" t="s">
        <v>688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442</v>
      </c>
      <c r="E1259" s="201" t="s">
        <v>317</v>
      </c>
      <c r="F1259" s="200" t="s">
        <v>394</v>
      </c>
      <c r="G1259" s="200" t="s">
        <v>688</v>
      </c>
    </row>
    <row r="1260" spans="1:7">
      <c r="A1260" s="199" t="s">
        <v>565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394</v>
      </c>
      <c r="G1260" s="200" t="s">
        <v>688</v>
      </c>
    </row>
    <row r="1261" spans="1:7">
      <c r="A1261" s="199" t="s">
        <v>565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393</v>
      </c>
      <c r="G1261" s="200" t="s">
        <v>688</v>
      </c>
    </row>
    <row r="1262" spans="1:7">
      <c r="A1262" s="199" t="s">
        <v>566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394</v>
      </c>
      <c r="G1262" s="200" t="s">
        <v>688</v>
      </c>
    </row>
    <row r="1263" spans="1:7">
      <c r="A1263" s="199" t="s">
        <v>566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408</v>
      </c>
      <c r="G1263" s="200" t="s">
        <v>688</v>
      </c>
    </row>
    <row r="1264" spans="1:7">
      <c r="A1264" s="199" t="s">
        <v>566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393</v>
      </c>
      <c r="G1264" s="200" t="s">
        <v>688</v>
      </c>
    </row>
    <row r="1265" spans="1:7">
      <c r="A1265" s="199" t="s">
        <v>713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394</v>
      </c>
      <c r="G1265" s="200" t="s">
        <v>688</v>
      </c>
    </row>
    <row r="1266" spans="1:7">
      <c r="A1266" s="199" t="s">
        <v>713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408</v>
      </c>
      <c r="G1266" s="200" t="s">
        <v>688</v>
      </c>
    </row>
    <row r="1267" spans="1:7" hidden="1">
      <c r="A1267" s="199" t="s">
        <v>567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394</v>
      </c>
      <c r="G1267" s="200" t="s">
        <v>688</v>
      </c>
    </row>
    <row r="1268" spans="1:7">
      <c r="A1268" s="199" t="s">
        <v>567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394</v>
      </c>
      <c r="G1268" s="200" t="s">
        <v>688</v>
      </c>
    </row>
    <row r="1269" spans="1:7">
      <c r="A1269" s="199" t="s">
        <v>567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393</v>
      </c>
      <c r="G1269" s="200" t="s">
        <v>688</v>
      </c>
    </row>
    <row r="1270" spans="1:7" hidden="1">
      <c r="A1270" s="199" t="s">
        <v>568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394</v>
      </c>
      <c r="G1270" s="200" t="s">
        <v>688</v>
      </c>
    </row>
    <row r="1271" spans="1:7">
      <c r="A1271" s="199" t="s">
        <v>568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394</v>
      </c>
      <c r="G1271" s="200" t="s">
        <v>688</v>
      </c>
    </row>
    <row r="1272" spans="1:7">
      <c r="A1272" s="199" t="s">
        <v>568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393</v>
      </c>
      <c r="G1272" s="200" t="s">
        <v>688</v>
      </c>
    </row>
    <row r="1273" spans="1:7">
      <c r="A1273" s="199" t="s">
        <v>569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445</v>
      </c>
      <c r="G1273" s="200" t="s">
        <v>688</v>
      </c>
    </row>
    <row r="1274" spans="1:7">
      <c r="A1274" s="199" t="s">
        <v>569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393</v>
      </c>
      <c r="G1274" s="200" t="s">
        <v>688</v>
      </c>
    </row>
    <row r="1275" spans="1:7">
      <c r="A1275" s="199" t="s">
        <v>714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394</v>
      </c>
      <c r="G1275" s="200" t="s">
        <v>688</v>
      </c>
    </row>
    <row r="1276" spans="1:7">
      <c r="A1276" s="199" t="s">
        <v>714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449</v>
      </c>
      <c r="G1276" s="200" t="s">
        <v>688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394</v>
      </c>
      <c r="G1277" s="200" t="s">
        <v>688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441</v>
      </c>
      <c r="G1278" s="200" t="s">
        <v>688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394</v>
      </c>
      <c r="G1279" s="200" t="s">
        <v>688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393</v>
      </c>
      <c r="G1280" s="200" t="s">
        <v>688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441</v>
      </c>
      <c r="G1281" s="200" t="s">
        <v>688</v>
      </c>
    </row>
    <row r="1282" spans="1:7">
      <c r="A1282" s="199" t="s">
        <v>572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394</v>
      </c>
      <c r="G1282" s="200" t="s">
        <v>688</v>
      </c>
    </row>
    <row r="1283" spans="1:7">
      <c r="A1283" s="199" t="s">
        <v>572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408</v>
      </c>
      <c r="G1283" s="200" t="s">
        <v>688</v>
      </c>
    </row>
    <row r="1284" spans="1:7">
      <c r="A1284" s="199" t="s">
        <v>573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394</v>
      </c>
      <c r="G1284" s="200" t="s">
        <v>688</v>
      </c>
    </row>
    <row r="1285" spans="1:7">
      <c r="A1285" s="199" t="s">
        <v>573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408</v>
      </c>
      <c r="G1285" s="200" t="s">
        <v>688</v>
      </c>
    </row>
    <row r="1286" spans="1:7">
      <c r="A1286" s="199" t="s">
        <v>715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394</v>
      </c>
      <c r="G1286" s="200" t="s">
        <v>688</v>
      </c>
    </row>
    <row r="1287" spans="1:7">
      <c r="A1287" s="199" t="s">
        <v>715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449</v>
      </c>
      <c r="G1287" s="200" t="s">
        <v>688</v>
      </c>
    </row>
    <row r="1288" spans="1:7" hidden="1">
      <c r="A1288" s="199" t="s">
        <v>575</v>
      </c>
      <c r="B1288" s="200">
        <v>11270</v>
      </c>
      <c r="C1288" s="200">
        <v>0</v>
      </c>
      <c r="D1288" s="201" t="s">
        <v>440</v>
      </c>
      <c r="E1288" s="201" t="s">
        <v>317</v>
      </c>
      <c r="F1288" s="200" t="s">
        <v>394</v>
      </c>
      <c r="G1288" s="200" t="s">
        <v>688</v>
      </c>
    </row>
    <row r="1289" spans="1:7" hidden="1">
      <c r="A1289" s="199" t="s">
        <v>575</v>
      </c>
      <c r="B1289" s="200">
        <v>-5670</v>
      </c>
      <c r="C1289" s="200">
        <v>0</v>
      </c>
      <c r="D1289" s="201" t="s">
        <v>440</v>
      </c>
      <c r="E1289" s="201" t="s">
        <v>317</v>
      </c>
      <c r="F1289" s="200" t="s">
        <v>405</v>
      </c>
      <c r="G1289" s="200" t="s">
        <v>688</v>
      </c>
    </row>
    <row r="1290" spans="1:7" hidden="1">
      <c r="A1290" s="199" t="s">
        <v>575</v>
      </c>
      <c r="B1290" s="200">
        <v>-5600</v>
      </c>
      <c r="C1290" s="200">
        <v>0</v>
      </c>
      <c r="D1290" s="201" t="s">
        <v>440</v>
      </c>
      <c r="E1290" s="201" t="s">
        <v>317</v>
      </c>
      <c r="F1290" s="200" t="s">
        <v>410</v>
      </c>
      <c r="G1290" s="200" t="s">
        <v>688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394</v>
      </c>
      <c r="G1291" s="200" t="s">
        <v>688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397</v>
      </c>
      <c r="G1292" s="200" t="s">
        <v>688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393</v>
      </c>
      <c r="G1293" s="200" t="s">
        <v>688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441</v>
      </c>
      <c r="G1294" s="200" t="s">
        <v>688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411</v>
      </c>
      <c r="G1295" s="200" t="s">
        <v>688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394</v>
      </c>
      <c r="G1296" s="200" t="s">
        <v>688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445</v>
      </c>
      <c r="G1297" s="200" t="s">
        <v>688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397</v>
      </c>
      <c r="G1298" s="200" t="s">
        <v>688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408</v>
      </c>
      <c r="G1299" s="200" t="s">
        <v>688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393</v>
      </c>
      <c r="G1300" s="200" t="s">
        <v>688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407</v>
      </c>
      <c r="G1301" s="200" t="s">
        <v>688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413</v>
      </c>
      <c r="G1302" s="200" t="s">
        <v>688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403</v>
      </c>
      <c r="G1303" s="200" t="s">
        <v>688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441</v>
      </c>
      <c r="G1304" s="200" t="s">
        <v>688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449</v>
      </c>
      <c r="G1305" s="200" t="s">
        <v>688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411</v>
      </c>
      <c r="G1306" s="200" t="s">
        <v>688</v>
      </c>
    </row>
    <row r="1307" spans="1:7" hidden="1">
      <c r="A1307" s="199" t="s">
        <v>576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394</v>
      </c>
      <c r="G1307" s="200" t="s">
        <v>688</v>
      </c>
    </row>
    <row r="1308" spans="1:7" hidden="1">
      <c r="A1308" s="199" t="s">
        <v>576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441</v>
      </c>
      <c r="G1308" s="200" t="s">
        <v>688</v>
      </c>
    </row>
    <row r="1309" spans="1:7">
      <c r="A1309" s="199" t="s">
        <v>576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394</v>
      </c>
      <c r="G1309" s="200" t="s">
        <v>688</v>
      </c>
    </row>
    <row r="1310" spans="1:7">
      <c r="A1310" s="199" t="s">
        <v>576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408</v>
      </c>
      <c r="G1310" s="200" t="s">
        <v>688</v>
      </c>
    </row>
    <row r="1311" spans="1:7">
      <c r="A1311" s="199" t="s">
        <v>576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393</v>
      </c>
      <c r="G1311" s="200" t="s">
        <v>688</v>
      </c>
    </row>
    <row r="1312" spans="1:7">
      <c r="A1312" s="199" t="s">
        <v>576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441</v>
      </c>
      <c r="G1312" s="200" t="s">
        <v>688</v>
      </c>
    </row>
    <row r="1313" spans="1:7">
      <c r="A1313" s="199" t="s">
        <v>577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408</v>
      </c>
      <c r="G1313" s="200" t="s">
        <v>688</v>
      </c>
    </row>
    <row r="1314" spans="1:7">
      <c r="A1314" s="199" t="s">
        <v>577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393</v>
      </c>
      <c r="G1314" s="200" t="s">
        <v>688</v>
      </c>
    </row>
    <row r="1315" spans="1:7">
      <c r="A1315" s="199" t="s">
        <v>578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394</v>
      </c>
      <c r="G1315" s="200" t="s">
        <v>688</v>
      </c>
    </row>
    <row r="1316" spans="1:7">
      <c r="A1316" s="199" t="s">
        <v>578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408</v>
      </c>
      <c r="G1316" s="200" t="s">
        <v>688</v>
      </c>
    </row>
    <row r="1317" spans="1:7">
      <c r="A1317" s="199" t="s">
        <v>578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393</v>
      </c>
      <c r="G1317" s="200" t="s">
        <v>688</v>
      </c>
    </row>
    <row r="1318" spans="1:7">
      <c r="A1318" s="199" t="s">
        <v>579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408</v>
      </c>
      <c r="G1318" s="200" t="s">
        <v>688</v>
      </c>
    </row>
    <row r="1319" spans="1:7">
      <c r="A1319" s="199" t="s">
        <v>579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393</v>
      </c>
      <c r="G1319" s="200" t="s">
        <v>688</v>
      </c>
    </row>
    <row r="1320" spans="1:7" hidden="1">
      <c r="A1320" s="199" t="s">
        <v>580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394</v>
      </c>
      <c r="G1320" s="200" t="s">
        <v>688</v>
      </c>
    </row>
    <row r="1321" spans="1:7">
      <c r="A1321" s="199" t="s">
        <v>580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394</v>
      </c>
      <c r="G1321" s="200" t="s">
        <v>688</v>
      </c>
    </row>
    <row r="1322" spans="1:7">
      <c r="A1322" s="199" t="s">
        <v>580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408</v>
      </c>
      <c r="G1322" s="200" t="s">
        <v>688</v>
      </c>
    </row>
    <row r="1323" spans="1:7">
      <c r="A1323" s="199" t="s">
        <v>580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393</v>
      </c>
      <c r="G1323" s="200" t="s">
        <v>688</v>
      </c>
    </row>
    <row r="1324" spans="1:7">
      <c r="A1324" s="199" t="s">
        <v>581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394</v>
      </c>
      <c r="G1324" s="200" t="s">
        <v>688</v>
      </c>
    </row>
    <row r="1325" spans="1:7">
      <c r="A1325" s="199" t="s">
        <v>581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408</v>
      </c>
      <c r="G1325" s="200" t="s">
        <v>688</v>
      </c>
    </row>
    <row r="1326" spans="1:7" hidden="1">
      <c r="A1326" s="199" t="s">
        <v>582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394</v>
      </c>
      <c r="G1326" s="200" t="s">
        <v>688</v>
      </c>
    </row>
    <row r="1327" spans="1:7">
      <c r="A1327" s="199" t="s">
        <v>582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394</v>
      </c>
      <c r="G1327" s="200" t="s">
        <v>688</v>
      </c>
    </row>
    <row r="1328" spans="1:7">
      <c r="A1328" s="199" t="s">
        <v>582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408</v>
      </c>
      <c r="G1328" s="200" t="s">
        <v>688</v>
      </c>
    </row>
    <row r="1329" spans="1:7">
      <c r="A1329" s="199" t="s">
        <v>582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393</v>
      </c>
      <c r="G1329" s="200" t="s">
        <v>688</v>
      </c>
    </row>
    <row r="1330" spans="1:7">
      <c r="A1330" s="199" t="s">
        <v>583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394</v>
      </c>
      <c r="G1330" s="200" t="s">
        <v>688</v>
      </c>
    </row>
    <row r="1331" spans="1:7">
      <c r="A1331" s="199" t="s">
        <v>583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408</v>
      </c>
      <c r="G1331" s="200" t="s">
        <v>688</v>
      </c>
    </row>
    <row r="1332" spans="1:7" hidden="1">
      <c r="A1332" s="199" t="s">
        <v>584</v>
      </c>
      <c r="B1332" s="200">
        <v>15535</v>
      </c>
      <c r="C1332" s="200">
        <v>0</v>
      </c>
      <c r="D1332" s="201" t="s">
        <v>440</v>
      </c>
      <c r="E1332" s="201" t="s">
        <v>317</v>
      </c>
      <c r="F1332" s="200" t="s">
        <v>394</v>
      </c>
      <c r="G1332" s="200" t="s">
        <v>688</v>
      </c>
    </row>
    <row r="1333" spans="1:7" hidden="1">
      <c r="A1333" s="199" t="s">
        <v>584</v>
      </c>
      <c r="B1333" s="200">
        <v>-4755</v>
      </c>
      <c r="C1333" s="200">
        <v>0</v>
      </c>
      <c r="D1333" s="201" t="s">
        <v>440</v>
      </c>
      <c r="E1333" s="201" t="s">
        <v>317</v>
      </c>
      <c r="F1333" s="200" t="s">
        <v>407</v>
      </c>
      <c r="G1333" s="200" t="s">
        <v>688</v>
      </c>
    </row>
    <row r="1334" spans="1:7" hidden="1">
      <c r="A1334" s="199" t="s">
        <v>584</v>
      </c>
      <c r="B1334" s="200">
        <v>-13934</v>
      </c>
      <c r="C1334" s="200">
        <v>0</v>
      </c>
      <c r="D1334" s="201" t="s">
        <v>474</v>
      </c>
      <c r="E1334" s="201" t="s">
        <v>317</v>
      </c>
      <c r="F1334" s="200" t="s">
        <v>394</v>
      </c>
      <c r="G1334" s="200" t="s">
        <v>688</v>
      </c>
    </row>
    <row r="1335" spans="1:7" hidden="1">
      <c r="A1335" s="199" t="s">
        <v>585</v>
      </c>
      <c r="B1335" s="200">
        <v>-12977</v>
      </c>
      <c r="C1335" s="200">
        <v>0</v>
      </c>
      <c r="D1335" s="201" t="s">
        <v>440</v>
      </c>
      <c r="E1335" s="201" t="s">
        <v>317</v>
      </c>
      <c r="F1335" s="200" t="s">
        <v>407</v>
      </c>
      <c r="G1335" s="200" t="s">
        <v>688</v>
      </c>
    </row>
    <row r="1336" spans="1:7" hidden="1">
      <c r="A1336" s="199" t="s">
        <v>585</v>
      </c>
      <c r="B1336" s="200">
        <v>-1976</v>
      </c>
      <c r="C1336" s="200">
        <v>0</v>
      </c>
      <c r="D1336" s="201" t="s">
        <v>545</v>
      </c>
      <c r="E1336" s="201" t="s">
        <v>317</v>
      </c>
      <c r="F1336" s="200" t="s">
        <v>407</v>
      </c>
      <c r="G1336" s="200" t="s">
        <v>688</v>
      </c>
    </row>
    <row r="1337" spans="1:7" hidden="1">
      <c r="A1337" s="199" t="s">
        <v>586</v>
      </c>
      <c r="B1337" s="200">
        <v>-45436</v>
      </c>
      <c r="C1337" s="200">
        <v>0</v>
      </c>
      <c r="D1337" s="201" t="s">
        <v>440</v>
      </c>
      <c r="E1337" s="201" t="s">
        <v>39</v>
      </c>
      <c r="F1337" s="200" t="s">
        <v>394</v>
      </c>
      <c r="G1337" s="200" t="s">
        <v>688</v>
      </c>
    </row>
    <row r="1338" spans="1:7" hidden="1">
      <c r="A1338" s="199" t="s">
        <v>586</v>
      </c>
      <c r="B1338" s="200">
        <v>-5876</v>
      </c>
      <c r="C1338" s="200">
        <v>0</v>
      </c>
      <c r="D1338" s="201" t="s">
        <v>442</v>
      </c>
      <c r="E1338" s="201" t="s">
        <v>39</v>
      </c>
      <c r="F1338" s="200" t="s">
        <v>394</v>
      </c>
      <c r="G1338" s="200" t="s">
        <v>688</v>
      </c>
    </row>
    <row r="1339" spans="1:7">
      <c r="A1339" s="199" t="s">
        <v>716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394</v>
      </c>
      <c r="G1339" s="200" t="s">
        <v>688</v>
      </c>
    </row>
    <row r="1340" spans="1:7">
      <c r="A1340" s="199" t="s">
        <v>716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449</v>
      </c>
      <c r="G1340" s="200" t="s">
        <v>688</v>
      </c>
    </row>
    <row r="1341" spans="1:7" hidden="1">
      <c r="A1341" s="199" t="s">
        <v>593</v>
      </c>
      <c r="B1341" s="200">
        <v>-27</v>
      </c>
      <c r="C1341" s="200">
        <v>0</v>
      </c>
      <c r="D1341" s="201" t="s">
        <v>437</v>
      </c>
      <c r="E1341" s="201" t="s">
        <v>594</v>
      </c>
      <c r="F1341" s="200" t="s">
        <v>394</v>
      </c>
      <c r="G1341" s="200" t="s">
        <v>688</v>
      </c>
    </row>
    <row r="1342" spans="1:7" hidden="1">
      <c r="A1342" s="199" t="s">
        <v>593</v>
      </c>
      <c r="B1342" s="200">
        <v>27</v>
      </c>
      <c r="C1342" s="200">
        <v>0</v>
      </c>
      <c r="D1342" s="201" t="s">
        <v>437</v>
      </c>
      <c r="E1342" s="201" t="s">
        <v>594</v>
      </c>
      <c r="F1342" s="200" t="s">
        <v>409</v>
      </c>
      <c r="G1342" s="200" t="s">
        <v>688</v>
      </c>
    </row>
    <row r="1343" spans="1:7" hidden="1">
      <c r="A1343" s="199" t="s">
        <v>595</v>
      </c>
      <c r="B1343" s="200">
        <v>27</v>
      </c>
      <c r="C1343" s="200">
        <v>0</v>
      </c>
      <c r="D1343" s="201" t="s">
        <v>437</v>
      </c>
      <c r="E1343" s="201" t="s">
        <v>594</v>
      </c>
      <c r="F1343" s="200" t="s">
        <v>394</v>
      </c>
      <c r="G1343" s="200" t="s">
        <v>688</v>
      </c>
    </row>
    <row r="1344" spans="1:7" hidden="1">
      <c r="A1344" s="199" t="s">
        <v>595</v>
      </c>
      <c r="B1344" s="200">
        <v>-27</v>
      </c>
      <c r="C1344" s="200">
        <v>0</v>
      </c>
      <c r="D1344" s="201" t="s">
        <v>437</v>
      </c>
      <c r="E1344" s="201" t="s">
        <v>594</v>
      </c>
      <c r="F1344" s="200" t="s">
        <v>409</v>
      </c>
      <c r="G1344" s="200" t="s">
        <v>688</v>
      </c>
    </row>
    <row r="1345" spans="1:7" hidden="1">
      <c r="A1345" s="199" t="s">
        <v>596</v>
      </c>
      <c r="B1345" s="200">
        <v>147</v>
      </c>
      <c r="C1345" s="200">
        <v>0</v>
      </c>
      <c r="D1345" s="201" t="s">
        <v>442</v>
      </c>
      <c r="E1345" s="201" t="s">
        <v>597</v>
      </c>
      <c r="F1345" s="200" t="s">
        <v>394</v>
      </c>
      <c r="G1345" s="200" t="s">
        <v>688</v>
      </c>
    </row>
    <row r="1346" spans="1:7" hidden="1">
      <c r="A1346" s="199" t="s">
        <v>598</v>
      </c>
      <c r="B1346" s="200">
        <v>-940</v>
      </c>
      <c r="C1346" s="200">
        <v>0</v>
      </c>
      <c r="D1346" s="201" t="s">
        <v>440</v>
      </c>
      <c r="E1346" s="201" t="s">
        <v>317</v>
      </c>
      <c r="F1346" s="200" t="s">
        <v>394</v>
      </c>
      <c r="G1346" s="200" t="s">
        <v>688</v>
      </c>
    </row>
    <row r="1347" spans="1:7" hidden="1">
      <c r="A1347" s="199" t="s">
        <v>598</v>
      </c>
      <c r="B1347" s="200">
        <v>-673</v>
      </c>
      <c r="C1347" s="200">
        <v>0</v>
      </c>
      <c r="D1347" s="201" t="s">
        <v>442</v>
      </c>
      <c r="E1347" s="201" t="s">
        <v>317</v>
      </c>
      <c r="F1347" s="200" t="s">
        <v>394</v>
      </c>
      <c r="G1347" s="200" t="s">
        <v>688</v>
      </c>
    </row>
    <row r="1348" spans="1:7" hidden="1">
      <c r="A1348" s="199" t="s">
        <v>717</v>
      </c>
      <c r="B1348" s="200">
        <v>-28400</v>
      </c>
      <c r="C1348" s="200">
        <v>0</v>
      </c>
      <c r="D1348" s="201" t="s">
        <v>442</v>
      </c>
      <c r="E1348" s="201" t="s">
        <v>692</v>
      </c>
      <c r="F1348" s="200" t="s">
        <v>409</v>
      </c>
      <c r="G1348" s="200" t="s">
        <v>688</v>
      </c>
    </row>
    <row r="1349" spans="1:7" hidden="1">
      <c r="A1349" s="199" t="s">
        <v>718</v>
      </c>
      <c r="B1349" s="200">
        <v>-157500</v>
      </c>
      <c r="C1349" s="200">
        <v>0</v>
      </c>
      <c r="D1349" s="201" t="s">
        <v>440</v>
      </c>
      <c r="E1349" s="201" t="s">
        <v>692</v>
      </c>
      <c r="F1349" s="200" t="s">
        <v>409</v>
      </c>
      <c r="G1349" s="200" t="s">
        <v>688</v>
      </c>
    </row>
    <row r="1350" spans="1:7" hidden="1">
      <c r="A1350" s="199" t="s">
        <v>719</v>
      </c>
      <c r="B1350" s="200">
        <v>157500</v>
      </c>
      <c r="C1350" s="200">
        <v>0</v>
      </c>
      <c r="D1350" s="201" t="s">
        <v>440</v>
      </c>
      <c r="E1350" s="201" t="s">
        <v>692</v>
      </c>
      <c r="F1350" s="200" t="s">
        <v>409</v>
      </c>
      <c r="G1350" s="200" t="s">
        <v>688</v>
      </c>
    </row>
    <row r="1351" spans="1:7" hidden="1">
      <c r="A1351" s="199" t="s">
        <v>720</v>
      </c>
      <c r="B1351" s="200">
        <v>-28400</v>
      </c>
      <c r="C1351" s="200">
        <v>0</v>
      </c>
      <c r="D1351" s="201" t="s">
        <v>442</v>
      </c>
      <c r="E1351" s="201" t="s">
        <v>692</v>
      </c>
      <c r="F1351" s="200" t="s">
        <v>409</v>
      </c>
      <c r="G1351" s="200" t="s">
        <v>688</v>
      </c>
    </row>
    <row r="1352" spans="1:7" hidden="1">
      <c r="A1352" s="199" t="s">
        <v>721</v>
      </c>
      <c r="B1352" s="200">
        <v>28400</v>
      </c>
      <c r="C1352" s="200">
        <v>0</v>
      </c>
      <c r="D1352" s="201" t="s">
        <v>442</v>
      </c>
      <c r="E1352" s="201" t="s">
        <v>692</v>
      </c>
      <c r="F1352" s="200" t="s">
        <v>409</v>
      </c>
      <c r="G1352" s="200" t="s">
        <v>688</v>
      </c>
    </row>
    <row r="1353" spans="1:7">
      <c r="A1353" s="199" t="s">
        <v>599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394</v>
      </c>
      <c r="G1353" s="200" t="s">
        <v>688</v>
      </c>
    </row>
    <row r="1354" spans="1:7">
      <c r="A1354" s="199" t="s">
        <v>599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393</v>
      </c>
      <c r="G1354" s="200" t="s">
        <v>688</v>
      </c>
    </row>
    <row r="1355" spans="1:7">
      <c r="A1355" s="199" t="s">
        <v>599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403</v>
      </c>
      <c r="G1355" s="200" t="s">
        <v>688</v>
      </c>
    </row>
    <row r="1356" spans="1:7">
      <c r="A1356" s="199" t="s">
        <v>600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408</v>
      </c>
      <c r="G1356" s="200" t="s">
        <v>688</v>
      </c>
    </row>
    <row r="1357" spans="1:7">
      <c r="A1357" s="199" t="s">
        <v>600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393</v>
      </c>
      <c r="G1357" s="200" t="s">
        <v>688</v>
      </c>
    </row>
    <row r="1358" spans="1:7">
      <c r="A1358" s="199" t="s">
        <v>601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408</v>
      </c>
      <c r="G1358" s="200" t="s">
        <v>688</v>
      </c>
    </row>
    <row r="1359" spans="1:7">
      <c r="A1359" s="199" t="s">
        <v>601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393</v>
      </c>
      <c r="G1359" s="200" t="s">
        <v>688</v>
      </c>
    </row>
    <row r="1360" spans="1:7">
      <c r="A1360" s="199" t="s">
        <v>602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394</v>
      </c>
      <c r="G1360" s="200" t="s">
        <v>688</v>
      </c>
    </row>
    <row r="1361" spans="1:7">
      <c r="A1361" s="199" t="s">
        <v>602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393</v>
      </c>
      <c r="G1361" s="200" t="s">
        <v>688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394</v>
      </c>
      <c r="G1362" s="200" t="s">
        <v>688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393</v>
      </c>
      <c r="G1363" s="200" t="s">
        <v>688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441</v>
      </c>
      <c r="G1364" s="200" t="s">
        <v>688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394</v>
      </c>
      <c r="G1365" s="200" t="s">
        <v>688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445</v>
      </c>
      <c r="G1366" s="200" t="s">
        <v>688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393</v>
      </c>
      <c r="G1367" s="200" t="s">
        <v>688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413</v>
      </c>
      <c r="G1368" s="200" t="s">
        <v>688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403</v>
      </c>
      <c r="G1369" s="200" t="s">
        <v>688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441</v>
      </c>
      <c r="G1370" s="200" t="s">
        <v>688</v>
      </c>
    </row>
    <row r="1371" spans="1:7" hidden="1">
      <c r="A1371" s="199" t="s">
        <v>603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394</v>
      </c>
      <c r="G1371" s="200" t="s">
        <v>688</v>
      </c>
    </row>
    <row r="1372" spans="1:7">
      <c r="A1372" s="199" t="s">
        <v>603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394</v>
      </c>
      <c r="G1372" s="200" t="s">
        <v>688</v>
      </c>
    </row>
    <row r="1373" spans="1:7">
      <c r="A1373" s="199" t="s">
        <v>603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408</v>
      </c>
      <c r="G1373" s="200" t="s">
        <v>688</v>
      </c>
    </row>
    <row r="1374" spans="1:7" hidden="1">
      <c r="A1374" s="199" t="s">
        <v>604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394</v>
      </c>
      <c r="G1374" s="200" t="s">
        <v>688</v>
      </c>
    </row>
    <row r="1375" spans="1:7">
      <c r="A1375" s="199" t="s">
        <v>604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394</v>
      </c>
      <c r="G1375" s="200" t="s">
        <v>688</v>
      </c>
    </row>
    <row r="1376" spans="1:7">
      <c r="A1376" s="199" t="s">
        <v>605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408</v>
      </c>
      <c r="G1376" s="200" t="s">
        <v>688</v>
      </c>
    </row>
    <row r="1377" spans="1:7">
      <c r="A1377" s="199" t="s">
        <v>605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393</v>
      </c>
      <c r="G1377" s="200" t="s">
        <v>688</v>
      </c>
    </row>
    <row r="1378" spans="1:7">
      <c r="A1378" s="199" t="s">
        <v>606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408</v>
      </c>
      <c r="G1378" s="200" t="s">
        <v>688</v>
      </c>
    </row>
    <row r="1379" spans="1:7">
      <c r="A1379" s="199" t="s">
        <v>606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393</v>
      </c>
      <c r="G1379" s="200" t="s">
        <v>688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394</v>
      </c>
      <c r="G1380" s="200" t="s">
        <v>688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413</v>
      </c>
      <c r="G1381" s="200" t="s">
        <v>688</v>
      </c>
    </row>
    <row r="1382" spans="1:7" hidden="1">
      <c r="A1382" s="199" t="s">
        <v>608</v>
      </c>
      <c r="B1382" s="200">
        <v>-17823</v>
      </c>
      <c r="C1382" s="200">
        <v>0</v>
      </c>
      <c r="D1382" s="201" t="s">
        <v>440</v>
      </c>
      <c r="E1382" s="201" t="s">
        <v>609</v>
      </c>
      <c r="F1382" s="200" t="s">
        <v>394</v>
      </c>
      <c r="G1382" s="200" t="s">
        <v>688</v>
      </c>
    </row>
    <row r="1383" spans="1:7" hidden="1">
      <c r="A1383" s="199" t="s">
        <v>610</v>
      </c>
      <c r="B1383" s="200">
        <v>-3570</v>
      </c>
      <c r="C1383" s="200">
        <v>0</v>
      </c>
      <c r="D1383" s="201" t="s">
        <v>440</v>
      </c>
      <c r="E1383" s="201" t="s">
        <v>39</v>
      </c>
      <c r="F1383" s="200" t="s">
        <v>394</v>
      </c>
      <c r="G1383" s="200" t="s">
        <v>688</v>
      </c>
    </row>
    <row r="1384" spans="1:7" hidden="1">
      <c r="A1384" s="199" t="s">
        <v>610</v>
      </c>
      <c r="B1384" s="200">
        <v>-1570</v>
      </c>
      <c r="C1384" s="200">
        <v>0</v>
      </c>
      <c r="D1384" s="201" t="s">
        <v>440</v>
      </c>
      <c r="E1384" s="201" t="s">
        <v>39</v>
      </c>
      <c r="F1384" s="200" t="s">
        <v>407</v>
      </c>
      <c r="G1384" s="200" t="s">
        <v>688</v>
      </c>
    </row>
    <row r="1385" spans="1:7" hidden="1">
      <c r="A1385" s="199" t="s">
        <v>610</v>
      </c>
      <c r="B1385" s="200">
        <v>5140</v>
      </c>
      <c r="C1385" s="200">
        <v>0</v>
      </c>
      <c r="D1385" s="201" t="s">
        <v>440</v>
      </c>
      <c r="E1385" s="201" t="s">
        <v>39</v>
      </c>
      <c r="F1385" s="200" t="s">
        <v>441</v>
      </c>
      <c r="G1385" s="200" t="s">
        <v>688</v>
      </c>
    </row>
    <row r="1386" spans="1:7" hidden="1">
      <c r="A1386" s="199" t="s">
        <v>610</v>
      </c>
      <c r="B1386" s="200">
        <v>5140</v>
      </c>
      <c r="C1386" s="200">
        <v>0</v>
      </c>
      <c r="D1386" s="201" t="s">
        <v>437</v>
      </c>
      <c r="E1386" s="201" t="s">
        <v>39</v>
      </c>
      <c r="F1386" s="200" t="s">
        <v>394</v>
      </c>
      <c r="G1386" s="200" t="s">
        <v>688</v>
      </c>
    </row>
    <row r="1387" spans="1:7" hidden="1">
      <c r="A1387" s="199" t="s">
        <v>610</v>
      </c>
      <c r="B1387" s="200">
        <v>-5140</v>
      </c>
      <c r="C1387" s="200">
        <v>0</v>
      </c>
      <c r="D1387" s="201" t="s">
        <v>437</v>
      </c>
      <c r="E1387" s="201" t="s">
        <v>39</v>
      </c>
      <c r="F1387" s="200" t="s">
        <v>441</v>
      </c>
      <c r="G1387" s="200" t="s">
        <v>688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440</v>
      </c>
      <c r="E1388" s="201" t="s">
        <v>320</v>
      </c>
      <c r="F1388" s="200" t="s">
        <v>394</v>
      </c>
      <c r="G1388" s="200" t="s">
        <v>688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440</v>
      </c>
      <c r="E1389" s="201" t="s">
        <v>320</v>
      </c>
      <c r="F1389" s="200" t="s">
        <v>441</v>
      </c>
      <c r="G1389" s="200" t="s">
        <v>688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437</v>
      </c>
      <c r="E1390" s="201" t="s">
        <v>320</v>
      </c>
      <c r="F1390" s="200" t="s">
        <v>394</v>
      </c>
      <c r="G1390" s="200" t="s">
        <v>688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437</v>
      </c>
      <c r="E1391" s="201" t="s">
        <v>320</v>
      </c>
      <c r="F1391" s="200" t="s">
        <v>441</v>
      </c>
      <c r="G1391" s="200" t="s">
        <v>688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394</v>
      </c>
      <c r="G1392" s="200" t="s">
        <v>688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445</v>
      </c>
      <c r="G1393" s="200" t="s">
        <v>688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393</v>
      </c>
      <c r="G1394" s="200" t="s">
        <v>688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407</v>
      </c>
      <c r="G1395" s="200" t="s">
        <v>688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403</v>
      </c>
      <c r="G1396" s="200" t="s">
        <v>688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441</v>
      </c>
      <c r="G1397" s="200" t="s">
        <v>688</v>
      </c>
    </row>
    <row r="1398" spans="1:7" hidden="1">
      <c r="A1398" s="199" t="s">
        <v>613</v>
      </c>
      <c r="B1398" s="200">
        <v>2</v>
      </c>
      <c r="C1398" s="200">
        <v>0</v>
      </c>
      <c r="D1398" s="201" t="s">
        <v>437</v>
      </c>
      <c r="E1398" s="201" t="s">
        <v>614</v>
      </c>
      <c r="F1398" s="200" t="s">
        <v>394</v>
      </c>
      <c r="G1398" s="200" t="s">
        <v>688</v>
      </c>
    </row>
    <row r="1399" spans="1:7" hidden="1">
      <c r="A1399" s="199" t="s">
        <v>613</v>
      </c>
      <c r="B1399" s="200">
        <v>1</v>
      </c>
      <c r="C1399" s="200">
        <v>0</v>
      </c>
      <c r="D1399" s="201" t="s">
        <v>437</v>
      </c>
      <c r="E1399" s="201" t="s">
        <v>614</v>
      </c>
      <c r="F1399" s="200" t="s">
        <v>409</v>
      </c>
      <c r="G1399" s="200" t="s">
        <v>688</v>
      </c>
    </row>
    <row r="1400" spans="1:7" hidden="1">
      <c r="A1400" s="199" t="s">
        <v>613</v>
      </c>
      <c r="B1400" s="200">
        <v>-3</v>
      </c>
      <c r="C1400" s="200">
        <v>0</v>
      </c>
      <c r="D1400" s="201" t="s">
        <v>437</v>
      </c>
      <c r="E1400" s="201" t="s">
        <v>614</v>
      </c>
      <c r="F1400" s="200" t="s">
        <v>396</v>
      </c>
      <c r="G1400" s="200" t="s">
        <v>688</v>
      </c>
    </row>
    <row r="1401" spans="1:7" hidden="1">
      <c r="A1401" s="199" t="s">
        <v>615</v>
      </c>
      <c r="B1401" s="200">
        <v>26</v>
      </c>
      <c r="C1401" s="200">
        <v>0</v>
      </c>
      <c r="D1401" s="201" t="s">
        <v>463</v>
      </c>
      <c r="E1401" s="201" t="s">
        <v>616</v>
      </c>
      <c r="F1401" s="200" t="s">
        <v>617</v>
      </c>
      <c r="G1401" s="200" t="s">
        <v>688</v>
      </c>
    </row>
    <row r="1402" spans="1:7" hidden="1">
      <c r="A1402" s="199" t="s">
        <v>620</v>
      </c>
      <c r="B1402" s="200">
        <v>-33</v>
      </c>
      <c r="C1402" s="200">
        <v>0</v>
      </c>
      <c r="D1402" s="201" t="s">
        <v>440</v>
      </c>
      <c r="E1402" s="201" t="s">
        <v>616</v>
      </c>
      <c r="F1402" s="200" t="s">
        <v>394</v>
      </c>
      <c r="G1402" s="200" t="s">
        <v>688</v>
      </c>
    </row>
    <row r="1403" spans="1:7" hidden="1">
      <c r="A1403" s="199" t="s">
        <v>620</v>
      </c>
      <c r="B1403" s="200">
        <v>33</v>
      </c>
      <c r="C1403" s="200">
        <v>0</v>
      </c>
      <c r="D1403" s="201" t="s">
        <v>440</v>
      </c>
      <c r="E1403" s="201" t="s">
        <v>616</v>
      </c>
      <c r="F1403" s="200" t="s">
        <v>617</v>
      </c>
      <c r="G1403" s="200" t="s">
        <v>688</v>
      </c>
    </row>
    <row r="1404" spans="1:7" hidden="1">
      <c r="A1404" s="199" t="s">
        <v>621</v>
      </c>
      <c r="B1404" s="200">
        <v>284607.35890242999</v>
      </c>
      <c r="C1404" s="200">
        <v>0</v>
      </c>
      <c r="D1404" s="201" t="s">
        <v>440</v>
      </c>
      <c r="E1404" s="201" t="s">
        <v>622</v>
      </c>
      <c r="F1404" s="200" t="s">
        <v>394</v>
      </c>
      <c r="G1404" s="200" t="s">
        <v>688</v>
      </c>
    </row>
    <row r="1405" spans="1:7" hidden="1">
      <c r="A1405" s="199" t="s">
        <v>621</v>
      </c>
      <c r="B1405" s="200">
        <v>23800</v>
      </c>
      <c r="C1405" s="200">
        <v>0</v>
      </c>
      <c r="D1405" s="201" t="s">
        <v>442</v>
      </c>
      <c r="E1405" s="201" t="s">
        <v>622</v>
      </c>
      <c r="F1405" s="200" t="s">
        <v>394</v>
      </c>
      <c r="G1405" s="200" t="s">
        <v>688</v>
      </c>
    </row>
    <row r="1406" spans="1:7" hidden="1">
      <c r="A1406" s="199" t="s">
        <v>392</v>
      </c>
      <c r="B1406" s="200">
        <v>194</v>
      </c>
      <c r="C1406" s="200">
        <v>0</v>
      </c>
      <c r="D1406" s="201" t="s">
        <v>283</v>
      </c>
      <c r="E1406" s="201" t="s">
        <v>517</v>
      </c>
      <c r="F1406" s="200" t="s">
        <v>394</v>
      </c>
      <c r="G1406" s="200" t="s">
        <v>688</v>
      </c>
    </row>
    <row r="1407" spans="1:7">
      <c r="A1407" s="199" t="s">
        <v>392</v>
      </c>
      <c r="B1407" s="200">
        <v>139</v>
      </c>
      <c r="C1407" s="200">
        <v>0</v>
      </c>
      <c r="D1407" s="201" t="s">
        <v>282</v>
      </c>
      <c r="E1407" s="201" t="s">
        <v>517</v>
      </c>
      <c r="F1407" s="200" t="s">
        <v>394</v>
      </c>
      <c r="G1407" s="200" t="s">
        <v>688</v>
      </c>
    </row>
    <row r="1408" spans="1:7">
      <c r="A1408" s="199" t="s">
        <v>392</v>
      </c>
      <c r="B1408" s="200">
        <v>54</v>
      </c>
      <c r="C1408" s="200">
        <v>0</v>
      </c>
      <c r="D1408" s="201" t="s">
        <v>282</v>
      </c>
      <c r="E1408" s="201" t="s">
        <v>517</v>
      </c>
      <c r="F1408" s="200" t="s">
        <v>393</v>
      </c>
      <c r="G1408" s="200" t="s">
        <v>688</v>
      </c>
    </row>
    <row r="1409" spans="1:7">
      <c r="A1409" s="199" t="s">
        <v>624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394</v>
      </c>
      <c r="G1409" s="200" t="s">
        <v>688</v>
      </c>
    </row>
    <row r="1410" spans="1:7">
      <c r="A1410" s="199" t="s">
        <v>624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445</v>
      </c>
      <c r="G1410" s="200" t="s">
        <v>688</v>
      </c>
    </row>
    <row r="1411" spans="1:7">
      <c r="A1411" s="199" t="s">
        <v>624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393</v>
      </c>
      <c r="G1411" s="200" t="s">
        <v>688</v>
      </c>
    </row>
    <row r="1412" spans="1:7" hidden="1">
      <c r="A1412" s="199" t="s">
        <v>722</v>
      </c>
      <c r="B1412" s="200">
        <v>-224000</v>
      </c>
      <c r="C1412" s="200">
        <v>0</v>
      </c>
      <c r="D1412" s="201" t="s">
        <v>440</v>
      </c>
      <c r="E1412" s="201" t="s">
        <v>692</v>
      </c>
      <c r="F1412" s="200" t="s">
        <v>409</v>
      </c>
      <c r="G1412" s="200" t="s">
        <v>688</v>
      </c>
    </row>
    <row r="1413" spans="1:7" hidden="1">
      <c r="A1413" s="199" t="s">
        <v>723</v>
      </c>
      <c r="B1413" s="200">
        <v>-224000</v>
      </c>
      <c r="C1413" s="200">
        <v>0</v>
      </c>
      <c r="D1413" s="201" t="s">
        <v>440</v>
      </c>
      <c r="E1413" s="201" t="s">
        <v>692</v>
      </c>
      <c r="F1413" s="200" t="s">
        <v>409</v>
      </c>
      <c r="G1413" s="200" t="s">
        <v>688</v>
      </c>
    </row>
    <row r="1414" spans="1:7" hidden="1">
      <c r="A1414" s="199" t="s">
        <v>724</v>
      </c>
      <c r="B1414" s="200">
        <v>224000</v>
      </c>
      <c r="C1414" s="200">
        <v>0</v>
      </c>
      <c r="D1414" s="201" t="s">
        <v>440</v>
      </c>
      <c r="E1414" s="201" t="s">
        <v>692</v>
      </c>
      <c r="F1414" s="200" t="s">
        <v>409</v>
      </c>
      <c r="G1414" s="200" t="s">
        <v>688</v>
      </c>
    </row>
    <row r="1415" spans="1:7" hidden="1">
      <c r="A1415" s="199" t="s">
        <v>725</v>
      </c>
      <c r="B1415" s="200">
        <v>-157000</v>
      </c>
      <c r="C1415" s="200">
        <v>0</v>
      </c>
      <c r="D1415" s="201" t="s">
        <v>440</v>
      </c>
      <c r="E1415" s="201" t="s">
        <v>692</v>
      </c>
      <c r="F1415" s="200" t="s">
        <v>409</v>
      </c>
      <c r="G1415" s="200" t="s">
        <v>688</v>
      </c>
    </row>
    <row r="1416" spans="1:7" hidden="1">
      <c r="A1416" s="199" t="s">
        <v>725</v>
      </c>
      <c r="B1416" s="200">
        <v>-56000</v>
      </c>
      <c r="C1416" s="200">
        <v>0</v>
      </c>
      <c r="D1416" s="201" t="s">
        <v>442</v>
      </c>
      <c r="E1416" s="201" t="s">
        <v>692</v>
      </c>
      <c r="F1416" s="200" t="s">
        <v>409</v>
      </c>
      <c r="G1416" s="200" t="s">
        <v>688</v>
      </c>
    </row>
    <row r="1417" spans="1:7" hidden="1">
      <c r="A1417" s="199" t="s">
        <v>726</v>
      </c>
      <c r="B1417" s="200">
        <v>-157000</v>
      </c>
      <c r="C1417" s="200">
        <v>0</v>
      </c>
      <c r="D1417" s="201" t="s">
        <v>440</v>
      </c>
      <c r="E1417" s="201" t="s">
        <v>692</v>
      </c>
      <c r="F1417" s="200" t="s">
        <v>409</v>
      </c>
      <c r="G1417" s="200" t="s">
        <v>688</v>
      </c>
    </row>
    <row r="1418" spans="1:7" hidden="1">
      <c r="A1418" s="199" t="s">
        <v>726</v>
      </c>
      <c r="B1418" s="200">
        <v>-56000</v>
      </c>
      <c r="C1418" s="200">
        <v>0</v>
      </c>
      <c r="D1418" s="201" t="s">
        <v>442</v>
      </c>
      <c r="E1418" s="201" t="s">
        <v>692</v>
      </c>
      <c r="F1418" s="200" t="s">
        <v>409</v>
      </c>
      <c r="G1418" s="200" t="s">
        <v>688</v>
      </c>
    </row>
    <row r="1419" spans="1:7" hidden="1">
      <c r="A1419" s="199" t="s">
        <v>727</v>
      </c>
      <c r="B1419" s="200">
        <v>157000</v>
      </c>
      <c r="C1419" s="200">
        <v>0</v>
      </c>
      <c r="D1419" s="201" t="s">
        <v>440</v>
      </c>
      <c r="E1419" s="201" t="s">
        <v>692</v>
      </c>
      <c r="F1419" s="200" t="s">
        <v>409</v>
      </c>
      <c r="G1419" s="200" t="s">
        <v>688</v>
      </c>
    </row>
    <row r="1420" spans="1:7" hidden="1">
      <c r="A1420" s="199" t="s">
        <v>727</v>
      </c>
      <c r="B1420" s="200">
        <v>56000</v>
      </c>
      <c r="C1420" s="200">
        <v>0</v>
      </c>
      <c r="D1420" s="201" t="s">
        <v>442</v>
      </c>
      <c r="E1420" s="201" t="s">
        <v>692</v>
      </c>
      <c r="F1420" s="200" t="s">
        <v>409</v>
      </c>
      <c r="G1420" s="200" t="s">
        <v>688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394</v>
      </c>
      <c r="G1421" s="200" t="s">
        <v>688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441</v>
      </c>
      <c r="G1422" s="200" t="s">
        <v>688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394</v>
      </c>
      <c r="G1423" s="200" t="s">
        <v>688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393</v>
      </c>
      <c r="G1424" s="200" t="s">
        <v>688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403</v>
      </c>
      <c r="G1425" s="200" t="s">
        <v>688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441</v>
      </c>
      <c r="G1426" s="200" t="s">
        <v>688</v>
      </c>
    </row>
    <row r="1427" spans="1:7" hidden="1">
      <c r="A1427" s="199" t="s">
        <v>625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394</v>
      </c>
      <c r="G1427" s="200" t="s">
        <v>688</v>
      </c>
    </row>
    <row r="1428" spans="1:7">
      <c r="A1428" s="199" t="s">
        <v>625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394</v>
      </c>
      <c r="G1428" s="200" t="s">
        <v>688</v>
      </c>
    </row>
    <row r="1429" spans="1:7">
      <c r="A1429" s="199" t="s">
        <v>625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408</v>
      </c>
      <c r="G1429" s="200" t="s">
        <v>688</v>
      </c>
    </row>
    <row r="1430" spans="1:7" hidden="1">
      <c r="A1430" s="199" t="s">
        <v>626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394</v>
      </c>
      <c r="G1430" s="200" t="s">
        <v>688</v>
      </c>
    </row>
    <row r="1431" spans="1:7">
      <c r="A1431" s="199" t="s">
        <v>626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394</v>
      </c>
      <c r="G1431" s="200" t="s">
        <v>688</v>
      </c>
    </row>
    <row r="1432" spans="1:7">
      <c r="A1432" s="199" t="s">
        <v>626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408</v>
      </c>
      <c r="G1432" s="200" t="s">
        <v>688</v>
      </c>
    </row>
    <row r="1433" spans="1:7">
      <c r="A1433" s="199" t="s">
        <v>627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394</v>
      </c>
      <c r="G1433" s="200" t="s">
        <v>688</v>
      </c>
    </row>
    <row r="1434" spans="1:7">
      <c r="A1434" s="199" t="s">
        <v>627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393</v>
      </c>
      <c r="G1434" s="200" t="s">
        <v>688</v>
      </c>
    </row>
    <row r="1435" spans="1:7" hidden="1">
      <c r="A1435" s="199" t="s">
        <v>628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394</v>
      </c>
      <c r="G1435" s="200" t="s">
        <v>688</v>
      </c>
    </row>
    <row r="1436" spans="1:7" hidden="1">
      <c r="A1436" s="199" t="s">
        <v>628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413</v>
      </c>
      <c r="G1436" s="200" t="s">
        <v>688</v>
      </c>
    </row>
    <row r="1437" spans="1:7" hidden="1">
      <c r="A1437" s="199" t="s">
        <v>628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441</v>
      </c>
      <c r="G1437" s="200" t="s">
        <v>688</v>
      </c>
    </row>
    <row r="1438" spans="1:7">
      <c r="A1438" s="199" t="s">
        <v>628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394</v>
      </c>
      <c r="G1438" s="200" t="s">
        <v>688</v>
      </c>
    </row>
    <row r="1439" spans="1:7">
      <c r="A1439" s="199" t="s">
        <v>628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413</v>
      </c>
      <c r="G1439" s="200" t="s">
        <v>688</v>
      </c>
    </row>
    <row r="1440" spans="1:7">
      <c r="A1440" s="199" t="s">
        <v>628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441</v>
      </c>
      <c r="G1440" s="200" t="s">
        <v>688</v>
      </c>
    </row>
    <row r="1441" spans="1:7" hidden="1">
      <c r="A1441" s="199" t="s">
        <v>629</v>
      </c>
      <c r="B1441" s="200">
        <v>26</v>
      </c>
      <c r="C1441" s="200">
        <v>0</v>
      </c>
      <c r="D1441" s="201" t="s">
        <v>283</v>
      </c>
      <c r="E1441" s="201" t="s">
        <v>630</v>
      </c>
      <c r="F1441" s="200" t="s">
        <v>396</v>
      </c>
      <c r="G1441" s="200" t="s">
        <v>688</v>
      </c>
    </row>
    <row r="1442" spans="1:7" hidden="1">
      <c r="A1442" s="199" t="s">
        <v>629</v>
      </c>
      <c r="B1442" s="200">
        <v>193</v>
      </c>
      <c r="C1442" s="200">
        <v>0</v>
      </c>
      <c r="D1442" s="201" t="s">
        <v>437</v>
      </c>
      <c r="E1442" s="201" t="s">
        <v>630</v>
      </c>
      <c r="F1442" s="200" t="s">
        <v>396</v>
      </c>
      <c r="G1442" s="200" t="s">
        <v>688</v>
      </c>
    </row>
    <row r="1443" spans="1:7">
      <c r="A1443" s="199" t="s">
        <v>629</v>
      </c>
      <c r="B1443" s="200">
        <v>26</v>
      </c>
      <c r="C1443" s="200">
        <v>0</v>
      </c>
      <c r="D1443" s="201" t="s">
        <v>282</v>
      </c>
      <c r="E1443" s="201" t="s">
        <v>630</v>
      </c>
      <c r="F1443" s="200" t="s">
        <v>396</v>
      </c>
      <c r="G1443" s="200" t="s">
        <v>688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394</v>
      </c>
      <c r="G1444" s="200" t="s">
        <v>688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394</v>
      </c>
      <c r="G1445" s="200" t="s">
        <v>688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393</v>
      </c>
      <c r="G1446" s="200" t="s">
        <v>688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442</v>
      </c>
      <c r="E1447" s="201" t="s">
        <v>320</v>
      </c>
      <c r="F1447" s="200" t="s">
        <v>394</v>
      </c>
      <c r="G1447" s="200" t="s">
        <v>688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474</v>
      </c>
      <c r="E1448" s="201" t="s">
        <v>320</v>
      </c>
      <c r="F1448" s="200" t="s">
        <v>394</v>
      </c>
      <c r="G1448" s="200" t="s">
        <v>688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474</v>
      </c>
      <c r="E1449" s="201" t="s">
        <v>320</v>
      </c>
      <c r="F1449" s="200" t="s">
        <v>402</v>
      </c>
      <c r="G1449" s="200" t="s">
        <v>688</v>
      </c>
    </row>
    <row r="1450" spans="1:7" hidden="1">
      <c r="A1450" s="199" t="s">
        <v>631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394</v>
      </c>
      <c r="G1450" s="200" t="s">
        <v>688</v>
      </c>
    </row>
    <row r="1451" spans="1:7">
      <c r="A1451" s="199" t="s">
        <v>631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394</v>
      </c>
      <c r="G1451" s="200" t="s">
        <v>688</v>
      </c>
    </row>
    <row r="1452" spans="1:7">
      <c r="A1452" s="199" t="s">
        <v>631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408</v>
      </c>
      <c r="G1452" s="200" t="s">
        <v>688</v>
      </c>
    </row>
    <row r="1453" spans="1:7">
      <c r="A1453" s="199" t="s">
        <v>631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393</v>
      </c>
      <c r="G1453" s="200" t="s">
        <v>688</v>
      </c>
    </row>
    <row r="1454" spans="1:7" hidden="1">
      <c r="A1454" s="199" t="s">
        <v>632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394</v>
      </c>
      <c r="G1454" s="200" t="s">
        <v>688</v>
      </c>
    </row>
    <row r="1455" spans="1:7">
      <c r="A1455" s="199" t="s">
        <v>632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394</v>
      </c>
      <c r="G1455" s="200" t="s">
        <v>688</v>
      </c>
    </row>
    <row r="1456" spans="1:7">
      <c r="A1456" s="199" t="s">
        <v>632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408</v>
      </c>
      <c r="G1456" s="200" t="s">
        <v>688</v>
      </c>
    </row>
    <row r="1457" spans="1:7">
      <c r="A1457" s="199" t="s">
        <v>632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393</v>
      </c>
      <c r="G1457" s="200" t="s">
        <v>688</v>
      </c>
    </row>
    <row r="1458" spans="1:7" hidden="1">
      <c r="A1458" s="199" t="s">
        <v>633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394</v>
      </c>
      <c r="G1458" s="200" t="s">
        <v>688</v>
      </c>
    </row>
    <row r="1459" spans="1:7">
      <c r="A1459" s="199" t="s">
        <v>633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394</v>
      </c>
      <c r="G1459" s="200" t="s">
        <v>688</v>
      </c>
    </row>
    <row r="1460" spans="1:7">
      <c r="A1460" s="199" t="s">
        <v>633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408</v>
      </c>
      <c r="G1460" s="200" t="s">
        <v>688</v>
      </c>
    </row>
    <row r="1461" spans="1:7">
      <c r="A1461" s="199" t="s">
        <v>633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393</v>
      </c>
      <c r="G1461" s="200" t="s">
        <v>688</v>
      </c>
    </row>
    <row r="1462" spans="1:7" hidden="1">
      <c r="A1462" s="199" t="s">
        <v>634</v>
      </c>
      <c r="B1462" s="200">
        <v>-4600</v>
      </c>
      <c r="C1462" s="200">
        <v>0</v>
      </c>
      <c r="D1462" s="201" t="s">
        <v>440</v>
      </c>
      <c r="E1462" s="201" t="s">
        <v>439</v>
      </c>
      <c r="F1462" s="200" t="s">
        <v>394</v>
      </c>
      <c r="G1462" s="200" t="s">
        <v>688</v>
      </c>
    </row>
    <row r="1463" spans="1:7" hidden="1">
      <c r="A1463" s="199" t="s">
        <v>635</v>
      </c>
      <c r="B1463" s="200">
        <v>66344</v>
      </c>
      <c r="C1463" s="200">
        <v>0</v>
      </c>
      <c r="D1463" s="201" t="s">
        <v>440</v>
      </c>
      <c r="E1463" s="201" t="s">
        <v>317</v>
      </c>
      <c r="F1463" s="200" t="s">
        <v>394</v>
      </c>
      <c r="G1463" s="200" t="s">
        <v>688</v>
      </c>
    </row>
    <row r="1464" spans="1:7" hidden="1">
      <c r="A1464" s="199" t="s">
        <v>635</v>
      </c>
      <c r="B1464" s="200">
        <v>-3535</v>
      </c>
      <c r="C1464" s="200">
        <v>0</v>
      </c>
      <c r="D1464" s="201" t="s">
        <v>440</v>
      </c>
      <c r="E1464" s="201" t="s">
        <v>317</v>
      </c>
      <c r="F1464" s="200" t="s">
        <v>407</v>
      </c>
      <c r="G1464" s="200" t="s">
        <v>688</v>
      </c>
    </row>
    <row r="1465" spans="1:7" hidden="1">
      <c r="A1465" s="199" t="s">
        <v>635</v>
      </c>
      <c r="B1465" s="200">
        <v>18381</v>
      </c>
      <c r="C1465" s="200">
        <v>0</v>
      </c>
      <c r="D1465" s="201" t="s">
        <v>437</v>
      </c>
      <c r="E1465" s="201" t="s">
        <v>317</v>
      </c>
      <c r="F1465" s="200" t="s">
        <v>394</v>
      </c>
      <c r="G1465" s="200" t="s">
        <v>688</v>
      </c>
    </row>
    <row r="1466" spans="1:7" hidden="1">
      <c r="A1466" s="199" t="s">
        <v>635</v>
      </c>
      <c r="B1466" s="200">
        <v>-18381</v>
      </c>
      <c r="C1466" s="200">
        <v>0</v>
      </c>
      <c r="D1466" s="201" t="s">
        <v>437</v>
      </c>
      <c r="E1466" s="201" t="s">
        <v>317</v>
      </c>
      <c r="F1466" s="200" t="s">
        <v>407</v>
      </c>
      <c r="G1466" s="200" t="s">
        <v>688</v>
      </c>
    </row>
    <row r="1467" spans="1:7" hidden="1">
      <c r="A1467" s="199" t="s">
        <v>635</v>
      </c>
      <c r="B1467" s="200">
        <v>12764</v>
      </c>
      <c r="C1467" s="200">
        <v>0</v>
      </c>
      <c r="D1467" s="201" t="s">
        <v>442</v>
      </c>
      <c r="E1467" s="201" t="s">
        <v>317</v>
      </c>
      <c r="F1467" s="200" t="s">
        <v>394</v>
      </c>
      <c r="G1467" s="200" t="s">
        <v>688</v>
      </c>
    </row>
    <row r="1468" spans="1:7" hidden="1">
      <c r="A1468" s="199" t="s">
        <v>635</v>
      </c>
      <c r="B1468" s="200">
        <v>-1950</v>
      </c>
      <c r="C1468" s="200">
        <v>0</v>
      </c>
      <c r="D1468" s="201" t="s">
        <v>442</v>
      </c>
      <c r="E1468" s="201" t="s">
        <v>317</v>
      </c>
      <c r="F1468" s="200" t="s">
        <v>407</v>
      </c>
      <c r="G1468" s="200" t="s">
        <v>688</v>
      </c>
    </row>
    <row r="1469" spans="1:7" hidden="1">
      <c r="A1469" s="199" t="s">
        <v>635</v>
      </c>
      <c r="B1469" s="200">
        <v>-1949</v>
      </c>
      <c r="C1469" s="200">
        <v>0</v>
      </c>
      <c r="D1469" s="201" t="s">
        <v>442</v>
      </c>
      <c r="E1469" s="201" t="s">
        <v>317</v>
      </c>
      <c r="F1469" s="200" t="s">
        <v>441</v>
      </c>
      <c r="G1469" s="200" t="s">
        <v>688</v>
      </c>
    </row>
    <row r="1470" spans="1:7" hidden="1">
      <c r="A1470" s="199" t="s">
        <v>635</v>
      </c>
      <c r="B1470" s="200">
        <v>-1949</v>
      </c>
      <c r="C1470" s="200">
        <v>0</v>
      </c>
      <c r="D1470" s="201" t="s">
        <v>545</v>
      </c>
      <c r="E1470" s="201" t="s">
        <v>317</v>
      </c>
      <c r="F1470" s="200" t="s">
        <v>407</v>
      </c>
      <c r="G1470" s="200" t="s">
        <v>688</v>
      </c>
    </row>
    <row r="1471" spans="1:7" hidden="1">
      <c r="A1471" s="199" t="s">
        <v>635</v>
      </c>
      <c r="B1471" s="200">
        <v>1949</v>
      </c>
      <c r="C1471" s="200">
        <v>0</v>
      </c>
      <c r="D1471" s="201" t="s">
        <v>545</v>
      </c>
      <c r="E1471" s="201" t="s">
        <v>317</v>
      </c>
      <c r="F1471" s="200" t="s">
        <v>441</v>
      </c>
      <c r="G1471" s="200" t="s">
        <v>688</v>
      </c>
    </row>
    <row r="1472" spans="1:7" hidden="1">
      <c r="A1472" s="199" t="s">
        <v>635</v>
      </c>
      <c r="B1472" s="200">
        <v>11744</v>
      </c>
      <c r="C1472" s="200">
        <v>0</v>
      </c>
      <c r="D1472" s="201" t="s">
        <v>474</v>
      </c>
      <c r="E1472" s="201" t="s">
        <v>317</v>
      </c>
      <c r="F1472" s="200" t="s">
        <v>394</v>
      </c>
      <c r="G1472" s="200" t="s">
        <v>688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394</v>
      </c>
      <c r="G1473" s="200" t="s">
        <v>688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441</v>
      </c>
      <c r="G1474" s="200" t="s">
        <v>688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394</v>
      </c>
      <c r="G1475" s="200" t="s">
        <v>688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445</v>
      </c>
      <c r="G1476" s="200" t="s">
        <v>688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393</v>
      </c>
      <c r="G1477" s="200" t="s">
        <v>688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407</v>
      </c>
      <c r="G1478" s="200" t="s">
        <v>688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413</v>
      </c>
      <c r="G1479" s="200" t="s">
        <v>688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441</v>
      </c>
      <c r="G1480" s="200" t="s">
        <v>688</v>
      </c>
    </row>
    <row r="1481" spans="1:7" hidden="1">
      <c r="A1481" s="199" t="s">
        <v>728</v>
      </c>
      <c r="B1481" s="200">
        <v>-182500</v>
      </c>
      <c r="C1481" s="200">
        <v>0</v>
      </c>
      <c r="D1481" s="201" t="s">
        <v>440</v>
      </c>
      <c r="E1481" s="201" t="s">
        <v>692</v>
      </c>
      <c r="F1481" s="200" t="s">
        <v>409</v>
      </c>
      <c r="G1481" s="200" t="s">
        <v>688</v>
      </c>
    </row>
    <row r="1482" spans="1:7" hidden="1">
      <c r="A1482" s="199" t="s">
        <v>729</v>
      </c>
      <c r="B1482" s="200">
        <v>182500</v>
      </c>
      <c r="C1482" s="200">
        <v>0</v>
      </c>
      <c r="D1482" s="201" t="s">
        <v>440</v>
      </c>
      <c r="E1482" s="201" t="s">
        <v>692</v>
      </c>
      <c r="F1482" s="200" t="s">
        <v>409</v>
      </c>
      <c r="G1482" s="200" t="s">
        <v>688</v>
      </c>
    </row>
    <row r="1483" spans="1:7" hidden="1">
      <c r="A1483" s="199" t="s">
        <v>730</v>
      </c>
      <c r="B1483" s="200">
        <v>83400</v>
      </c>
      <c r="C1483" s="200">
        <v>0</v>
      </c>
      <c r="D1483" s="201" t="s">
        <v>440</v>
      </c>
      <c r="E1483" s="201" t="s">
        <v>638</v>
      </c>
      <c r="F1483" s="200" t="s">
        <v>652</v>
      </c>
      <c r="G1483" s="200" t="s">
        <v>688</v>
      </c>
    </row>
    <row r="1484" spans="1:7" hidden="1">
      <c r="A1484" s="199" t="s">
        <v>731</v>
      </c>
      <c r="B1484" s="200">
        <v>-186600</v>
      </c>
      <c r="C1484" s="200">
        <v>0</v>
      </c>
      <c r="D1484" s="201" t="s">
        <v>440</v>
      </c>
      <c r="E1484" s="201" t="s">
        <v>638</v>
      </c>
      <c r="F1484" s="200" t="s">
        <v>409</v>
      </c>
      <c r="G1484" s="200" t="s">
        <v>688</v>
      </c>
    </row>
    <row r="1485" spans="1:7" hidden="1">
      <c r="A1485" s="199" t="s">
        <v>732</v>
      </c>
      <c r="B1485" s="200">
        <v>145500</v>
      </c>
      <c r="C1485" s="200">
        <v>0</v>
      </c>
      <c r="D1485" s="201" t="s">
        <v>440</v>
      </c>
      <c r="E1485" s="201" t="s">
        <v>638</v>
      </c>
      <c r="F1485" s="200" t="s">
        <v>652</v>
      </c>
      <c r="G1485" s="200" t="s">
        <v>688</v>
      </c>
    </row>
    <row r="1486" spans="1:7" hidden="1">
      <c r="A1486" s="199" t="s">
        <v>733</v>
      </c>
      <c r="B1486" s="200">
        <v>12000</v>
      </c>
      <c r="C1486" s="200">
        <v>0</v>
      </c>
      <c r="D1486" s="201" t="s">
        <v>442</v>
      </c>
      <c r="E1486" s="201" t="s">
        <v>638</v>
      </c>
      <c r="F1486" s="200" t="s">
        <v>396</v>
      </c>
      <c r="G1486" s="200" t="s">
        <v>688</v>
      </c>
    </row>
    <row r="1487" spans="1:7" hidden="1">
      <c r="A1487" s="199" t="s">
        <v>734</v>
      </c>
      <c r="B1487" s="200">
        <v>126895</v>
      </c>
      <c r="C1487" s="200">
        <v>0</v>
      </c>
      <c r="D1487" s="201" t="s">
        <v>440</v>
      </c>
      <c r="E1487" s="201" t="s">
        <v>638</v>
      </c>
      <c r="F1487" s="200" t="s">
        <v>652</v>
      </c>
      <c r="G1487" s="200" t="s">
        <v>688</v>
      </c>
    </row>
    <row r="1488" spans="1:7" hidden="1">
      <c r="A1488" s="199" t="s">
        <v>735</v>
      </c>
      <c r="B1488" s="200">
        <v>82400</v>
      </c>
      <c r="C1488" s="200">
        <v>0</v>
      </c>
      <c r="D1488" s="201" t="s">
        <v>440</v>
      </c>
      <c r="E1488" s="201" t="s">
        <v>638</v>
      </c>
      <c r="F1488" s="200" t="s">
        <v>652</v>
      </c>
      <c r="G1488" s="200" t="s">
        <v>688</v>
      </c>
    </row>
    <row r="1489" spans="1:7" hidden="1">
      <c r="A1489" s="199" t="s">
        <v>736</v>
      </c>
      <c r="B1489" s="200">
        <v>44000</v>
      </c>
      <c r="C1489" s="200">
        <v>0</v>
      </c>
      <c r="D1489" s="201" t="s">
        <v>440</v>
      </c>
      <c r="E1489" s="201" t="s">
        <v>638</v>
      </c>
      <c r="F1489" s="200" t="s">
        <v>652</v>
      </c>
      <c r="G1489" s="200" t="s">
        <v>688</v>
      </c>
    </row>
    <row r="1490" spans="1:7" hidden="1">
      <c r="A1490" s="199" t="s">
        <v>737</v>
      </c>
      <c r="B1490" s="200">
        <v>15900</v>
      </c>
      <c r="C1490" s="200">
        <v>0</v>
      </c>
      <c r="D1490" s="201" t="s">
        <v>440</v>
      </c>
      <c r="E1490" s="201" t="s">
        <v>638</v>
      </c>
      <c r="F1490" s="200" t="s">
        <v>652</v>
      </c>
      <c r="G1490" s="200" t="s">
        <v>688</v>
      </c>
    </row>
    <row r="1491" spans="1:7" hidden="1">
      <c r="A1491" s="199" t="s">
        <v>738</v>
      </c>
      <c r="B1491" s="200">
        <v>4900</v>
      </c>
      <c r="C1491" s="200">
        <v>0</v>
      </c>
      <c r="D1491" s="201" t="s">
        <v>440</v>
      </c>
      <c r="E1491" s="201" t="s">
        <v>638</v>
      </c>
      <c r="F1491" s="200" t="s">
        <v>409</v>
      </c>
      <c r="G1491" s="200" t="s">
        <v>688</v>
      </c>
    </row>
    <row r="1492" spans="1:7" hidden="1">
      <c r="A1492" s="199" t="s">
        <v>739</v>
      </c>
      <c r="B1492" s="200">
        <v>9000</v>
      </c>
      <c r="C1492" s="200">
        <v>0</v>
      </c>
      <c r="D1492" s="201" t="s">
        <v>440</v>
      </c>
      <c r="E1492" s="201" t="s">
        <v>638</v>
      </c>
      <c r="F1492" s="200" t="s">
        <v>652</v>
      </c>
      <c r="G1492" s="200" t="s">
        <v>688</v>
      </c>
    </row>
    <row r="1493" spans="1:7" hidden="1">
      <c r="A1493" s="199" t="s">
        <v>740</v>
      </c>
      <c r="B1493" s="200">
        <v>38500</v>
      </c>
      <c r="C1493" s="200">
        <v>0</v>
      </c>
      <c r="D1493" s="201" t="s">
        <v>440</v>
      </c>
      <c r="E1493" s="201" t="s">
        <v>638</v>
      </c>
      <c r="F1493" s="200" t="s">
        <v>652</v>
      </c>
      <c r="G1493" s="200" t="s">
        <v>688</v>
      </c>
    </row>
    <row r="1494" spans="1:7" hidden="1">
      <c r="A1494" s="199" t="s">
        <v>741</v>
      </c>
      <c r="B1494" s="200">
        <v>15600</v>
      </c>
      <c r="C1494" s="200">
        <v>0</v>
      </c>
      <c r="D1494" s="201" t="s">
        <v>440</v>
      </c>
      <c r="E1494" s="201" t="s">
        <v>638</v>
      </c>
      <c r="F1494" s="200" t="s">
        <v>652</v>
      </c>
      <c r="G1494" s="200" t="s">
        <v>688</v>
      </c>
    </row>
    <row r="1495" spans="1:7" hidden="1">
      <c r="A1495" s="199" t="s">
        <v>742</v>
      </c>
      <c r="B1495" s="200">
        <v>3300</v>
      </c>
      <c r="C1495" s="200">
        <v>0</v>
      </c>
      <c r="D1495" s="201" t="s">
        <v>442</v>
      </c>
      <c r="E1495" s="201" t="s">
        <v>638</v>
      </c>
      <c r="F1495" s="200" t="s">
        <v>396</v>
      </c>
      <c r="G1495" s="200" t="s">
        <v>688</v>
      </c>
    </row>
    <row r="1496" spans="1:7" hidden="1">
      <c r="A1496" s="199" t="s">
        <v>743</v>
      </c>
      <c r="B1496" s="200">
        <v>8700</v>
      </c>
      <c r="C1496" s="200">
        <v>0</v>
      </c>
      <c r="D1496" s="201" t="s">
        <v>442</v>
      </c>
      <c r="E1496" s="201" t="s">
        <v>638</v>
      </c>
      <c r="F1496" s="200" t="s">
        <v>396</v>
      </c>
      <c r="G1496" s="200" t="s">
        <v>688</v>
      </c>
    </row>
    <row r="1497" spans="1:7" hidden="1">
      <c r="A1497" s="199" t="s">
        <v>744</v>
      </c>
      <c r="B1497" s="200">
        <v>15000</v>
      </c>
      <c r="C1497" s="200">
        <v>0</v>
      </c>
      <c r="D1497" s="201" t="s">
        <v>440</v>
      </c>
      <c r="E1497" s="201" t="s">
        <v>638</v>
      </c>
      <c r="F1497" s="200" t="s">
        <v>652</v>
      </c>
      <c r="G1497" s="200" t="s">
        <v>688</v>
      </c>
    </row>
    <row r="1498" spans="1:7" hidden="1">
      <c r="A1498" s="199" t="s">
        <v>745</v>
      </c>
      <c r="B1498" s="200">
        <v>15400</v>
      </c>
      <c r="C1498" s="200">
        <v>0</v>
      </c>
      <c r="D1498" s="201" t="s">
        <v>442</v>
      </c>
      <c r="E1498" s="201" t="s">
        <v>638</v>
      </c>
      <c r="F1498" s="200" t="s">
        <v>396</v>
      </c>
      <c r="G1498" s="200" t="s">
        <v>688</v>
      </c>
    </row>
    <row r="1499" spans="1:7" hidden="1">
      <c r="A1499" s="199" t="s">
        <v>746</v>
      </c>
      <c r="B1499" s="200">
        <v>400</v>
      </c>
      <c r="C1499" s="200">
        <v>0</v>
      </c>
      <c r="D1499" s="201" t="s">
        <v>440</v>
      </c>
      <c r="E1499" s="201" t="s">
        <v>638</v>
      </c>
      <c r="F1499" s="200" t="s">
        <v>652</v>
      </c>
      <c r="G1499" s="200" t="s">
        <v>688</v>
      </c>
    </row>
    <row r="1500" spans="1:7" hidden="1">
      <c r="A1500" s="199" t="s">
        <v>747</v>
      </c>
      <c r="B1500" s="200">
        <v>42400</v>
      </c>
      <c r="C1500" s="200">
        <v>0</v>
      </c>
      <c r="D1500" s="201" t="s">
        <v>440</v>
      </c>
      <c r="E1500" s="201" t="s">
        <v>638</v>
      </c>
      <c r="F1500" s="200" t="s">
        <v>652</v>
      </c>
      <c r="G1500" s="200" t="s">
        <v>688</v>
      </c>
    </row>
    <row r="1501" spans="1:7" hidden="1">
      <c r="A1501" s="199" t="s">
        <v>748</v>
      </c>
      <c r="B1501" s="200">
        <v>-78100</v>
      </c>
      <c r="C1501" s="200">
        <v>0</v>
      </c>
      <c r="D1501" s="201" t="s">
        <v>440</v>
      </c>
      <c r="E1501" s="201" t="s">
        <v>638</v>
      </c>
      <c r="F1501" s="200" t="s">
        <v>652</v>
      </c>
      <c r="G1501" s="200" t="s">
        <v>688</v>
      </c>
    </row>
    <row r="1502" spans="1:7" hidden="1">
      <c r="A1502" s="199" t="s">
        <v>749</v>
      </c>
      <c r="B1502" s="200">
        <v>9800</v>
      </c>
      <c r="C1502" s="200">
        <v>0</v>
      </c>
      <c r="D1502" s="201" t="s">
        <v>442</v>
      </c>
      <c r="E1502" s="201" t="s">
        <v>638</v>
      </c>
      <c r="F1502" s="200" t="s">
        <v>396</v>
      </c>
      <c r="G1502" s="200" t="s">
        <v>688</v>
      </c>
    </row>
    <row r="1503" spans="1:7" hidden="1">
      <c r="A1503" s="199" t="s">
        <v>750</v>
      </c>
      <c r="B1503" s="200">
        <v>1100</v>
      </c>
      <c r="C1503" s="200">
        <v>0</v>
      </c>
      <c r="D1503" s="201" t="s">
        <v>442</v>
      </c>
      <c r="E1503" s="201" t="s">
        <v>638</v>
      </c>
      <c r="F1503" s="200" t="s">
        <v>396</v>
      </c>
      <c r="G1503" s="200" t="s">
        <v>688</v>
      </c>
    </row>
    <row r="1504" spans="1:7" hidden="1">
      <c r="A1504" s="199" t="s">
        <v>751</v>
      </c>
      <c r="B1504" s="200">
        <v>7400</v>
      </c>
      <c r="C1504" s="200">
        <v>0</v>
      </c>
      <c r="D1504" s="201" t="s">
        <v>440</v>
      </c>
      <c r="E1504" s="201" t="s">
        <v>638</v>
      </c>
      <c r="F1504" s="200" t="s">
        <v>652</v>
      </c>
      <c r="G1504" s="200" t="s">
        <v>688</v>
      </c>
    </row>
    <row r="1505" spans="1:7" hidden="1">
      <c r="A1505" s="199" t="s">
        <v>752</v>
      </c>
      <c r="B1505" s="200">
        <v>9428</v>
      </c>
      <c r="C1505" s="200">
        <v>0</v>
      </c>
      <c r="D1505" s="201" t="s">
        <v>440</v>
      </c>
      <c r="E1505" s="201" t="s">
        <v>638</v>
      </c>
      <c r="F1505" s="200" t="s">
        <v>652</v>
      </c>
      <c r="G1505" s="200" t="s">
        <v>688</v>
      </c>
    </row>
    <row r="1506" spans="1:7" hidden="1">
      <c r="A1506" s="199" t="s">
        <v>753</v>
      </c>
      <c r="B1506" s="200">
        <v>7500</v>
      </c>
      <c r="C1506" s="200">
        <v>0</v>
      </c>
      <c r="D1506" s="201" t="s">
        <v>440</v>
      </c>
      <c r="E1506" s="201" t="s">
        <v>638</v>
      </c>
      <c r="F1506" s="200" t="s">
        <v>652</v>
      </c>
      <c r="G1506" s="200" t="s">
        <v>688</v>
      </c>
    </row>
    <row r="1507" spans="1:7" hidden="1">
      <c r="A1507" s="199" t="s">
        <v>754</v>
      </c>
      <c r="B1507" s="200">
        <v>4500</v>
      </c>
      <c r="C1507" s="200">
        <v>0</v>
      </c>
      <c r="D1507" s="201" t="s">
        <v>440</v>
      </c>
      <c r="E1507" s="201" t="s">
        <v>638</v>
      </c>
      <c r="F1507" s="200" t="s">
        <v>652</v>
      </c>
      <c r="G1507" s="200" t="s">
        <v>688</v>
      </c>
    </row>
    <row r="1508" spans="1:7" hidden="1">
      <c r="A1508" s="199" t="s">
        <v>755</v>
      </c>
      <c r="B1508" s="200">
        <v>6500</v>
      </c>
      <c r="C1508" s="200">
        <v>0</v>
      </c>
      <c r="D1508" s="201" t="s">
        <v>440</v>
      </c>
      <c r="E1508" s="201" t="s">
        <v>638</v>
      </c>
      <c r="F1508" s="200" t="s">
        <v>652</v>
      </c>
      <c r="G1508" s="200" t="s">
        <v>688</v>
      </c>
    </row>
    <row r="1509" spans="1:7" hidden="1">
      <c r="A1509" s="199" t="s">
        <v>756</v>
      </c>
      <c r="B1509" s="200">
        <v>6600</v>
      </c>
      <c r="C1509" s="200">
        <v>0</v>
      </c>
      <c r="D1509" s="201" t="s">
        <v>440</v>
      </c>
      <c r="E1509" s="201" t="s">
        <v>638</v>
      </c>
      <c r="F1509" s="200" t="s">
        <v>652</v>
      </c>
      <c r="G1509" s="200" t="s">
        <v>688</v>
      </c>
    </row>
    <row r="1510" spans="1:7" hidden="1">
      <c r="A1510" s="199" t="s">
        <v>757</v>
      </c>
      <c r="B1510" s="200">
        <v>11600</v>
      </c>
      <c r="C1510" s="200">
        <v>0</v>
      </c>
      <c r="D1510" s="201" t="s">
        <v>440</v>
      </c>
      <c r="E1510" s="201" t="s">
        <v>638</v>
      </c>
      <c r="F1510" s="200" t="s">
        <v>652</v>
      </c>
      <c r="G1510" s="200" t="s">
        <v>688</v>
      </c>
    </row>
    <row r="1511" spans="1:7" hidden="1">
      <c r="A1511" s="199" t="s">
        <v>758</v>
      </c>
      <c r="B1511" s="200">
        <v>4100</v>
      </c>
      <c r="C1511" s="200">
        <v>0</v>
      </c>
      <c r="D1511" s="201" t="s">
        <v>442</v>
      </c>
      <c r="E1511" s="201" t="s">
        <v>638</v>
      </c>
      <c r="F1511" s="200" t="s">
        <v>396</v>
      </c>
      <c r="G1511" s="200" t="s">
        <v>688</v>
      </c>
    </row>
    <row r="1512" spans="1:7" hidden="1">
      <c r="A1512" s="199" t="s">
        <v>759</v>
      </c>
      <c r="B1512" s="200">
        <v>2100</v>
      </c>
      <c r="C1512" s="200">
        <v>0</v>
      </c>
      <c r="D1512" s="201" t="s">
        <v>442</v>
      </c>
      <c r="E1512" s="201" t="s">
        <v>638</v>
      </c>
      <c r="F1512" s="200" t="s">
        <v>396</v>
      </c>
      <c r="G1512" s="200" t="s">
        <v>688</v>
      </c>
    </row>
    <row r="1513" spans="1:7" hidden="1">
      <c r="A1513" s="199" t="s">
        <v>760</v>
      </c>
      <c r="B1513" s="200">
        <v>3500</v>
      </c>
      <c r="C1513" s="200">
        <v>0</v>
      </c>
      <c r="D1513" s="201" t="s">
        <v>442</v>
      </c>
      <c r="E1513" s="201" t="s">
        <v>638</v>
      </c>
      <c r="F1513" s="200" t="s">
        <v>396</v>
      </c>
      <c r="G1513" s="200" t="s">
        <v>688</v>
      </c>
    </row>
    <row r="1514" spans="1:7" hidden="1">
      <c r="A1514" s="199" t="s">
        <v>761</v>
      </c>
      <c r="B1514" s="200">
        <v>-15900</v>
      </c>
      <c r="C1514" s="200">
        <v>0</v>
      </c>
      <c r="D1514" s="201" t="s">
        <v>442</v>
      </c>
      <c r="E1514" s="201" t="s">
        <v>638</v>
      </c>
      <c r="F1514" s="200" t="s">
        <v>396</v>
      </c>
      <c r="G1514" s="200" t="s">
        <v>688</v>
      </c>
    </row>
    <row r="1515" spans="1:7" hidden="1">
      <c r="A1515" s="199" t="s">
        <v>762</v>
      </c>
      <c r="B1515" s="200">
        <v>-88700</v>
      </c>
      <c r="C1515" s="200">
        <v>0</v>
      </c>
      <c r="D1515" s="201" t="s">
        <v>474</v>
      </c>
      <c r="E1515" s="201" t="s">
        <v>638</v>
      </c>
      <c r="F1515" s="200" t="s">
        <v>396</v>
      </c>
      <c r="G1515" s="200" t="s">
        <v>688</v>
      </c>
    </row>
    <row r="1516" spans="1:7" hidden="1">
      <c r="A1516" s="199" t="s">
        <v>763</v>
      </c>
      <c r="B1516" s="200">
        <v>-18900</v>
      </c>
      <c r="C1516" s="200">
        <v>0</v>
      </c>
      <c r="D1516" s="201" t="s">
        <v>440</v>
      </c>
      <c r="E1516" s="201" t="s">
        <v>638</v>
      </c>
      <c r="F1516" s="200" t="s">
        <v>652</v>
      </c>
      <c r="G1516" s="200" t="s">
        <v>688</v>
      </c>
    </row>
    <row r="1517" spans="1:7" hidden="1">
      <c r="A1517" s="199" t="s">
        <v>764</v>
      </c>
      <c r="B1517" s="200">
        <v>-27600</v>
      </c>
      <c r="C1517" s="200">
        <v>0</v>
      </c>
      <c r="D1517" s="201" t="s">
        <v>442</v>
      </c>
      <c r="E1517" s="201" t="s">
        <v>638</v>
      </c>
      <c r="F1517" s="200" t="s">
        <v>396</v>
      </c>
      <c r="G1517" s="200" t="s">
        <v>688</v>
      </c>
    </row>
    <row r="1518" spans="1:7" hidden="1">
      <c r="A1518" s="199" t="s">
        <v>765</v>
      </c>
      <c r="B1518" s="200">
        <v>51100</v>
      </c>
      <c r="C1518" s="200">
        <v>0</v>
      </c>
      <c r="D1518" s="201" t="s">
        <v>440</v>
      </c>
      <c r="E1518" s="201" t="s">
        <v>638</v>
      </c>
      <c r="F1518" s="200" t="s">
        <v>652</v>
      </c>
      <c r="G1518" s="200" t="s">
        <v>688</v>
      </c>
    </row>
    <row r="1519" spans="1:7" hidden="1">
      <c r="A1519" s="199" t="s">
        <v>766</v>
      </c>
      <c r="B1519" s="200">
        <v>30800</v>
      </c>
      <c r="C1519" s="200">
        <v>0</v>
      </c>
      <c r="D1519" s="201" t="s">
        <v>440</v>
      </c>
      <c r="E1519" s="201" t="s">
        <v>638</v>
      </c>
      <c r="F1519" s="200" t="s">
        <v>652</v>
      </c>
      <c r="G1519" s="200" t="s">
        <v>688</v>
      </c>
    </row>
    <row r="1520" spans="1:7" hidden="1">
      <c r="A1520" s="199" t="s">
        <v>767</v>
      </c>
      <c r="B1520" s="200">
        <v>-26900</v>
      </c>
      <c r="C1520" s="200">
        <v>0</v>
      </c>
      <c r="D1520" s="201" t="s">
        <v>440</v>
      </c>
      <c r="E1520" s="201" t="s">
        <v>638</v>
      </c>
      <c r="F1520" s="200" t="s">
        <v>652</v>
      </c>
      <c r="G1520" s="200" t="s">
        <v>688</v>
      </c>
    </row>
    <row r="1521" spans="1:7" hidden="1">
      <c r="A1521" s="199" t="s">
        <v>768</v>
      </c>
      <c r="B1521" s="200">
        <v>-4800</v>
      </c>
      <c r="C1521" s="200">
        <v>0</v>
      </c>
      <c r="D1521" s="201" t="s">
        <v>442</v>
      </c>
      <c r="E1521" s="201" t="s">
        <v>638</v>
      </c>
      <c r="F1521" s="200" t="s">
        <v>396</v>
      </c>
      <c r="G1521" s="200" t="s">
        <v>688</v>
      </c>
    </row>
    <row r="1522" spans="1:7" hidden="1">
      <c r="A1522" s="199" t="s">
        <v>769</v>
      </c>
      <c r="B1522" s="200">
        <v>8900</v>
      </c>
      <c r="C1522" s="200">
        <v>0</v>
      </c>
      <c r="D1522" s="201" t="s">
        <v>442</v>
      </c>
      <c r="E1522" s="201" t="s">
        <v>638</v>
      </c>
      <c r="F1522" s="200" t="s">
        <v>396</v>
      </c>
      <c r="G1522" s="200" t="s">
        <v>688</v>
      </c>
    </row>
    <row r="1523" spans="1:7" hidden="1">
      <c r="A1523" s="199" t="s">
        <v>770</v>
      </c>
      <c r="B1523" s="200">
        <v>47800</v>
      </c>
      <c r="C1523" s="200">
        <v>0</v>
      </c>
      <c r="D1523" s="201" t="s">
        <v>440</v>
      </c>
      <c r="E1523" s="201" t="s">
        <v>638</v>
      </c>
      <c r="F1523" s="200" t="s">
        <v>652</v>
      </c>
      <c r="G1523" s="200" t="s">
        <v>688</v>
      </c>
    </row>
    <row r="1524" spans="1:7" hidden="1">
      <c r="A1524" s="199" t="s">
        <v>771</v>
      </c>
      <c r="B1524" s="200">
        <v>47800</v>
      </c>
      <c r="C1524" s="200">
        <v>0</v>
      </c>
      <c r="D1524" s="201" t="s">
        <v>440</v>
      </c>
      <c r="E1524" s="201" t="s">
        <v>638</v>
      </c>
      <c r="F1524" s="200" t="s">
        <v>409</v>
      </c>
      <c r="G1524" s="200" t="s">
        <v>688</v>
      </c>
    </row>
    <row r="1525" spans="1:7" hidden="1">
      <c r="A1525" s="199" t="s">
        <v>772</v>
      </c>
      <c r="B1525" s="200">
        <v>84800</v>
      </c>
      <c r="C1525" s="200">
        <v>0</v>
      </c>
      <c r="D1525" s="201" t="s">
        <v>440</v>
      </c>
      <c r="E1525" s="201" t="s">
        <v>638</v>
      </c>
      <c r="F1525" s="200" t="s">
        <v>652</v>
      </c>
      <c r="G1525" s="200" t="s">
        <v>688</v>
      </c>
    </row>
    <row r="1526" spans="1:7" hidden="1">
      <c r="A1526" s="199" t="s">
        <v>773</v>
      </c>
      <c r="B1526" s="200">
        <v>95000</v>
      </c>
      <c r="C1526" s="200">
        <v>0</v>
      </c>
      <c r="D1526" s="201" t="s">
        <v>440</v>
      </c>
      <c r="E1526" s="201" t="s">
        <v>638</v>
      </c>
      <c r="F1526" s="200" t="s">
        <v>652</v>
      </c>
      <c r="G1526" s="200" t="s">
        <v>688</v>
      </c>
    </row>
    <row r="1527" spans="1:7" hidden="1">
      <c r="A1527" s="199" t="s">
        <v>774</v>
      </c>
      <c r="B1527" s="200">
        <v>39900</v>
      </c>
      <c r="C1527" s="200">
        <v>0</v>
      </c>
      <c r="D1527" s="201" t="s">
        <v>442</v>
      </c>
      <c r="E1527" s="201" t="s">
        <v>638</v>
      </c>
      <c r="F1527" s="200" t="s">
        <v>396</v>
      </c>
      <c r="G1527" s="200" t="s">
        <v>688</v>
      </c>
    </row>
    <row r="1528" spans="1:7" hidden="1">
      <c r="A1528" s="199" t="s">
        <v>775</v>
      </c>
      <c r="B1528" s="200">
        <v>67700</v>
      </c>
      <c r="C1528" s="200">
        <v>0</v>
      </c>
      <c r="D1528" s="201" t="s">
        <v>440</v>
      </c>
      <c r="E1528" s="201" t="s">
        <v>638</v>
      </c>
      <c r="F1528" s="200" t="s">
        <v>652</v>
      </c>
      <c r="G1528" s="200" t="s">
        <v>688</v>
      </c>
    </row>
    <row r="1529" spans="1:7" hidden="1">
      <c r="A1529" s="199" t="s">
        <v>776</v>
      </c>
      <c r="B1529" s="200">
        <v>155400</v>
      </c>
      <c r="C1529" s="200">
        <v>0</v>
      </c>
      <c r="D1529" s="201" t="s">
        <v>440</v>
      </c>
      <c r="E1529" s="201" t="s">
        <v>638</v>
      </c>
      <c r="F1529" s="200" t="s">
        <v>652</v>
      </c>
      <c r="G1529" s="200" t="s">
        <v>688</v>
      </c>
    </row>
    <row r="1530" spans="1:7" hidden="1">
      <c r="A1530" s="199" t="s">
        <v>777</v>
      </c>
      <c r="B1530" s="200">
        <v>64300</v>
      </c>
      <c r="C1530" s="200">
        <v>0</v>
      </c>
      <c r="D1530" s="201" t="s">
        <v>440</v>
      </c>
      <c r="E1530" s="201" t="s">
        <v>638</v>
      </c>
      <c r="F1530" s="200" t="s">
        <v>652</v>
      </c>
      <c r="G1530" s="200" t="s">
        <v>688</v>
      </c>
    </row>
    <row r="1531" spans="1:7" hidden="1">
      <c r="A1531" s="199" t="s">
        <v>778</v>
      </c>
      <c r="B1531" s="200">
        <v>89200</v>
      </c>
      <c r="C1531" s="200">
        <v>0</v>
      </c>
      <c r="D1531" s="201" t="s">
        <v>440</v>
      </c>
      <c r="E1531" s="201" t="s">
        <v>638</v>
      </c>
      <c r="F1531" s="200" t="s">
        <v>652</v>
      </c>
      <c r="G1531" s="200" t="s">
        <v>688</v>
      </c>
    </row>
    <row r="1532" spans="1:7" hidden="1">
      <c r="A1532" s="199" t="s">
        <v>779</v>
      </c>
      <c r="B1532" s="200">
        <v>37500</v>
      </c>
      <c r="C1532" s="200">
        <v>0</v>
      </c>
      <c r="D1532" s="201" t="s">
        <v>442</v>
      </c>
      <c r="E1532" s="201" t="s">
        <v>638</v>
      </c>
      <c r="F1532" s="200" t="s">
        <v>396</v>
      </c>
      <c r="G1532" s="200" t="s">
        <v>688</v>
      </c>
    </row>
    <row r="1533" spans="1:7" hidden="1">
      <c r="A1533" s="199" t="s">
        <v>780</v>
      </c>
      <c r="B1533" s="200">
        <v>22700</v>
      </c>
      <c r="C1533" s="200">
        <v>0</v>
      </c>
      <c r="D1533" s="201" t="s">
        <v>440</v>
      </c>
      <c r="E1533" s="201" t="s">
        <v>638</v>
      </c>
      <c r="F1533" s="200" t="s">
        <v>652</v>
      </c>
      <c r="G1533" s="200" t="s">
        <v>688</v>
      </c>
    </row>
    <row r="1534" spans="1:7" hidden="1">
      <c r="A1534" s="199" t="s">
        <v>781</v>
      </c>
      <c r="B1534" s="200">
        <v>3400</v>
      </c>
      <c r="C1534" s="200">
        <v>0</v>
      </c>
      <c r="D1534" s="201" t="s">
        <v>442</v>
      </c>
      <c r="E1534" s="201" t="s">
        <v>638</v>
      </c>
      <c r="F1534" s="200" t="s">
        <v>396</v>
      </c>
      <c r="G1534" s="200" t="s">
        <v>688</v>
      </c>
    </row>
    <row r="1535" spans="1:7" hidden="1">
      <c r="A1535" s="199" t="s">
        <v>782</v>
      </c>
      <c r="B1535" s="200">
        <v>8100</v>
      </c>
      <c r="C1535" s="200">
        <v>0</v>
      </c>
      <c r="D1535" s="201" t="s">
        <v>440</v>
      </c>
      <c r="E1535" s="201" t="s">
        <v>638</v>
      </c>
      <c r="F1535" s="200" t="s">
        <v>652</v>
      </c>
      <c r="G1535" s="200" t="s">
        <v>688</v>
      </c>
    </row>
    <row r="1536" spans="1:7" hidden="1">
      <c r="A1536" s="199" t="s">
        <v>783</v>
      </c>
      <c r="B1536" s="200">
        <v>66600</v>
      </c>
      <c r="C1536" s="200">
        <v>0</v>
      </c>
      <c r="D1536" s="201" t="s">
        <v>440</v>
      </c>
      <c r="E1536" s="201" t="s">
        <v>638</v>
      </c>
      <c r="F1536" s="200" t="s">
        <v>652</v>
      </c>
      <c r="G1536" s="200" t="s">
        <v>688</v>
      </c>
    </row>
    <row r="1537" spans="1:7" hidden="1">
      <c r="A1537" s="199" t="s">
        <v>784</v>
      </c>
      <c r="B1537" s="200">
        <v>2200</v>
      </c>
      <c r="C1537" s="200">
        <v>0</v>
      </c>
      <c r="D1537" s="201" t="s">
        <v>442</v>
      </c>
      <c r="E1537" s="201" t="s">
        <v>638</v>
      </c>
      <c r="F1537" s="200" t="s">
        <v>396</v>
      </c>
      <c r="G1537" s="200" t="s">
        <v>688</v>
      </c>
    </row>
    <row r="1538" spans="1:7" hidden="1">
      <c r="A1538" s="199" t="s">
        <v>785</v>
      </c>
      <c r="B1538" s="200">
        <v>10600</v>
      </c>
      <c r="C1538" s="200">
        <v>0</v>
      </c>
      <c r="D1538" s="201" t="s">
        <v>440</v>
      </c>
      <c r="E1538" s="201" t="s">
        <v>638</v>
      </c>
      <c r="F1538" s="200" t="s">
        <v>652</v>
      </c>
      <c r="G1538" s="200" t="s">
        <v>688</v>
      </c>
    </row>
    <row r="1539" spans="1:7" hidden="1">
      <c r="A1539" s="199" t="s">
        <v>786</v>
      </c>
      <c r="B1539" s="200">
        <v>2800</v>
      </c>
      <c r="C1539" s="200">
        <v>0</v>
      </c>
      <c r="D1539" s="201" t="s">
        <v>442</v>
      </c>
      <c r="E1539" s="201" t="s">
        <v>638</v>
      </c>
      <c r="F1539" s="200" t="s">
        <v>396</v>
      </c>
      <c r="G1539" s="200" t="s">
        <v>688</v>
      </c>
    </row>
    <row r="1540" spans="1:7" hidden="1">
      <c r="A1540" s="199" t="s">
        <v>787</v>
      </c>
      <c r="B1540" s="200">
        <v>55800</v>
      </c>
      <c r="C1540" s="200">
        <v>0</v>
      </c>
      <c r="D1540" s="201" t="s">
        <v>440</v>
      </c>
      <c r="E1540" s="201" t="s">
        <v>638</v>
      </c>
      <c r="F1540" s="200" t="s">
        <v>652</v>
      </c>
      <c r="G1540" s="200" t="s">
        <v>688</v>
      </c>
    </row>
    <row r="1541" spans="1:7" hidden="1">
      <c r="A1541" s="199" t="s">
        <v>788</v>
      </c>
      <c r="B1541" s="200">
        <v>2600</v>
      </c>
      <c r="C1541" s="200">
        <v>0</v>
      </c>
      <c r="D1541" s="201" t="s">
        <v>442</v>
      </c>
      <c r="E1541" s="201" t="s">
        <v>638</v>
      </c>
      <c r="F1541" s="200" t="s">
        <v>396</v>
      </c>
      <c r="G1541" s="200" t="s">
        <v>688</v>
      </c>
    </row>
    <row r="1542" spans="1:7" hidden="1">
      <c r="A1542" s="199" t="s">
        <v>789</v>
      </c>
      <c r="B1542" s="200">
        <v>2700</v>
      </c>
      <c r="C1542" s="200">
        <v>0</v>
      </c>
      <c r="D1542" s="201" t="s">
        <v>442</v>
      </c>
      <c r="E1542" s="201" t="s">
        <v>638</v>
      </c>
      <c r="F1542" s="200" t="s">
        <v>396</v>
      </c>
      <c r="G1542" s="200" t="s">
        <v>688</v>
      </c>
    </row>
    <row r="1543" spans="1:7" hidden="1">
      <c r="A1543" s="199" t="s">
        <v>790</v>
      </c>
      <c r="B1543" s="200">
        <v>54400</v>
      </c>
      <c r="C1543" s="200">
        <v>0</v>
      </c>
      <c r="D1543" s="201" t="s">
        <v>440</v>
      </c>
      <c r="E1543" s="201" t="s">
        <v>638</v>
      </c>
      <c r="F1543" s="200" t="s">
        <v>652</v>
      </c>
      <c r="G1543" s="200" t="s">
        <v>688</v>
      </c>
    </row>
    <row r="1544" spans="1:7" hidden="1">
      <c r="A1544" s="199" t="s">
        <v>791</v>
      </c>
      <c r="B1544" s="200">
        <v>103700</v>
      </c>
      <c r="C1544" s="200">
        <v>0</v>
      </c>
      <c r="D1544" s="201" t="s">
        <v>440</v>
      </c>
      <c r="E1544" s="201" t="s">
        <v>638</v>
      </c>
      <c r="F1544" s="200" t="s">
        <v>652</v>
      </c>
      <c r="G1544" s="200" t="s">
        <v>688</v>
      </c>
    </row>
    <row r="1545" spans="1:7" hidden="1">
      <c r="A1545" s="199" t="s">
        <v>792</v>
      </c>
      <c r="B1545" s="200">
        <v>3100</v>
      </c>
      <c r="C1545" s="200">
        <v>0</v>
      </c>
      <c r="D1545" s="201" t="s">
        <v>442</v>
      </c>
      <c r="E1545" s="201" t="s">
        <v>638</v>
      </c>
      <c r="F1545" s="200" t="s">
        <v>396</v>
      </c>
      <c r="G1545" s="200" t="s">
        <v>688</v>
      </c>
    </row>
    <row r="1546" spans="1:7" hidden="1">
      <c r="A1546" s="199" t="s">
        <v>793</v>
      </c>
      <c r="B1546" s="200">
        <v>2100</v>
      </c>
      <c r="C1546" s="200">
        <v>0</v>
      </c>
      <c r="D1546" s="201" t="s">
        <v>442</v>
      </c>
      <c r="E1546" s="201" t="s">
        <v>638</v>
      </c>
      <c r="F1546" s="200" t="s">
        <v>396</v>
      </c>
      <c r="G1546" s="200" t="s">
        <v>688</v>
      </c>
    </row>
    <row r="1547" spans="1:7" hidden="1">
      <c r="A1547" s="199" t="s">
        <v>794</v>
      </c>
      <c r="B1547" s="200">
        <v>12500</v>
      </c>
      <c r="C1547" s="200">
        <v>0</v>
      </c>
      <c r="D1547" s="201" t="s">
        <v>440</v>
      </c>
      <c r="E1547" s="201" t="s">
        <v>638</v>
      </c>
      <c r="F1547" s="200" t="s">
        <v>652</v>
      </c>
      <c r="G1547" s="200" t="s">
        <v>688</v>
      </c>
    </row>
    <row r="1548" spans="1:7" hidden="1">
      <c r="A1548" s="199" t="s">
        <v>795</v>
      </c>
      <c r="B1548" s="200">
        <v>5700</v>
      </c>
      <c r="C1548" s="200">
        <v>0</v>
      </c>
      <c r="D1548" s="201" t="s">
        <v>442</v>
      </c>
      <c r="E1548" s="201" t="s">
        <v>638</v>
      </c>
      <c r="F1548" s="200" t="s">
        <v>396</v>
      </c>
      <c r="G1548" s="200" t="s">
        <v>688</v>
      </c>
    </row>
    <row r="1549" spans="1:7" hidden="1">
      <c r="A1549" s="199" t="s">
        <v>796</v>
      </c>
      <c r="B1549" s="200">
        <v>200000</v>
      </c>
      <c r="C1549" s="200">
        <v>0</v>
      </c>
      <c r="D1549" s="201" t="s">
        <v>440</v>
      </c>
      <c r="E1549" s="201" t="s">
        <v>638</v>
      </c>
      <c r="F1549" s="200" t="s">
        <v>652</v>
      </c>
      <c r="G1549" s="200" t="s">
        <v>688</v>
      </c>
    </row>
    <row r="1550" spans="1:7" hidden="1">
      <c r="A1550" s="199" t="s">
        <v>797</v>
      </c>
      <c r="B1550" s="200">
        <v>2100</v>
      </c>
      <c r="C1550" s="200">
        <v>0</v>
      </c>
      <c r="D1550" s="201" t="s">
        <v>442</v>
      </c>
      <c r="E1550" s="201" t="s">
        <v>638</v>
      </c>
      <c r="F1550" s="200" t="s">
        <v>396</v>
      </c>
      <c r="G1550" s="200" t="s">
        <v>688</v>
      </c>
    </row>
    <row r="1551" spans="1:7" hidden="1">
      <c r="A1551" s="199" t="s">
        <v>798</v>
      </c>
      <c r="B1551" s="200">
        <v>31400</v>
      </c>
      <c r="C1551" s="200">
        <v>0</v>
      </c>
      <c r="D1551" s="201" t="s">
        <v>440</v>
      </c>
      <c r="E1551" s="201" t="s">
        <v>638</v>
      </c>
      <c r="F1551" s="200" t="s">
        <v>652</v>
      </c>
      <c r="G1551" s="200" t="s">
        <v>688</v>
      </c>
    </row>
    <row r="1552" spans="1:7" hidden="1">
      <c r="A1552" s="199" t="s">
        <v>799</v>
      </c>
      <c r="B1552" s="200">
        <v>4900</v>
      </c>
      <c r="C1552" s="200">
        <v>0</v>
      </c>
      <c r="D1552" s="201" t="s">
        <v>442</v>
      </c>
      <c r="E1552" s="201" t="s">
        <v>638</v>
      </c>
      <c r="F1552" s="200" t="s">
        <v>396</v>
      </c>
      <c r="G1552" s="200" t="s">
        <v>688</v>
      </c>
    </row>
    <row r="1553" spans="1:7" hidden="1">
      <c r="A1553" s="199" t="s">
        <v>800</v>
      </c>
      <c r="B1553" s="200">
        <v>3100</v>
      </c>
      <c r="C1553" s="200">
        <v>0</v>
      </c>
      <c r="D1553" s="201" t="s">
        <v>442</v>
      </c>
      <c r="E1553" s="201" t="s">
        <v>638</v>
      </c>
      <c r="F1553" s="200" t="s">
        <v>396</v>
      </c>
      <c r="G1553" s="200" t="s">
        <v>688</v>
      </c>
    </row>
    <row r="1554" spans="1:7" hidden="1">
      <c r="A1554" s="199" t="s">
        <v>801</v>
      </c>
      <c r="B1554" s="200">
        <v>66500</v>
      </c>
      <c r="C1554" s="200">
        <v>0</v>
      </c>
      <c r="D1554" s="201" t="s">
        <v>440</v>
      </c>
      <c r="E1554" s="201" t="s">
        <v>638</v>
      </c>
      <c r="F1554" s="200" t="s">
        <v>652</v>
      </c>
      <c r="G1554" s="200" t="s">
        <v>688</v>
      </c>
    </row>
    <row r="1555" spans="1:7" hidden="1">
      <c r="A1555" s="199" t="s">
        <v>802</v>
      </c>
      <c r="B1555" s="200">
        <v>182300</v>
      </c>
      <c r="C1555" s="200">
        <v>0</v>
      </c>
      <c r="D1555" s="201" t="s">
        <v>440</v>
      </c>
      <c r="E1555" s="201" t="s">
        <v>638</v>
      </c>
      <c r="F1555" s="200" t="s">
        <v>652</v>
      </c>
      <c r="G1555" s="200" t="s">
        <v>688</v>
      </c>
    </row>
    <row r="1556" spans="1:7" hidden="1">
      <c r="A1556" s="199" t="s">
        <v>803</v>
      </c>
      <c r="B1556" s="200">
        <v>10100</v>
      </c>
      <c r="C1556" s="200">
        <v>0</v>
      </c>
      <c r="D1556" s="201" t="s">
        <v>440</v>
      </c>
      <c r="E1556" s="201" t="s">
        <v>638</v>
      </c>
      <c r="F1556" s="200" t="s">
        <v>652</v>
      </c>
      <c r="G1556" s="200" t="s">
        <v>688</v>
      </c>
    </row>
    <row r="1557" spans="1:7" hidden="1">
      <c r="A1557" s="199" t="s">
        <v>804</v>
      </c>
      <c r="B1557" s="200">
        <v>176300</v>
      </c>
      <c r="C1557" s="200">
        <v>0</v>
      </c>
      <c r="D1557" s="201" t="s">
        <v>440</v>
      </c>
      <c r="E1557" s="201" t="s">
        <v>638</v>
      </c>
      <c r="F1557" s="200" t="s">
        <v>652</v>
      </c>
      <c r="G1557" s="200" t="s">
        <v>688</v>
      </c>
    </row>
    <row r="1558" spans="1:7" hidden="1">
      <c r="A1558" s="199" t="s">
        <v>805</v>
      </c>
      <c r="B1558" s="200">
        <v>71900</v>
      </c>
      <c r="C1558" s="200">
        <v>0</v>
      </c>
      <c r="D1558" s="201" t="s">
        <v>440</v>
      </c>
      <c r="E1558" s="201" t="s">
        <v>638</v>
      </c>
      <c r="F1558" s="200" t="s">
        <v>652</v>
      </c>
      <c r="G1558" s="200" t="s">
        <v>688</v>
      </c>
    </row>
    <row r="1559" spans="1:7" hidden="1">
      <c r="A1559" s="199" t="s">
        <v>806</v>
      </c>
      <c r="B1559" s="200">
        <v>19010</v>
      </c>
      <c r="C1559" s="200">
        <v>0</v>
      </c>
      <c r="D1559" s="201" t="s">
        <v>440</v>
      </c>
      <c r="E1559" s="201" t="s">
        <v>638</v>
      </c>
      <c r="F1559" s="200" t="s">
        <v>652</v>
      </c>
      <c r="G1559" s="200" t="s">
        <v>688</v>
      </c>
    </row>
    <row r="1560" spans="1:7" hidden="1">
      <c r="A1560" s="199" t="s">
        <v>807</v>
      </c>
      <c r="B1560" s="200">
        <v>-34700</v>
      </c>
      <c r="C1560" s="200">
        <v>0</v>
      </c>
      <c r="D1560" s="201" t="s">
        <v>442</v>
      </c>
      <c r="E1560" s="201" t="s">
        <v>638</v>
      </c>
      <c r="F1560" s="200" t="s">
        <v>396</v>
      </c>
      <c r="G1560" s="200" t="s">
        <v>688</v>
      </c>
    </row>
    <row r="1561" spans="1:7" hidden="1">
      <c r="A1561" s="199" t="s">
        <v>808</v>
      </c>
      <c r="B1561" s="200">
        <v>78600</v>
      </c>
      <c r="C1561" s="200">
        <v>0</v>
      </c>
      <c r="D1561" s="201" t="s">
        <v>440</v>
      </c>
      <c r="E1561" s="201" t="s">
        <v>638</v>
      </c>
      <c r="F1561" s="200" t="s">
        <v>652</v>
      </c>
      <c r="G1561" s="200" t="s">
        <v>688</v>
      </c>
    </row>
    <row r="1562" spans="1:7" hidden="1">
      <c r="A1562" s="199" t="s">
        <v>809</v>
      </c>
      <c r="B1562" s="200">
        <v>126400</v>
      </c>
      <c r="C1562" s="200">
        <v>0</v>
      </c>
      <c r="D1562" s="201" t="s">
        <v>440</v>
      </c>
      <c r="E1562" s="201" t="s">
        <v>638</v>
      </c>
      <c r="F1562" s="200" t="s">
        <v>652</v>
      </c>
      <c r="G1562" s="200" t="s">
        <v>688</v>
      </c>
    </row>
    <row r="1563" spans="1:7" hidden="1">
      <c r="A1563" s="199" t="s">
        <v>810</v>
      </c>
      <c r="B1563" s="200">
        <v>28200</v>
      </c>
      <c r="C1563" s="200">
        <v>0</v>
      </c>
      <c r="D1563" s="201" t="s">
        <v>440</v>
      </c>
      <c r="E1563" s="201" t="s">
        <v>638</v>
      </c>
      <c r="F1563" s="200" t="s">
        <v>652</v>
      </c>
      <c r="G1563" s="200" t="s">
        <v>688</v>
      </c>
    </row>
    <row r="1564" spans="1:7" hidden="1">
      <c r="A1564" s="199" t="s">
        <v>811</v>
      </c>
      <c r="B1564" s="200">
        <v>24500</v>
      </c>
      <c r="C1564" s="200">
        <v>0</v>
      </c>
      <c r="D1564" s="201" t="s">
        <v>440</v>
      </c>
      <c r="E1564" s="201" t="s">
        <v>638</v>
      </c>
      <c r="F1564" s="200" t="s">
        <v>652</v>
      </c>
      <c r="G1564" s="200" t="s">
        <v>688</v>
      </c>
    </row>
    <row r="1565" spans="1:7" hidden="1">
      <c r="A1565" s="199" t="s">
        <v>812</v>
      </c>
      <c r="B1565" s="200">
        <v>80600</v>
      </c>
      <c r="C1565" s="200">
        <v>0</v>
      </c>
      <c r="D1565" s="201" t="s">
        <v>440</v>
      </c>
      <c r="E1565" s="201" t="s">
        <v>638</v>
      </c>
      <c r="F1565" s="200" t="s">
        <v>652</v>
      </c>
      <c r="G1565" s="200" t="s">
        <v>688</v>
      </c>
    </row>
    <row r="1566" spans="1:7" hidden="1">
      <c r="A1566" s="199" t="s">
        <v>813</v>
      </c>
      <c r="B1566" s="200">
        <v>22400</v>
      </c>
      <c r="C1566" s="200">
        <v>0</v>
      </c>
      <c r="D1566" s="201" t="s">
        <v>440</v>
      </c>
      <c r="E1566" s="201" t="s">
        <v>638</v>
      </c>
      <c r="F1566" s="200" t="s">
        <v>652</v>
      </c>
      <c r="G1566" s="200" t="s">
        <v>688</v>
      </c>
    </row>
    <row r="1567" spans="1:7" hidden="1">
      <c r="A1567" s="199" t="s">
        <v>814</v>
      </c>
      <c r="B1567" s="200">
        <v>90700</v>
      </c>
      <c r="C1567" s="200">
        <v>0</v>
      </c>
      <c r="D1567" s="201" t="s">
        <v>440</v>
      </c>
      <c r="E1567" s="201" t="s">
        <v>638</v>
      </c>
      <c r="F1567" s="200" t="s">
        <v>652</v>
      </c>
      <c r="G1567" s="200" t="s">
        <v>688</v>
      </c>
    </row>
    <row r="1568" spans="1:7" hidden="1">
      <c r="A1568" s="199" t="s">
        <v>815</v>
      </c>
      <c r="B1568" s="200">
        <v>7700</v>
      </c>
      <c r="C1568" s="200">
        <v>0</v>
      </c>
      <c r="D1568" s="201" t="s">
        <v>440</v>
      </c>
      <c r="E1568" s="201" t="s">
        <v>638</v>
      </c>
      <c r="F1568" s="200" t="s">
        <v>652</v>
      </c>
      <c r="G1568" s="200" t="s">
        <v>688</v>
      </c>
    </row>
    <row r="1569" spans="1:7" hidden="1">
      <c r="A1569" s="199" t="s">
        <v>816</v>
      </c>
      <c r="B1569" s="200">
        <v>-10200</v>
      </c>
      <c r="C1569" s="200">
        <v>0</v>
      </c>
      <c r="D1569" s="201" t="s">
        <v>442</v>
      </c>
      <c r="E1569" s="201" t="s">
        <v>638</v>
      </c>
      <c r="F1569" s="200" t="s">
        <v>396</v>
      </c>
      <c r="G1569" s="200" t="s">
        <v>688</v>
      </c>
    </row>
    <row r="1570" spans="1:7" hidden="1">
      <c r="A1570" s="199" t="s">
        <v>817</v>
      </c>
      <c r="B1570" s="200">
        <v>8000</v>
      </c>
      <c r="C1570" s="200">
        <v>0</v>
      </c>
      <c r="D1570" s="201" t="s">
        <v>440</v>
      </c>
      <c r="E1570" s="201" t="s">
        <v>638</v>
      </c>
      <c r="F1570" s="200" t="s">
        <v>652</v>
      </c>
      <c r="G1570" s="200" t="s">
        <v>688</v>
      </c>
    </row>
    <row r="1571" spans="1:7" hidden="1">
      <c r="A1571" s="199" t="s">
        <v>818</v>
      </c>
      <c r="B1571" s="200">
        <v>27600</v>
      </c>
      <c r="C1571" s="200">
        <v>0</v>
      </c>
      <c r="D1571" s="201" t="s">
        <v>440</v>
      </c>
      <c r="E1571" s="201" t="s">
        <v>638</v>
      </c>
      <c r="F1571" s="200" t="s">
        <v>652</v>
      </c>
      <c r="G1571" s="200" t="s">
        <v>688</v>
      </c>
    </row>
    <row r="1572" spans="1:7" hidden="1">
      <c r="A1572" s="199" t="s">
        <v>819</v>
      </c>
      <c r="B1572" s="200">
        <v>-13600</v>
      </c>
      <c r="C1572" s="200">
        <v>0</v>
      </c>
      <c r="D1572" s="201" t="s">
        <v>442</v>
      </c>
      <c r="E1572" s="201" t="s">
        <v>638</v>
      </c>
      <c r="F1572" s="200" t="s">
        <v>396</v>
      </c>
      <c r="G1572" s="200" t="s">
        <v>688</v>
      </c>
    </row>
    <row r="1573" spans="1:7" hidden="1">
      <c r="A1573" s="199" t="s">
        <v>820</v>
      </c>
      <c r="B1573" s="200">
        <v>-17000</v>
      </c>
      <c r="C1573" s="200">
        <v>0</v>
      </c>
      <c r="D1573" s="201" t="s">
        <v>442</v>
      </c>
      <c r="E1573" s="201" t="s">
        <v>638</v>
      </c>
      <c r="F1573" s="200" t="s">
        <v>396</v>
      </c>
      <c r="G1573" s="200" t="s">
        <v>688</v>
      </c>
    </row>
    <row r="1574" spans="1:7" hidden="1">
      <c r="A1574" s="199" t="s">
        <v>821</v>
      </c>
      <c r="B1574" s="200">
        <v>1700</v>
      </c>
      <c r="C1574" s="200">
        <v>0</v>
      </c>
      <c r="D1574" s="201" t="s">
        <v>440</v>
      </c>
      <c r="E1574" s="201" t="s">
        <v>638</v>
      </c>
      <c r="F1574" s="200" t="s">
        <v>652</v>
      </c>
      <c r="G1574" s="200" t="s">
        <v>688</v>
      </c>
    </row>
    <row r="1575" spans="1:7" hidden="1">
      <c r="A1575" s="199" t="s">
        <v>822</v>
      </c>
      <c r="B1575" s="200">
        <v>45400</v>
      </c>
      <c r="C1575" s="200">
        <v>0</v>
      </c>
      <c r="D1575" s="201" t="s">
        <v>440</v>
      </c>
      <c r="E1575" s="201" t="s">
        <v>638</v>
      </c>
      <c r="F1575" s="200" t="s">
        <v>652</v>
      </c>
      <c r="G1575" s="200" t="s">
        <v>688</v>
      </c>
    </row>
    <row r="1576" spans="1:7" hidden="1">
      <c r="A1576" s="199" t="s">
        <v>823</v>
      </c>
      <c r="B1576" s="200">
        <v>-53450</v>
      </c>
      <c r="C1576" s="200">
        <v>0</v>
      </c>
      <c r="D1576" s="201" t="s">
        <v>440</v>
      </c>
      <c r="E1576" s="201" t="s">
        <v>638</v>
      </c>
      <c r="F1576" s="200" t="s">
        <v>652</v>
      </c>
      <c r="G1576" s="200" t="s">
        <v>688</v>
      </c>
    </row>
    <row r="1577" spans="1:7" hidden="1">
      <c r="A1577" s="199" t="s">
        <v>824</v>
      </c>
      <c r="B1577" s="200">
        <v>-1400</v>
      </c>
      <c r="C1577" s="200">
        <v>0</v>
      </c>
      <c r="D1577" s="201" t="s">
        <v>442</v>
      </c>
      <c r="E1577" s="201" t="s">
        <v>638</v>
      </c>
      <c r="F1577" s="200" t="s">
        <v>396</v>
      </c>
      <c r="G1577" s="200" t="s">
        <v>688</v>
      </c>
    </row>
    <row r="1578" spans="1:7" hidden="1">
      <c r="A1578" s="199" t="s">
        <v>825</v>
      </c>
      <c r="B1578" s="200">
        <v>-89339</v>
      </c>
      <c r="C1578" s="200">
        <v>0</v>
      </c>
      <c r="D1578" s="201" t="s">
        <v>442</v>
      </c>
      <c r="E1578" s="201" t="s">
        <v>638</v>
      </c>
      <c r="F1578" s="200" t="s">
        <v>396</v>
      </c>
      <c r="G1578" s="200" t="s">
        <v>688</v>
      </c>
    </row>
    <row r="1579" spans="1:7" hidden="1">
      <c r="A1579" s="199" t="s">
        <v>826</v>
      </c>
      <c r="B1579" s="200">
        <v>-5100</v>
      </c>
      <c r="C1579" s="200">
        <v>0</v>
      </c>
      <c r="D1579" s="201" t="s">
        <v>442</v>
      </c>
      <c r="E1579" s="201" t="s">
        <v>638</v>
      </c>
      <c r="F1579" s="200" t="s">
        <v>396</v>
      </c>
      <c r="G1579" s="200" t="s">
        <v>688</v>
      </c>
    </row>
    <row r="1580" spans="1:7" hidden="1">
      <c r="A1580" s="199" t="s">
        <v>827</v>
      </c>
      <c r="B1580" s="200">
        <v>-2600</v>
      </c>
      <c r="C1580" s="200">
        <v>0</v>
      </c>
      <c r="D1580" s="201" t="s">
        <v>442</v>
      </c>
      <c r="E1580" s="201" t="s">
        <v>638</v>
      </c>
      <c r="F1580" s="200" t="s">
        <v>396</v>
      </c>
      <c r="G1580" s="200" t="s">
        <v>688</v>
      </c>
    </row>
    <row r="1581" spans="1:7" hidden="1">
      <c r="A1581" s="199" t="s">
        <v>828</v>
      </c>
      <c r="B1581" s="200">
        <v>44600</v>
      </c>
      <c r="C1581" s="200">
        <v>0</v>
      </c>
      <c r="D1581" s="201" t="s">
        <v>440</v>
      </c>
      <c r="E1581" s="201" t="s">
        <v>638</v>
      </c>
      <c r="F1581" s="200" t="s">
        <v>652</v>
      </c>
      <c r="G1581" s="200" t="s">
        <v>688</v>
      </c>
    </row>
    <row r="1582" spans="1:7" hidden="1">
      <c r="A1582" s="199" t="s">
        <v>829</v>
      </c>
      <c r="B1582" s="200">
        <v>41500</v>
      </c>
      <c r="C1582" s="200">
        <v>0</v>
      </c>
      <c r="D1582" s="201" t="s">
        <v>440</v>
      </c>
      <c r="E1582" s="201" t="s">
        <v>638</v>
      </c>
      <c r="F1582" s="200" t="s">
        <v>652</v>
      </c>
      <c r="G1582" s="200" t="s">
        <v>688</v>
      </c>
    </row>
    <row r="1583" spans="1:7" hidden="1">
      <c r="A1583" s="199" t="s">
        <v>830</v>
      </c>
      <c r="B1583" s="200">
        <v>7900</v>
      </c>
      <c r="C1583" s="200">
        <v>0</v>
      </c>
      <c r="D1583" s="201" t="s">
        <v>440</v>
      </c>
      <c r="E1583" s="201" t="s">
        <v>638</v>
      </c>
      <c r="F1583" s="200" t="s">
        <v>652</v>
      </c>
      <c r="G1583" s="200" t="s">
        <v>688</v>
      </c>
    </row>
    <row r="1584" spans="1:7" hidden="1">
      <c r="A1584" s="199" t="s">
        <v>831</v>
      </c>
      <c r="B1584" s="200">
        <v>117700</v>
      </c>
      <c r="C1584" s="200">
        <v>0</v>
      </c>
      <c r="D1584" s="201" t="s">
        <v>440</v>
      </c>
      <c r="E1584" s="201" t="s">
        <v>638</v>
      </c>
      <c r="F1584" s="200" t="s">
        <v>652</v>
      </c>
      <c r="G1584" s="200" t="s">
        <v>688</v>
      </c>
    </row>
    <row r="1585" spans="1:7" hidden="1">
      <c r="A1585" s="199" t="s">
        <v>832</v>
      </c>
      <c r="B1585" s="200">
        <v>34900</v>
      </c>
      <c r="C1585" s="200">
        <v>0</v>
      </c>
      <c r="D1585" s="201" t="s">
        <v>440</v>
      </c>
      <c r="E1585" s="201" t="s">
        <v>638</v>
      </c>
      <c r="F1585" s="200" t="s">
        <v>652</v>
      </c>
      <c r="G1585" s="200" t="s">
        <v>688</v>
      </c>
    </row>
    <row r="1586" spans="1:7" hidden="1">
      <c r="A1586" s="199" t="s">
        <v>833</v>
      </c>
      <c r="B1586" s="200">
        <v>6600</v>
      </c>
      <c r="C1586" s="200">
        <v>0</v>
      </c>
      <c r="D1586" s="201" t="s">
        <v>440</v>
      </c>
      <c r="E1586" s="201" t="s">
        <v>638</v>
      </c>
      <c r="F1586" s="200" t="s">
        <v>652</v>
      </c>
      <c r="G1586" s="200" t="s">
        <v>688</v>
      </c>
    </row>
    <row r="1587" spans="1:7" hidden="1">
      <c r="A1587" s="199" t="s">
        <v>834</v>
      </c>
      <c r="B1587" s="200">
        <v>7500</v>
      </c>
      <c r="C1587" s="200">
        <v>0</v>
      </c>
      <c r="D1587" s="201" t="s">
        <v>440</v>
      </c>
      <c r="E1587" s="201" t="s">
        <v>638</v>
      </c>
      <c r="F1587" s="200" t="s">
        <v>652</v>
      </c>
      <c r="G1587" s="200" t="s">
        <v>688</v>
      </c>
    </row>
    <row r="1588" spans="1:7" hidden="1">
      <c r="A1588" s="199" t="s">
        <v>835</v>
      </c>
      <c r="B1588" s="200">
        <v>37100</v>
      </c>
      <c r="C1588" s="200">
        <v>0</v>
      </c>
      <c r="D1588" s="201" t="s">
        <v>440</v>
      </c>
      <c r="E1588" s="201" t="s">
        <v>638</v>
      </c>
      <c r="F1588" s="200" t="s">
        <v>652</v>
      </c>
      <c r="G1588" s="200" t="s">
        <v>688</v>
      </c>
    </row>
    <row r="1589" spans="1:7" hidden="1">
      <c r="A1589" s="199" t="s">
        <v>836</v>
      </c>
      <c r="B1589" s="200">
        <v>2000</v>
      </c>
      <c r="C1589" s="200">
        <v>0</v>
      </c>
      <c r="D1589" s="201" t="s">
        <v>442</v>
      </c>
      <c r="E1589" s="201" t="s">
        <v>638</v>
      </c>
      <c r="F1589" s="200" t="s">
        <v>396</v>
      </c>
      <c r="G1589" s="200" t="s">
        <v>688</v>
      </c>
    </row>
    <row r="1590" spans="1:7" hidden="1">
      <c r="A1590" s="199" t="s">
        <v>837</v>
      </c>
      <c r="B1590" s="200">
        <v>10000</v>
      </c>
      <c r="C1590" s="200">
        <v>0</v>
      </c>
      <c r="D1590" s="201" t="s">
        <v>440</v>
      </c>
      <c r="E1590" s="201" t="s">
        <v>638</v>
      </c>
      <c r="F1590" s="200" t="s">
        <v>652</v>
      </c>
      <c r="G1590" s="200" t="s">
        <v>688</v>
      </c>
    </row>
    <row r="1591" spans="1:7" hidden="1">
      <c r="A1591" s="199" t="s">
        <v>838</v>
      </c>
      <c r="B1591" s="200">
        <v>5000</v>
      </c>
      <c r="C1591" s="200">
        <v>0</v>
      </c>
      <c r="D1591" s="201" t="s">
        <v>440</v>
      </c>
      <c r="E1591" s="201" t="s">
        <v>638</v>
      </c>
      <c r="F1591" s="200" t="s">
        <v>652</v>
      </c>
      <c r="G1591" s="200" t="s">
        <v>688</v>
      </c>
    </row>
    <row r="1592" spans="1:7" hidden="1">
      <c r="A1592" s="199" t="s">
        <v>839</v>
      </c>
      <c r="B1592" s="200">
        <v>4000</v>
      </c>
      <c r="C1592" s="200">
        <v>0</v>
      </c>
      <c r="D1592" s="201" t="s">
        <v>442</v>
      </c>
      <c r="E1592" s="201" t="s">
        <v>638</v>
      </c>
      <c r="F1592" s="200" t="s">
        <v>396</v>
      </c>
      <c r="G1592" s="200" t="s">
        <v>688</v>
      </c>
    </row>
    <row r="1593" spans="1:7" hidden="1">
      <c r="A1593" s="199" t="s">
        <v>840</v>
      </c>
      <c r="B1593" s="200">
        <v>3500</v>
      </c>
      <c r="C1593" s="200">
        <v>0</v>
      </c>
      <c r="D1593" s="201" t="s">
        <v>442</v>
      </c>
      <c r="E1593" s="201" t="s">
        <v>638</v>
      </c>
      <c r="F1593" s="200" t="s">
        <v>396</v>
      </c>
      <c r="G1593" s="200" t="s">
        <v>688</v>
      </c>
    </row>
    <row r="1594" spans="1:7" hidden="1">
      <c r="A1594" s="199" t="s">
        <v>841</v>
      </c>
      <c r="B1594" s="200">
        <v>2200</v>
      </c>
      <c r="C1594" s="200">
        <v>0</v>
      </c>
      <c r="D1594" s="201" t="s">
        <v>442</v>
      </c>
      <c r="E1594" s="201" t="s">
        <v>638</v>
      </c>
      <c r="F1594" s="200" t="s">
        <v>396</v>
      </c>
      <c r="G1594" s="200" t="s">
        <v>688</v>
      </c>
    </row>
    <row r="1595" spans="1:7" hidden="1">
      <c r="A1595" s="199" t="s">
        <v>841</v>
      </c>
      <c r="B1595" s="200">
        <v>37600</v>
      </c>
      <c r="C1595" s="200">
        <v>0</v>
      </c>
      <c r="D1595" s="201" t="s">
        <v>474</v>
      </c>
      <c r="E1595" s="201" t="s">
        <v>638</v>
      </c>
      <c r="F1595" s="200" t="s">
        <v>396</v>
      </c>
      <c r="G1595" s="200" t="s">
        <v>688</v>
      </c>
    </row>
    <row r="1596" spans="1:7" hidden="1">
      <c r="A1596" s="199" t="s">
        <v>842</v>
      </c>
      <c r="B1596" s="200">
        <v>26400</v>
      </c>
      <c r="C1596" s="200">
        <v>0</v>
      </c>
      <c r="D1596" s="201" t="s">
        <v>440</v>
      </c>
      <c r="E1596" s="201" t="s">
        <v>638</v>
      </c>
      <c r="F1596" s="200" t="s">
        <v>652</v>
      </c>
      <c r="G1596" s="200" t="s">
        <v>688</v>
      </c>
    </row>
    <row r="1597" spans="1:7" hidden="1">
      <c r="A1597" s="199" t="s">
        <v>843</v>
      </c>
      <c r="B1597" s="200">
        <v>2500</v>
      </c>
      <c r="C1597" s="200">
        <v>0</v>
      </c>
      <c r="D1597" s="201" t="s">
        <v>442</v>
      </c>
      <c r="E1597" s="201" t="s">
        <v>638</v>
      </c>
      <c r="F1597" s="200" t="s">
        <v>396</v>
      </c>
      <c r="G1597" s="200" t="s">
        <v>688</v>
      </c>
    </row>
    <row r="1598" spans="1:7" hidden="1">
      <c r="A1598" s="199" t="s">
        <v>844</v>
      </c>
      <c r="B1598" s="200">
        <v>3300</v>
      </c>
      <c r="C1598" s="200">
        <v>0</v>
      </c>
      <c r="D1598" s="201" t="s">
        <v>442</v>
      </c>
      <c r="E1598" s="201" t="s">
        <v>638</v>
      </c>
      <c r="F1598" s="200" t="s">
        <v>396</v>
      </c>
      <c r="G1598" s="200" t="s">
        <v>688</v>
      </c>
    </row>
    <row r="1599" spans="1:7" hidden="1">
      <c r="A1599" s="199" t="s">
        <v>845</v>
      </c>
      <c r="B1599" s="200">
        <v>35900</v>
      </c>
      <c r="C1599" s="200">
        <v>0</v>
      </c>
      <c r="D1599" s="201" t="s">
        <v>440</v>
      </c>
      <c r="E1599" s="201" t="s">
        <v>638</v>
      </c>
      <c r="F1599" s="200" t="s">
        <v>652</v>
      </c>
      <c r="G1599" s="200" t="s">
        <v>688</v>
      </c>
    </row>
    <row r="1600" spans="1:7" hidden="1">
      <c r="A1600" s="199" t="s">
        <v>846</v>
      </c>
      <c r="B1600" s="200">
        <v>32700</v>
      </c>
      <c r="C1600" s="200">
        <v>0</v>
      </c>
      <c r="D1600" s="201" t="s">
        <v>440</v>
      </c>
      <c r="E1600" s="201" t="s">
        <v>638</v>
      </c>
      <c r="F1600" s="200" t="s">
        <v>652</v>
      </c>
      <c r="G1600" s="200" t="s">
        <v>688</v>
      </c>
    </row>
    <row r="1601" spans="1:7" hidden="1">
      <c r="A1601" s="199" t="s">
        <v>847</v>
      </c>
      <c r="B1601" s="200">
        <v>17700</v>
      </c>
      <c r="C1601" s="200">
        <v>0</v>
      </c>
      <c r="D1601" s="201" t="s">
        <v>440</v>
      </c>
      <c r="E1601" s="201" t="s">
        <v>638</v>
      </c>
      <c r="F1601" s="200" t="s">
        <v>652</v>
      </c>
      <c r="G1601" s="200" t="s">
        <v>688</v>
      </c>
    </row>
    <row r="1602" spans="1:7" hidden="1">
      <c r="A1602" s="199" t="s">
        <v>848</v>
      </c>
      <c r="B1602" s="200">
        <v>44000</v>
      </c>
      <c r="C1602" s="200">
        <v>0</v>
      </c>
      <c r="D1602" s="201" t="s">
        <v>440</v>
      </c>
      <c r="E1602" s="201" t="s">
        <v>638</v>
      </c>
      <c r="F1602" s="200" t="s">
        <v>652</v>
      </c>
      <c r="G1602" s="200" t="s">
        <v>688</v>
      </c>
    </row>
    <row r="1603" spans="1:7" hidden="1">
      <c r="A1603" s="199" t="s">
        <v>849</v>
      </c>
      <c r="B1603" s="200">
        <v>-95900</v>
      </c>
      <c r="C1603" s="200">
        <v>0</v>
      </c>
      <c r="D1603" s="201" t="s">
        <v>440</v>
      </c>
      <c r="E1603" s="201" t="s">
        <v>638</v>
      </c>
      <c r="F1603" s="200" t="s">
        <v>409</v>
      </c>
      <c r="G1603" s="200" t="s">
        <v>688</v>
      </c>
    </row>
    <row r="1604" spans="1:7" hidden="1">
      <c r="A1604" s="199" t="s">
        <v>850</v>
      </c>
      <c r="B1604" s="200">
        <v>24800</v>
      </c>
      <c r="C1604" s="200">
        <v>0</v>
      </c>
      <c r="D1604" s="201" t="s">
        <v>440</v>
      </c>
      <c r="E1604" s="201" t="s">
        <v>638</v>
      </c>
      <c r="F1604" s="200" t="s">
        <v>652</v>
      </c>
      <c r="G1604" s="200" t="s">
        <v>688</v>
      </c>
    </row>
    <row r="1605" spans="1:7" hidden="1">
      <c r="A1605" s="199" t="s">
        <v>851</v>
      </c>
      <c r="B1605" s="200">
        <v>3200</v>
      </c>
      <c r="C1605" s="200">
        <v>0</v>
      </c>
      <c r="D1605" s="201" t="s">
        <v>442</v>
      </c>
      <c r="E1605" s="201" t="s">
        <v>638</v>
      </c>
      <c r="F1605" s="200" t="s">
        <v>396</v>
      </c>
      <c r="G1605" s="200" t="s">
        <v>688</v>
      </c>
    </row>
    <row r="1606" spans="1:7" hidden="1">
      <c r="A1606" s="199" t="s">
        <v>852</v>
      </c>
      <c r="B1606" s="200">
        <v>7900</v>
      </c>
      <c r="C1606" s="200">
        <v>0</v>
      </c>
      <c r="D1606" s="201" t="s">
        <v>440</v>
      </c>
      <c r="E1606" s="201" t="s">
        <v>638</v>
      </c>
      <c r="F1606" s="200" t="s">
        <v>652</v>
      </c>
      <c r="G1606" s="200" t="s">
        <v>688</v>
      </c>
    </row>
    <row r="1607" spans="1:7" hidden="1">
      <c r="A1607" s="199" t="s">
        <v>853</v>
      </c>
      <c r="B1607" s="200">
        <v>7400</v>
      </c>
      <c r="C1607" s="200">
        <v>0</v>
      </c>
      <c r="D1607" s="201" t="s">
        <v>440</v>
      </c>
      <c r="E1607" s="201" t="s">
        <v>638</v>
      </c>
      <c r="F1607" s="200" t="s">
        <v>652</v>
      </c>
      <c r="G1607" s="200" t="s">
        <v>688</v>
      </c>
    </row>
    <row r="1608" spans="1:7" hidden="1">
      <c r="A1608" s="199" t="s">
        <v>854</v>
      </c>
      <c r="B1608" s="200">
        <v>1600</v>
      </c>
      <c r="C1608" s="200">
        <v>0</v>
      </c>
      <c r="D1608" s="201" t="s">
        <v>442</v>
      </c>
      <c r="E1608" s="201" t="s">
        <v>638</v>
      </c>
      <c r="F1608" s="200" t="s">
        <v>396</v>
      </c>
      <c r="G1608" s="200" t="s">
        <v>688</v>
      </c>
    </row>
    <row r="1609" spans="1:7" hidden="1">
      <c r="A1609" s="199" t="s">
        <v>855</v>
      </c>
      <c r="B1609" s="200">
        <v>27600</v>
      </c>
      <c r="C1609" s="200">
        <v>0</v>
      </c>
      <c r="D1609" s="201" t="s">
        <v>440</v>
      </c>
      <c r="E1609" s="201" t="s">
        <v>638</v>
      </c>
      <c r="F1609" s="200" t="s">
        <v>652</v>
      </c>
      <c r="G1609" s="200" t="s">
        <v>688</v>
      </c>
    </row>
    <row r="1610" spans="1:7" hidden="1">
      <c r="A1610" s="199" t="s">
        <v>856</v>
      </c>
      <c r="B1610" s="200">
        <v>33000</v>
      </c>
      <c r="C1610" s="200">
        <v>0</v>
      </c>
      <c r="D1610" s="201" t="s">
        <v>440</v>
      </c>
      <c r="E1610" s="201" t="s">
        <v>638</v>
      </c>
      <c r="F1610" s="200" t="s">
        <v>652</v>
      </c>
      <c r="G1610" s="200" t="s">
        <v>688</v>
      </c>
    </row>
    <row r="1611" spans="1:7" hidden="1">
      <c r="A1611" s="199" t="s">
        <v>857</v>
      </c>
      <c r="B1611" s="200">
        <v>43000</v>
      </c>
      <c r="C1611" s="200">
        <v>0</v>
      </c>
      <c r="D1611" s="201" t="s">
        <v>440</v>
      </c>
      <c r="E1611" s="201" t="s">
        <v>638</v>
      </c>
      <c r="F1611" s="200" t="s">
        <v>652</v>
      </c>
      <c r="G1611" s="200" t="s">
        <v>688</v>
      </c>
    </row>
    <row r="1612" spans="1:7" hidden="1">
      <c r="A1612" s="199" t="s">
        <v>858</v>
      </c>
      <c r="B1612" s="200">
        <v>-10800</v>
      </c>
      <c r="C1612" s="200">
        <v>0</v>
      </c>
      <c r="D1612" s="201" t="s">
        <v>440</v>
      </c>
      <c r="E1612" s="201" t="s">
        <v>638</v>
      </c>
      <c r="F1612" s="200" t="s">
        <v>652</v>
      </c>
      <c r="G1612" s="200" t="s">
        <v>688</v>
      </c>
    </row>
    <row r="1613" spans="1:7" hidden="1">
      <c r="A1613" s="199" t="s">
        <v>859</v>
      </c>
      <c r="B1613" s="200">
        <v>-12800</v>
      </c>
      <c r="C1613" s="200">
        <v>0</v>
      </c>
      <c r="D1613" s="201" t="s">
        <v>440</v>
      </c>
      <c r="E1613" s="201" t="s">
        <v>638</v>
      </c>
      <c r="F1613" s="200" t="s">
        <v>652</v>
      </c>
      <c r="G1613" s="200" t="s">
        <v>688</v>
      </c>
    </row>
    <row r="1614" spans="1:7" hidden="1">
      <c r="A1614" s="199" t="s">
        <v>860</v>
      </c>
      <c r="B1614" s="200">
        <v>-8400</v>
      </c>
      <c r="C1614" s="200">
        <v>0</v>
      </c>
      <c r="D1614" s="201" t="s">
        <v>440</v>
      </c>
      <c r="E1614" s="201" t="s">
        <v>638</v>
      </c>
      <c r="F1614" s="200" t="s">
        <v>409</v>
      </c>
      <c r="G1614" s="200" t="s">
        <v>688</v>
      </c>
    </row>
    <row r="1615" spans="1:7" hidden="1">
      <c r="A1615" s="199" t="s">
        <v>861</v>
      </c>
      <c r="B1615" s="200">
        <v>22100</v>
      </c>
      <c r="C1615" s="200">
        <v>0</v>
      </c>
      <c r="D1615" s="201" t="s">
        <v>440</v>
      </c>
      <c r="E1615" s="201" t="s">
        <v>638</v>
      </c>
      <c r="F1615" s="200" t="s">
        <v>652</v>
      </c>
      <c r="G1615" s="200" t="s">
        <v>688</v>
      </c>
    </row>
    <row r="1616" spans="1:7" hidden="1">
      <c r="A1616" s="199" t="s">
        <v>862</v>
      </c>
      <c r="B1616" s="200">
        <v>35500</v>
      </c>
      <c r="C1616" s="200">
        <v>0</v>
      </c>
      <c r="D1616" s="201" t="s">
        <v>440</v>
      </c>
      <c r="E1616" s="201" t="s">
        <v>638</v>
      </c>
      <c r="F1616" s="200" t="s">
        <v>409</v>
      </c>
      <c r="G1616" s="200" t="s">
        <v>688</v>
      </c>
    </row>
    <row r="1617" spans="1:7" hidden="1">
      <c r="A1617" s="199" t="s">
        <v>863</v>
      </c>
      <c r="B1617" s="200">
        <v>-7200</v>
      </c>
      <c r="C1617" s="200">
        <v>0</v>
      </c>
      <c r="D1617" s="201" t="s">
        <v>442</v>
      </c>
      <c r="E1617" s="201" t="s">
        <v>638</v>
      </c>
      <c r="F1617" s="200" t="s">
        <v>396</v>
      </c>
      <c r="G1617" s="200" t="s">
        <v>688</v>
      </c>
    </row>
    <row r="1618" spans="1:7" hidden="1">
      <c r="A1618" s="199" t="s">
        <v>864</v>
      </c>
      <c r="B1618" s="200">
        <v>-5000</v>
      </c>
      <c r="C1618" s="200">
        <v>0</v>
      </c>
      <c r="D1618" s="201" t="s">
        <v>442</v>
      </c>
      <c r="E1618" s="201" t="s">
        <v>638</v>
      </c>
      <c r="F1618" s="200" t="s">
        <v>396</v>
      </c>
      <c r="G1618" s="200" t="s">
        <v>688</v>
      </c>
    </row>
    <row r="1619" spans="1:7" hidden="1">
      <c r="A1619" s="199" t="s">
        <v>865</v>
      </c>
      <c r="B1619" s="200">
        <v>-16444</v>
      </c>
      <c r="C1619" s="200">
        <v>0</v>
      </c>
      <c r="D1619" s="201" t="s">
        <v>442</v>
      </c>
      <c r="E1619" s="201" t="s">
        <v>638</v>
      </c>
      <c r="F1619" s="200" t="s">
        <v>396</v>
      </c>
      <c r="G1619" s="200" t="s">
        <v>688</v>
      </c>
    </row>
    <row r="1620" spans="1:7" hidden="1">
      <c r="A1620" s="199" t="s">
        <v>865</v>
      </c>
      <c r="B1620" s="200">
        <v>-28500</v>
      </c>
      <c r="C1620" s="200">
        <v>0</v>
      </c>
      <c r="D1620" s="201" t="s">
        <v>474</v>
      </c>
      <c r="E1620" s="201" t="s">
        <v>638</v>
      </c>
      <c r="F1620" s="200" t="s">
        <v>396</v>
      </c>
      <c r="G1620" s="200" t="s">
        <v>688</v>
      </c>
    </row>
    <row r="1621" spans="1:7" hidden="1">
      <c r="A1621" s="199" t="s">
        <v>866</v>
      </c>
      <c r="B1621" s="200">
        <v>-3300</v>
      </c>
      <c r="C1621" s="200">
        <v>0</v>
      </c>
      <c r="D1621" s="201" t="s">
        <v>442</v>
      </c>
      <c r="E1621" s="201" t="s">
        <v>638</v>
      </c>
      <c r="F1621" s="200" t="s">
        <v>396</v>
      </c>
      <c r="G1621" s="200" t="s">
        <v>688</v>
      </c>
    </row>
    <row r="1622" spans="1:7" hidden="1">
      <c r="A1622" s="199" t="s">
        <v>866</v>
      </c>
      <c r="B1622" s="200">
        <v>-27200</v>
      </c>
      <c r="C1622" s="200">
        <v>0</v>
      </c>
      <c r="D1622" s="201" t="s">
        <v>474</v>
      </c>
      <c r="E1622" s="201" t="s">
        <v>638</v>
      </c>
      <c r="F1622" s="200" t="s">
        <v>396</v>
      </c>
      <c r="G1622" s="200" t="s">
        <v>688</v>
      </c>
    </row>
    <row r="1623" spans="1:7" hidden="1">
      <c r="A1623" s="199" t="s">
        <v>867</v>
      </c>
      <c r="B1623" s="200">
        <v>25048</v>
      </c>
      <c r="C1623" s="200">
        <v>0</v>
      </c>
      <c r="D1623" s="201" t="s">
        <v>440</v>
      </c>
      <c r="E1623" s="201" t="s">
        <v>638</v>
      </c>
      <c r="F1623" s="200" t="s">
        <v>652</v>
      </c>
      <c r="G1623" s="200" t="s">
        <v>688</v>
      </c>
    </row>
    <row r="1624" spans="1:7" hidden="1">
      <c r="A1624" s="199" t="s">
        <v>868</v>
      </c>
      <c r="B1624" s="200">
        <v>26700</v>
      </c>
      <c r="C1624" s="200">
        <v>0</v>
      </c>
      <c r="D1624" s="201" t="s">
        <v>440</v>
      </c>
      <c r="E1624" s="201" t="s">
        <v>638</v>
      </c>
      <c r="F1624" s="200" t="s">
        <v>652</v>
      </c>
      <c r="G1624" s="200" t="s">
        <v>688</v>
      </c>
    </row>
    <row r="1625" spans="1:7" hidden="1">
      <c r="A1625" s="199" t="s">
        <v>869</v>
      </c>
      <c r="B1625" s="200">
        <v>26400</v>
      </c>
      <c r="C1625" s="200">
        <v>0</v>
      </c>
      <c r="D1625" s="201" t="s">
        <v>440</v>
      </c>
      <c r="E1625" s="201" t="s">
        <v>638</v>
      </c>
      <c r="F1625" s="200" t="s">
        <v>652</v>
      </c>
      <c r="G1625" s="200" t="s">
        <v>688</v>
      </c>
    </row>
    <row r="1626" spans="1:7" hidden="1">
      <c r="A1626" s="199" t="s">
        <v>870</v>
      </c>
      <c r="B1626" s="200">
        <v>-11100</v>
      </c>
      <c r="C1626" s="200">
        <v>0</v>
      </c>
      <c r="D1626" s="201" t="s">
        <v>442</v>
      </c>
      <c r="E1626" s="201" t="s">
        <v>638</v>
      </c>
      <c r="F1626" s="200" t="s">
        <v>396</v>
      </c>
      <c r="G1626" s="200" t="s">
        <v>688</v>
      </c>
    </row>
    <row r="1627" spans="1:7" hidden="1">
      <c r="A1627" s="199" t="s">
        <v>871</v>
      </c>
      <c r="B1627" s="200">
        <v>16500</v>
      </c>
      <c r="C1627" s="200">
        <v>0</v>
      </c>
      <c r="D1627" s="201" t="s">
        <v>440</v>
      </c>
      <c r="E1627" s="201" t="s">
        <v>638</v>
      </c>
      <c r="F1627" s="200" t="s">
        <v>409</v>
      </c>
      <c r="G1627" s="200" t="s">
        <v>688</v>
      </c>
    </row>
    <row r="1628" spans="1:7" hidden="1">
      <c r="A1628" s="199" t="s">
        <v>872</v>
      </c>
      <c r="B1628" s="200">
        <v>33200</v>
      </c>
      <c r="C1628" s="200">
        <v>0</v>
      </c>
      <c r="D1628" s="201" t="s">
        <v>440</v>
      </c>
      <c r="E1628" s="201" t="s">
        <v>638</v>
      </c>
      <c r="F1628" s="200" t="s">
        <v>652</v>
      </c>
      <c r="G1628" s="200" t="s">
        <v>688</v>
      </c>
    </row>
    <row r="1629" spans="1:7" hidden="1">
      <c r="A1629" s="199" t="s">
        <v>873</v>
      </c>
      <c r="B1629" s="200">
        <v>7200</v>
      </c>
      <c r="C1629" s="200">
        <v>0</v>
      </c>
      <c r="D1629" s="201" t="s">
        <v>442</v>
      </c>
      <c r="E1629" s="201" t="s">
        <v>638</v>
      </c>
      <c r="F1629" s="200" t="s">
        <v>396</v>
      </c>
      <c r="G1629" s="200" t="s">
        <v>688</v>
      </c>
    </row>
    <row r="1630" spans="1:7" hidden="1">
      <c r="A1630" s="199" t="s">
        <v>874</v>
      </c>
      <c r="B1630" s="200">
        <v>-45500</v>
      </c>
      <c r="C1630" s="200">
        <v>0</v>
      </c>
      <c r="D1630" s="201" t="s">
        <v>474</v>
      </c>
      <c r="E1630" s="201" t="s">
        <v>638</v>
      </c>
      <c r="F1630" s="200" t="s">
        <v>396</v>
      </c>
      <c r="G1630" s="200" t="s">
        <v>688</v>
      </c>
    </row>
    <row r="1631" spans="1:7" hidden="1">
      <c r="A1631" s="199" t="s">
        <v>875</v>
      </c>
      <c r="B1631" s="200">
        <v>6500</v>
      </c>
      <c r="C1631" s="200">
        <v>0</v>
      </c>
      <c r="D1631" s="201" t="s">
        <v>442</v>
      </c>
      <c r="E1631" s="201" t="s">
        <v>638</v>
      </c>
      <c r="F1631" s="200" t="s">
        <v>396</v>
      </c>
      <c r="G1631" s="200" t="s">
        <v>688</v>
      </c>
    </row>
    <row r="1632" spans="1:7" hidden="1">
      <c r="A1632" s="199" t="s">
        <v>876</v>
      </c>
      <c r="B1632" s="200">
        <v>138100</v>
      </c>
      <c r="C1632" s="200">
        <v>0</v>
      </c>
      <c r="D1632" s="201" t="s">
        <v>440</v>
      </c>
      <c r="E1632" s="201" t="s">
        <v>638</v>
      </c>
      <c r="F1632" s="200" t="s">
        <v>652</v>
      </c>
      <c r="G1632" s="200" t="s">
        <v>688</v>
      </c>
    </row>
    <row r="1633" spans="1:7" hidden="1">
      <c r="A1633" s="199" t="s">
        <v>877</v>
      </c>
      <c r="B1633" s="200">
        <v>3200</v>
      </c>
      <c r="C1633" s="200">
        <v>0</v>
      </c>
      <c r="D1633" s="201" t="s">
        <v>442</v>
      </c>
      <c r="E1633" s="201" t="s">
        <v>638</v>
      </c>
      <c r="F1633" s="200" t="s">
        <v>396</v>
      </c>
      <c r="G1633" s="200" t="s">
        <v>688</v>
      </c>
    </row>
    <row r="1634" spans="1:7" hidden="1">
      <c r="A1634" s="199" t="s">
        <v>878</v>
      </c>
      <c r="B1634" s="200">
        <v>77200</v>
      </c>
      <c r="C1634" s="200">
        <v>0</v>
      </c>
      <c r="D1634" s="201" t="s">
        <v>440</v>
      </c>
      <c r="E1634" s="201" t="s">
        <v>638</v>
      </c>
      <c r="F1634" s="200" t="s">
        <v>652</v>
      </c>
      <c r="G1634" s="200" t="s">
        <v>688</v>
      </c>
    </row>
    <row r="1635" spans="1:7" hidden="1">
      <c r="A1635" s="199" t="s">
        <v>879</v>
      </c>
      <c r="B1635" s="200">
        <v>8000</v>
      </c>
      <c r="C1635" s="200">
        <v>0</v>
      </c>
      <c r="D1635" s="201" t="s">
        <v>442</v>
      </c>
      <c r="E1635" s="201" t="s">
        <v>638</v>
      </c>
      <c r="F1635" s="200" t="s">
        <v>396</v>
      </c>
      <c r="G1635" s="200" t="s">
        <v>688</v>
      </c>
    </row>
    <row r="1636" spans="1:7" hidden="1">
      <c r="A1636" s="199" t="s">
        <v>880</v>
      </c>
      <c r="B1636" s="200">
        <v>48700</v>
      </c>
      <c r="C1636" s="200">
        <v>0</v>
      </c>
      <c r="D1636" s="201" t="s">
        <v>440</v>
      </c>
      <c r="E1636" s="201" t="s">
        <v>638</v>
      </c>
      <c r="F1636" s="200" t="s">
        <v>652</v>
      </c>
      <c r="G1636" s="200" t="s">
        <v>688</v>
      </c>
    </row>
    <row r="1637" spans="1:7" hidden="1">
      <c r="A1637" s="199" t="s">
        <v>881</v>
      </c>
      <c r="B1637" s="200">
        <v>101500</v>
      </c>
      <c r="C1637" s="200">
        <v>0</v>
      </c>
      <c r="D1637" s="201" t="s">
        <v>440</v>
      </c>
      <c r="E1637" s="201" t="s">
        <v>638</v>
      </c>
      <c r="F1637" s="200" t="s">
        <v>652</v>
      </c>
      <c r="G1637" s="200" t="s">
        <v>688</v>
      </c>
    </row>
    <row r="1638" spans="1:7" hidden="1">
      <c r="A1638" s="199" t="s">
        <v>882</v>
      </c>
      <c r="B1638" s="200">
        <v>-6500</v>
      </c>
      <c r="C1638" s="200">
        <v>0</v>
      </c>
      <c r="D1638" s="201" t="s">
        <v>474</v>
      </c>
      <c r="E1638" s="201" t="s">
        <v>638</v>
      </c>
      <c r="F1638" s="200" t="s">
        <v>396</v>
      </c>
      <c r="G1638" s="200" t="s">
        <v>688</v>
      </c>
    </row>
    <row r="1639" spans="1:7" hidden="1">
      <c r="A1639" s="199" t="s">
        <v>883</v>
      </c>
      <c r="B1639" s="200">
        <v>38200</v>
      </c>
      <c r="C1639" s="200">
        <v>0</v>
      </c>
      <c r="D1639" s="201" t="s">
        <v>440</v>
      </c>
      <c r="E1639" s="201" t="s">
        <v>638</v>
      </c>
      <c r="F1639" s="200" t="s">
        <v>652</v>
      </c>
      <c r="G1639" s="200" t="s">
        <v>688</v>
      </c>
    </row>
    <row r="1640" spans="1:7" hidden="1">
      <c r="A1640" s="199" t="s">
        <v>884</v>
      </c>
      <c r="B1640" s="200">
        <v>8700</v>
      </c>
      <c r="C1640" s="200">
        <v>0</v>
      </c>
      <c r="D1640" s="201" t="s">
        <v>442</v>
      </c>
      <c r="E1640" s="201" t="s">
        <v>638</v>
      </c>
      <c r="F1640" s="200" t="s">
        <v>396</v>
      </c>
      <c r="G1640" s="200" t="s">
        <v>688</v>
      </c>
    </row>
    <row r="1641" spans="1:7" hidden="1">
      <c r="A1641" s="199" t="s">
        <v>885</v>
      </c>
      <c r="B1641" s="200">
        <v>8600</v>
      </c>
      <c r="C1641" s="200">
        <v>0</v>
      </c>
      <c r="D1641" s="201" t="s">
        <v>442</v>
      </c>
      <c r="E1641" s="201" t="s">
        <v>638</v>
      </c>
      <c r="F1641" s="200" t="s">
        <v>396</v>
      </c>
      <c r="G1641" s="200" t="s">
        <v>688</v>
      </c>
    </row>
    <row r="1642" spans="1:7" hidden="1">
      <c r="A1642" s="199" t="s">
        <v>886</v>
      </c>
      <c r="B1642" s="200">
        <v>6500</v>
      </c>
      <c r="C1642" s="200">
        <v>0</v>
      </c>
      <c r="D1642" s="201" t="s">
        <v>442</v>
      </c>
      <c r="E1642" s="201" t="s">
        <v>638</v>
      </c>
      <c r="F1642" s="200" t="s">
        <v>396</v>
      </c>
      <c r="G1642" s="200" t="s">
        <v>688</v>
      </c>
    </row>
    <row r="1643" spans="1:7" hidden="1">
      <c r="A1643" s="199" t="s">
        <v>887</v>
      </c>
      <c r="B1643" s="200">
        <v>5600</v>
      </c>
      <c r="C1643" s="200">
        <v>0</v>
      </c>
      <c r="D1643" s="201" t="s">
        <v>442</v>
      </c>
      <c r="E1643" s="201" t="s">
        <v>638</v>
      </c>
      <c r="F1643" s="200" t="s">
        <v>396</v>
      </c>
      <c r="G1643" s="200" t="s">
        <v>688</v>
      </c>
    </row>
    <row r="1644" spans="1:7" hidden="1">
      <c r="A1644" s="199" t="s">
        <v>888</v>
      </c>
      <c r="B1644" s="200">
        <v>7900</v>
      </c>
      <c r="C1644" s="200">
        <v>0</v>
      </c>
      <c r="D1644" s="201" t="s">
        <v>442</v>
      </c>
      <c r="E1644" s="201" t="s">
        <v>638</v>
      </c>
      <c r="F1644" s="200" t="s">
        <v>396</v>
      </c>
      <c r="G1644" s="200" t="s">
        <v>688</v>
      </c>
    </row>
    <row r="1645" spans="1:7" hidden="1">
      <c r="A1645" s="199" t="s">
        <v>889</v>
      </c>
      <c r="B1645" s="200">
        <v>65500</v>
      </c>
      <c r="C1645" s="200">
        <v>0</v>
      </c>
      <c r="D1645" s="201" t="s">
        <v>440</v>
      </c>
      <c r="E1645" s="201" t="s">
        <v>638</v>
      </c>
      <c r="F1645" s="200" t="s">
        <v>652</v>
      </c>
      <c r="G1645" s="200" t="s">
        <v>688</v>
      </c>
    </row>
    <row r="1646" spans="1:7" hidden="1">
      <c r="A1646" s="199" t="s">
        <v>890</v>
      </c>
      <c r="B1646" s="200">
        <v>60000</v>
      </c>
      <c r="C1646" s="200">
        <v>0</v>
      </c>
      <c r="D1646" s="201" t="s">
        <v>440</v>
      </c>
      <c r="E1646" s="201" t="s">
        <v>638</v>
      </c>
      <c r="F1646" s="200" t="s">
        <v>652</v>
      </c>
      <c r="G1646" s="200" t="s">
        <v>688</v>
      </c>
    </row>
    <row r="1647" spans="1:7" hidden="1">
      <c r="A1647" s="199" t="s">
        <v>891</v>
      </c>
      <c r="B1647" s="200">
        <v>3960</v>
      </c>
      <c r="C1647" s="200">
        <v>0</v>
      </c>
      <c r="D1647" s="201" t="s">
        <v>440</v>
      </c>
      <c r="E1647" s="201" t="s">
        <v>638</v>
      </c>
      <c r="F1647" s="200" t="s">
        <v>652</v>
      </c>
      <c r="G1647" s="200" t="s">
        <v>688</v>
      </c>
    </row>
    <row r="1648" spans="1:7" hidden="1">
      <c r="A1648" s="199" t="s">
        <v>892</v>
      </c>
      <c r="B1648" s="200">
        <v>45600</v>
      </c>
      <c r="C1648" s="200">
        <v>0</v>
      </c>
      <c r="D1648" s="201" t="s">
        <v>440</v>
      </c>
      <c r="E1648" s="201" t="s">
        <v>638</v>
      </c>
      <c r="F1648" s="200" t="s">
        <v>652</v>
      </c>
      <c r="G1648" s="200" t="s">
        <v>688</v>
      </c>
    </row>
    <row r="1649" spans="1:7" hidden="1">
      <c r="A1649" s="199" t="s">
        <v>893</v>
      </c>
      <c r="B1649" s="200">
        <v>-34400</v>
      </c>
      <c r="C1649" s="200">
        <v>0</v>
      </c>
      <c r="D1649" s="201" t="s">
        <v>440</v>
      </c>
      <c r="E1649" s="201" t="s">
        <v>638</v>
      </c>
      <c r="F1649" s="200" t="s">
        <v>652</v>
      </c>
      <c r="G1649" s="200" t="s">
        <v>688</v>
      </c>
    </row>
    <row r="1650" spans="1:7" hidden="1">
      <c r="A1650" s="199" t="s">
        <v>894</v>
      </c>
      <c r="B1650" s="200">
        <v>3800</v>
      </c>
      <c r="C1650" s="200">
        <v>0</v>
      </c>
      <c r="D1650" s="201" t="s">
        <v>442</v>
      </c>
      <c r="E1650" s="201" t="s">
        <v>638</v>
      </c>
      <c r="F1650" s="200" t="s">
        <v>396</v>
      </c>
      <c r="G1650" s="200" t="s">
        <v>688</v>
      </c>
    </row>
    <row r="1651" spans="1:7" hidden="1">
      <c r="A1651" s="199" t="s">
        <v>895</v>
      </c>
      <c r="B1651" s="200">
        <v>-51800</v>
      </c>
      <c r="C1651" s="200">
        <v>0</v>
      </c>
      <c r="D1651" s="201" t="s">
        <v>440</v>
      </c>
      <c r="E1651" s="201" t="s">
        <v>638</v>
      </c>
      <c r="F1651" s="200" t="s">
        <v>652</v>
      </c>
      <c r="G1651" s="200" t="s">
        <v>688</v>
      </c>
    </row>
    <row r="1652" spans="1:7" hidden="1">
      <c r="A1652" s="199" t="s">
        <v>896</v>
      </c>
      <c r="B1652" s="200">
        <v>-6400</v>
      </c>
      <c r="C1652" s="200">
        <v>0</v>
      </c>
      <c r="D1652" s="201" t="s">
        <v>442</v>
      </c>
      <c r="E1652" s="201" t="s">
        <v>638</v>
      </c>
      <c r="F1652" s="200" t="s">
        <v>396</v>
      </c>
      <c r="G1652" s="200" t="s">
        <v>688</v>
      </c>
    </row>
    <row r="1653" spans="1:7" hidden="1">
      <c r="A1653" s="199" t="s">
        <v>897</v>
      </c>
      <c r="B1653" s="200">
        <v>6700</v>
      </c>
      <c r="C1653" s="200">
        <v>0</v>
      </c>
      <c r="D1653" s="201" t="s">
        <v>440</v>
      </c>
      <c r="E1653" s="201" t="s">
        <v>638</v>
      </c>
      <c r="F1653" s="200" t="s">
        <v>652</v>
      </c>
      <c r="G1653" s="200" t="s">
        <v>688</v>
      </c>
    </row>
    <row r="1654" spans="1:7" hidden="1">
      <c r="A1654" s="199" t="s">
        <v>898</v>
      </c>
      <c r="B1654" s="200">
        <v>105600</v>
      </c>
      <c r="C1654" s="200">
        <v>0</v>
      </c>
      <c r="D1654" s="201" t="s">
        <v>440</v>
      </c>
      <c r="E1654" s="201" t="s">
        <v>638</v>
      </c>
      <c r="F1654" s="200" t="s">
        <v>652</v>
      </c>
      <c r="G1654" s="200" t="s">
        <v>688</v>
      </c>
    </row>
    <row r="1655" spans="1:7" hidden="1">
      <c r="A1655" s="199" t="s">
        <v>899</v>
      </c>
      <c r="B1655" s="200">
        <v>223178</v>
      </c>
      <c r="C1655" s="200">
        <v>0</v>
      </c>
      <c r="D1655" s="201" t="s">
        <v>440</v>
      </c>
      <c r="E1655" s="201" t="s">
        <v>638</v>
      </c>
      <c r="F1655" s="200" t="s">
        <v>652</v>
      </c>
      <c r="G1655" s="200" t="s">
        <v>688</v>
      </c>
    </row>
    <row r="1656" spans="1:7" hidden="1">
      <c r="A1656" s="199" t="s">
        <v>900</v>
      </c>
      <c r="B1656" s="200">
        <v>71700</v>
      </c>
      <c r="C1656" s="200">
        <v>0</v>
      </c>
      <c r="D1656" s="201" t="s">
        <v>440</v>
      </c>
      <c r="E1656" s="201" t="s">
        <v>638</v>
      </c>
      <c r="F1656" s="200" t="s">
        <v>652</v>
      </c>
      <c r="G1656" s="200" t="s">
        <v>688</v>
      </c>
    </row>
    <row r="1657" spans="1:7" hidden="1">
      <c r="A1657" s="199" t="s">
        <v>901</v>
      </c>
      <c r="B1657" s="200">
        <v>58100</v>
      </c>
      <c r="C1657" s="200">
        <v>0</v>
      </c>
      <c r="D1657" s="201" t="s">
        <v>440</v>
      </c>
      <c r="E1657" s="201" t="s">
        <v>638</v>
      </c>
      <c r="F1657" s="200" t="s">
        <v>652</v>
      </c>
      <c r="G1657" s="200" t="s">
        <v>688</v>
      </c>
    </row>
    <row r="1658" spans="1:7" hidden="1">
      <c r="A1658" s="199" t="s">
        <v>902</v>
      </c>
      <c r="B1658" s="200">
        <v>32600</v>
      </c>
      <c r="C1658" s="200">
        <v>0</v>
      </c>
      <c r="D1658" s="201" t="s">
        <v>440</v>
      </c>
      <c r="E1658" s="201" t="s">
        <v>638</v>
      </c>
      <c r="F1658" s="200" t="s">
        <v>652</v>
      </c>
      <c r="G1658" s="200" t="s">
        <v>688</v>
      </c>
    </row>
    <row r="1659" spans="1:7" hidden="1">
      <c r="A1659" s="199" t="s">
        <v>903</v>
      </c>
      <c r="B1659" s="200">
        <v>17500</v>
      </c>
      <c r="C1659" s="200">
        <v>0</v>
      </c>
      <c r="D1659" s="201" t="s">
        <v>442</v>
      </c>
      <c r="E1659" s="201" t="s">
        <v>638</v>
      </c>
      <c r="F1659" s="200" t="s">
        <v>396</v>
      </c>
      <c r="G1659" s="200" t="s">
        <v>688</v>
      </c>
    </row>
    <row r="1660" spans="1:7" hidden="1">
      <c r="A1660" s="199" t="s">
        <v>904</v>
      </c>
      <c r="B1660" s="200">
        <v>86400</v>
      </c>
      <c r="C1660" s="200">
        <v>0</v>
      </c>
      <c r="D1660" s="201" t="s">
        <v>440</v>
      </c>
      <c r="E1660" s="201" t="s">
        <v>638</v>
      </c>
      <c r="F1660" s="200" t="s">
        <v>652</v>
      </c>
      <c r="G1660" s="200" t="s">
        <v>688</v>
      </c>
    </row>
    <row r="1661" spans="1:7" hidden="1">
      <c r="A1661" s="199" t="s">
        <v>905</v>
      </c>
      <c r="B1661" s="200">
        <v>9000</v>
      </c>
      <c r="C1661" s="200">
        <v>0</v>
      </c>
      <c r="D1661" s="201" t="s">
        <v>442</v>
      </c>
      <c r="E1661" s="201" t="s">
        <v>638</v>
      </c>
      <c r="F1661" s="200" t="s">
        <v>396</v>
      </c>
      <c r="G1661" s="200" t="s">
        <v>688</v>
      </c>
    </row>
    <row r="1662" spans="1:7" hidden="1">
      <c r="A1662" s="199" t="s">
        <v>906</v>
      </c>
      <c r="B1662" s="200">
        <v>13400</v>
      </c>
      <c r="C1662" s="200">
        <v>0</v>
      </c>
      <c r="D1662" s="201" t="s">
        <v>442</v>
      </c>
      <c r="E1662" s="201" t="s">
        <v>638</v>
      </c>
      <c r="F1662" s="200" t="s">
        <v>396</v>
      </c>
      <c r="G1662" s="200" t="s">
        <v>688</v>
      </c>
    </row>
    <row r="1663" spans="1:7" hidden="1">
      <c r="A1663" s="199" t="s">
        <v>907</v>
      </c>
      <c r="B1663" s="200">
        <v>55600</v>
      </c>
      <c r="C1663" s="200">
        <v>0</v>
      </c>
      <c r="D1663" s="201" t="s">
        <v>440</v>
      </c>
      <c r="E1663" s="201" t="s">
        <v>638</v>
      </c>
      <c r="F1663" s="200" t="s">
        <v>652</v>
      </c>
      <c r="G1663" s="200" t="s">
        <v>688</v>
      </c>
    </row>
    <row r="1664" spans="1:7" hidden="1">
      <c r="A1664" s="199" t="s">
        <v>908</v>
      </c>
      <c r="B1664" s="200">
        <v>75200</v>
      </c>
      <c r="C1664" s="200">
        <v>0</v>
      </c>
      <c r="D1664" s="201" t="s">
        <v>440</v>
      </c>
      <c r="E1664" s="201" t="s">
        <v>638</v>
      </c>
      <c r="F1664" s="200" t="s">
        <v>652</v>
      </c>
      <c r="G1664" s="200" t="s">
        <v>688</v>
      </c>
    </row>
    <row r="1665" spans="1:7" hidden="1">
      <c r="A1665" s="199" t="s">
        <v>909</v>
      </c>
      <c r="B1665" s="200">
        <v>89600</v>
      </c>
      <c r="C1665" s="200">
        <v>0</v>
      </c>
      <c r="D1665" s="201" t="s">
        <v>442</v>
      </c>
      <c r="E1665" s="201" t="s">
        <v>638</v>
      </c>
      <c r="F1665" s="200" t="s">
        <v>396</v>
      </c>
      <c r="G1665" s="200" t="s">
        <v>688</v>
      </c>
    </row>
    <row r="1666" spans="1:7" hidden="1">
      <c r="A1666" s="199" t="s">
        <v>910</v>
      </c>
      <c r="B1666" s="200">
        <v>7800</v>
      </c>
      <c r="C1666" s="200">
        <v>0</v>
      </c>
      <c r="D1666" s="201" t="s">
        <v>442</v>
      </c>
      <c r="E1666" s="201" t="s">
        <v>638</v>
      </c>
      <c r="F1666" s="200" t="s">
        <v>396</v>
      </c>
      <c r="G1666" s="200" t="s">
        <v>688</v>
      </c>
    </row>
    <row r="1667" spans="1:7" hidden="1">
      <c r="A1667" s="202" t="s">
        <v>911</v>
      </c>
      <c r="B1667" s="203">
        <v>2800</v>
      </c>
      <c r="C1667" s="203">
        <v>0</v>
      </c>
      <c r="D1667" s="202" t="s">
        <v>442</v>
      </c>
      <c r="E1667" s="202" t="s">
        <v>638</v>
      </c>
      <c r="F1667" s="202" t="s">
        <v>396</v>
      </c>
      <c r="G1667" s="202" t="s">
        <v>688</v>
      </c>
    </row>
    <row r="1668" spans="1:7" hidden="1">
      <c r="A1668" s="202" t="s">
        <v>912</v>
      </c>
      <c r="B1668" s="203">
        <v>220200</v>
      </c>
      <c r="C1668" s="203">
        <v>0</v>
      </c>
      <c r="D1668" s="202" t="s">
        <v>440</v>
      </c>
      <c r="E1668" s="202" t="s">
        <v>638</v>
      </c>
      <c r="F1668" s="202" t="s">
        <v>652</v>
      </c>
      <c r="G1668" s="202" t="s">
        <v>688</v>
      </c>
    </row>
    <row r="1669" spans="1:7" hidden="1">
      <c r="A1669" s="202" t="s">
        <v>913</v>
      </c>
      <c r="B1669" s="203">
        <v>366900</v>
      </c>
      <c r="C1669" s="203">
        <v>0</v>
      </c>
      <c r="D1669" s="202" t="s">
        <v>440</v>
      </c>
      <c r="E1669" s="202" t="s">
        <v>638</v>
      </c>
      <c r="F1669" s="202" t="s">
        <v>652</v>
      </c>
      <c r="G1669" s="202" t="s">
        <v>688</v>
      </c>
    </row>
    <row r="1670" spans="1:7" hidden="1">
      <c r="A1670" s="202" t="s">
        <v>914</v>
      </c>
      <c r="B1670" s="203">
        <v>3000</v>
      </c>
      <c r="C1670" s="203">
        <v>0</v>
      </c>
      <c r="D1670" s="202" t="s">
        <v>442</v>
      </c>
      <c r="E1670" s="202" t="s">
        <v>638</v>
      </c>
      <c r="F1670" s="202" t="s">
        <v>396</v>
      </c>
      <c r="G1670" s="202" t="s">
        <v>688</v>
      </c>
    </row>
    <row r="1671" spans="1:7" hidden="1">
      <c r="A1671" s="202" t="s">
        <v>915</v>
      </c>
      <c r="B1671" s="203">
        <v>9000</v>
      </c>
      <c r="C1671" s="203">
        <v>0</v>
      </c>
      <c r="D1671" s="202" t="s">
        <v>442</v>
      </c>
      <c r="E1671" s="202" t="s">
        <v>638</v>
      </c>
      <c r="F1671" s="202" t="s">
        <v>396</v>
      </c>
      <c r="G1671" s="202" t="s">
        <v>688</v>
      </c>
    </row>
    <row r="1672" spans="1:7" hidden="1">
      <c r="A1672" s="202" t="s">
        <v>916</v>
      </c>
      <c r="B1672" s="203">
        <v>83300</v>
      </c>
      <c r="C1672" s="203">
        <v>0</v>
      </c>
      <c r="D1672" s="202" t="s">
        <v>440</v>
      </c>
      <c r="E1672" s="202" t="s">
        <v>638</v>
      </c>
      <c r="F1672" s="202" t="s">
        <v>652</v>
      </c>
      <c r="G1672" s="202" t="s">
        <v>688</v>
      </c>
    </row>
    <row r="1673" spans="1:7" hidden="1">
      <c r="A1673" s="202" t="s">
        <v>917</v>
      </c>
      <c r="B1673" s="203">
        <v>159300</v>
      </c>
      <c r="C1673" s="203">
        <v>0</v>
      </c>
      <c r="D1673" s="202" t="s">
        <v>440</v>
      </c>
      <c r="E1673" s="202" t="s">
        <v>638</v>
      </c>
      <c r="F1673" s="202" t="s">
        <v>652</v>
      </c>
      <c r="G1673" s="202" t="s">
        <v>688</v>
      </c>
    </row>
    <row r="1674" spans="1:7" hidden="1">
      <c r="A1674" s="202" t="s">
        <v>918</v>
      </c>
      <c r="B1674" s="203">
        <v>4600</v>
      </c>
      <c r="C1674" s="203">
        <v>0</v>
      </c>
      <c r="D1674" s="202" t="s">
        <v>442</v>
      </c>
      <c r="E1674" s="202" t="s">
        <v>638</v>
      </c>
      <c r="F1674" s="202" t="s">
        <v>396</v>
      </c>
      <c r="G1674" s="202" t="s">
        <v>688</v>
      </c>
    </row>
    <row r="1675" spans="1:7" hidden="1">
      <c r="A1675" s="202" t="s">
        <v>919</v>
      </c>
      <c r="B1675" s="203">
        <v>8100</v>
      </c>
      <c r="C1675" s="203">
        <v>0</v>
      </c>
      <c r="D1675" s="202" t="s">
        <v>442</v>
      </c>
      <c r="E1675" s="202" t="s">
        <v>638</v>
      </c>
      <c r="F1675" s="202" t="s">
        <v>396</v>
      </c>
      <c r="G1675" s="202" t="s">
        <v>688</v>
      </c>
    </row>
    <row r="1676" spans="1:7" hidden="1">
      <c r="A1676" s="202" t="s">
        <v>920</v>
      </c>
      <c r="B1676" s="203">
        <v>35700</v>
      </c>
      <c r="C1676" s="203">
        <v>0</v>
      </c>
      <c r="D1676" s="202" t="s">
        <v>440</v>
      </c>
      <c r="E1676" s="202" t="s">
        <v>638</v>
      </c>
      <c r="F1676" s="202" t="s">
        <v>652</v>
      </c>
      <c r="G1676" s="202" t="s">
        <v>688</v>
      </c>
    </row>
    <row r="1677" spans="1:7" hidden="1">
      <c r="A1677" s="202" t="s">
        <v>921</v>
      </c>
      <c r="B1677" s="203">
        <v>41000</v>
      </c>
      <c r="C1677" s="203">
        <v>0</v>
      </c>
      <c r="D1677" s="202" t="s">
        <v>440</v>
      </c>
      <c r="E1677" s="202" t="s">
        <v>638</v>
      </c>
      <c r="F1677" s="202" t="s">
        <v>652</v>
      </c>
      <c r="G1677" s="202" t="s">
        <v>688</v>
      </c>
    </row>
    <row r="1678" spans="1:7" hidden="1">
      <c r="A1678" s="202" t="s">
        <v>922</v>
      </c>
      <c r="B1678" s="203">
        <v>119100</v>
      </c>
      <c r="C1678" s="203">
        <v>0</v>
      </c>
      <c r="D1678" s="202" t="s">
        <v>440</v>
      </c>
      <c r="E1678" s="202" t="s">
        <v>638</v>
      </c>
      <c r="F1678" s="202" t="s">
        <v>652</v>
      </c>
      <c r="G1678" s="202" t="s">
        <v>688</v>
      </c>
    </row>
    <row r="1679" spans="1:7" hidden="1">
      <c r="A1679" s="202" t="s">
        <v>923</v>
      </c>
      <c r="B1679" s="203">
        <v>21000</v>
      </c>
      <c r="C1679" s="203">
        <v>0</v>
      </c>
      <c r="D1679" s="202" t="s">
        <v>440</v>
      </c>
      <c r="E1679" s="202" t="s">
        <v>638</v>
      </c>
      <c r="F1679" s="202" t="s">
        <v>652</v>
      </c>
      <c r="G1679" s="202" t="s">
        <v>688</v>
      </c>
    </row>
    <row r="1680" spans="1:7" hidden="1">
      <c r="A1680" s="202" t="s">
        <v>924</v>
      </c>
      <c r="B1680" s="203">
        <v>52300</v>
      </c>
      <c r="C1680" s="203">
        <v>0</v>
      </c>
      <c r="D1680" s="202" t="s">
        <v>440</v>
      </c>
      <c r="E1680" s="202" t="s">
        <v>638</v>
      </c>
      <c r="F1680" s="202" t="s">
        <v>652</v>
      </c>
      <c r="G1680" s="202" t="s">
        <v>688</v>
      </c>
    </row>
    <row r="1681" spans="1:7" hidden="1">
      <c r="A1681" s="202" t="s">
        <v>925</v>
      </c>
      <c r="B1681" s="203">
        <v>8900</v>
      </c>
      <c r="C1681" s="203">
        <v>0</v>
      </c>
      <c r="D1681" s="202" t="s">
        <v>442</v>
      </c>
      <c r="E1681" s="202" t="s">
        <v>638</v>
      </c>
      <c r="F1681" s="202" t="s">
        <v>396</v>
      </c>
      <c r="G1681" s="202" t="s">
        <v>688</v>
      </c>
    </row>
    <row r="1682" spans="1:7" hidden="1">
      <c r="A1682" s="202" t="s">
        <v>926</v>
      </c>
      <c r="B1682" s="203">
        <v>102600</v>
      </c>
      <c r="C1682" s="203">
        <v>0</v>
      </c>
      <c r="D1682" s="202" t="s">
        <v>440</v>
      </c>
      <c r="E1682" s="202" t="s">
        <v>638</v>
      </c>
      <c r="F1682" s="202" t="s">
        <v>652</v>
      </c>
      <c r="G1682" s="202" t="s">
        <v>688</v>
      </c>
    </row>
    <row r="1683" spans="1:7" hidden="1">
      <c r="A1683" s="202" t="s">
        <v>927</v>
      </c>
      <c r="B1683" s="203">
        <v>42500</v>
      </c>
      <c r="C1683" s="203">
        <v>0</v>
      </c>
      <c r="D1683" s="202" t="s">
        <v>440</v>
      </c>
      <c r="E1683" s="202" t="s">
        <v>638</v>
      </c>
      <c r="F1683" s="202" t="s">
        <v>652</v>
      </c>
      <c r="G1683" s="202" t="s">
        <v>688</v>
      </c>
    </row>
    <row r="1684" spans="1:7" hidden="1">
      <c r="A1684" s="202" t="s">
        <v>928</v>
      </c>
      <c r="B1684" s="203">
        <v>84800</v>
      </c>
      <c r="C1684" s="203">
        <v>0</v>
      </c>
      <c r="D1684" s="202" t="s">
        <v>440</v>
      </c>
      <c r="E1684" s="202" t="s">
        <v>638</v>
      </c>
      <c r="F1684" s="202" t="s">
        <v>652</v>
      </c>
      <c r="G1684" s="202" t="s">
        <v>688</v>
      </c>
    </row>
    <row r="1685" spans="1:7" hidden="1">
      <c r="A1685" s="202" t="s">
        <v>929</v>
      </c>
      <c r="B1685" s="203">
        <v>50900</v>
      </c>
      <c r="C1685" s="203">
        <v>0</v>
      </c>
      <c r="D1685" s="202" t="s">
        <v>440</v>
      </c>
      <c r="E1685" s="202" t="s">
        <v>638</v>
      </c>
      <c r="F1685" s="202" t="s">
        <v>652</v>
      </c>
      <c r="G1685" s="202" t="s">
        <v>688</v>
      </c>
    </row>
    <row r="1686" spans="1:7" hidden="1">
      <c r="A1686" s="202" t="s">
        <v>930</v>
      </c>
      <c r="B1686" s="203">
        <v>10800</v>
      </c>
      <c r="C1686" s="203">
        <v>0</v>
      </c>
      <c r="D1686" s="202" t="s">
        <v>442</v>
      </c>
      <c r="E1686" s="202" t="s">
        <v>638</v>
      </c>
      <c r="F1686" s="202" t="s">
        <v>396</v>
      </c>
      <c r="G1686" s="202" t="s">
        <v>688</v>
      </c>
    </row>
    <row r="1687" spans="1:7" hidden="1">
      <c r="A1687" s="202" t="s">
        <v>931</v>
      </c>
      <c r="B1687" s="203">
        <v>71600</v>
      </c>
      <c r="C1687" s="203">
        <v>0</v>
      </c>
      <c r="D1687" s="202" t="s">
        <v>440</v>
      </c>
      <c r="E1687" s="202" t="s">
        <v>638</v>
      </c>
      <c r="F1687" s="202" t="s">
        <v>409</v>
      </c>
      <c r="G1687" s="202" t="s">
        <v>688</v>
      </c>
    </row>
    <row r="1688" spans="1:7" hidden="1">
      <c r="A1688" s="202" t="s">
        <v>932</v>
      </c>
      <c r="B1688" s="203">
        <v>135500</v>
      </c>
      <c r="C1688" s="203">
        <v>0</v>
      </c>
      <c r="D1688" s="202" t="s">
        <v>440</v>
      </c>
      <c r="E1688" s="202" t="s">
        <v>638</v>
      </c>
      <c r="F1688" s="202" t="s">
        <v>652</v>
      </c>
      <c r="G1688" s="202" t="s">
        <v>688</v>
      </c>
    </row>
    <row r="1689" spans="1:7" hidden="1">
      <c r="A1689" s="202" t="s">
        <v>933</v>
      </c>
      <c r="B1689" s="203">
        <v>51600</v>
      </c>
      <c r="C1689" s="203">
        <v>0</v>
      </c>
      <c r="D1689" s="202" t="s">
        <v>442</v>
      </c>
      <c r="E1689" s="202" t="s">
        <v>638</v>
      </c>
      <c r="F1689" s="202" t="s">
        <v>396</v>
      </c>
      <c r="G1689" s="202" t="s">
        <v>688</v>
      </c>
    </row>
    <row r="1690" spans="1:7" hidden="1">
      <c r="A1690" s="202" t="s">
        <v>934</v>
      </c>
      <c r="B1690" s="203">
        <v>37500</v>
      </c>
      <c r="C1690" s="203">
        <v>0</v>
      </c>
      <c r="D1690" s="202" t="s">
        <v>440</v>
      </c>
      <c r="E1690" s="202" t="s">
        <v>638</v>
      </c>
      <c r="F1690" s="202" t="s">
        <v>652</v>
      </c>
      <c r="G1690" s="202" t="s">
        <v>688</v>
      </c>
    </row>
    <row r="1691" spans="1:7" hidden="1">
      <c r="A1691" s="202" t="s">
        <v>935</v>
      </c>
      <c r="B1691" s="203">
        <v>30700</v>
      </c>
      <c r="C1691" s="203">
        <v>0</v>
      </c>
      <c r="D1691" s="202" t="s">
        <v>440</v>
      </c>
      <c r="E1691" s="202" t="s">
        <v>638</v>
      </c>
      <c r="F1691" s="202" t="s">
        <v>409</v>
      </c>
      <c r="G1691" s="202" t="s">
        <v>688</v>
      </c>
    </row>
    <row r="1692" spans="1:7" hidden="1">
      <c r="A1692" s="202" t="s">
        <v>936</v>
      </c>
      <c r="B1692" s="203">
        <v>100800</v>
      </c>
      <c r="C1692" s="203">
        <v>0</v>
      </c>
      <c r="D1692" s="202" t="s">
        <v>440</v>
      </c>
      <c r="E1692" s="202" t="s">
        <v>638</v>
      </c>
      <c r="F1692" s="202" t="s">
        <v>652</v>
      </c>
      <c r="G1692" s="202" t="s">
        <v>688</v>
      </c>
    </row>
    <row r="1693" spans="1:7" hidden="1">
      <c r="A1693" s="202" t="s">
        <v>937</v>
      </c>
      <c r="B1693" s="203">
        <v>-146800</v>
      </c>
      <c r="C1693" s="203">
        <v>0</v>
      </c>
      <c r="D1693" s="202" t="s">
        <v>440</v>
      </c>
      <c r="E1693" s="202" t="s">
        <v>638</v>
      </c>
      <c r="F1693" s="202" t="s">
        <v>652</v>
      </c>
      <c r="G1693" s="202" t="s">
        <v>688</v>
      </c>
    </row>
    <row r="1694" spans="1:7" hidden="1">
      <c r="A1694" s="202" t="s">
        <v>938</v>
      </c>
      <c r="B1694" s="203">
        <v>-134300</v>
      </c>
      <c r="C1694" s="203">
        <v>0</v>
      </c>
      <c r="D1694" s="202" t="s">
        <v>440</v>
      </c>
      <c r="E1694" s="202" t="s">
        <v>638</v>
      </c>
      <c r="F1694" s="202" t="s">
        <v>652</v>
      </c>
      <c r="G1694" s="202" t="s">
        <v>688</v>
      </c>
    </row>
    <row r="1695" spans="1:7" hidden="1">
      <c r="A1695" s="202" t="s">
        <v>939</v>
      </c>
      <c r="B1695" s="203">
        <v>-13000</v>
      </c>
      <c r="C1695" s="203">
        <v>0</v>
      </c>
      <c r="D1695" s="202" t="s">
        <v>442</v>
      </c>
      <c r="E1695" s="202" t="s">
        <v>638</v>
      </c>
      <c r="F1695" s="202" t="s">
        <v>396</v>
      </c>
      <c r="G1695" s="202" t="s">
        <v>688</v>
      </c>
    </row>
    <row r="1696" spans="1:7" hidden="1">
      <c r="A1696" s="202" t="s">
        <v>940</v>
      </c>
      <c r="B1696" s="203">
        <v>-74500</v>
      </c>
      <c r="C1696" s="203">
        <v>0</v>
      </c>
      <c r="D1696" s="202" t="s">
        <v>440</v>
      </c>
      <c r="E1696" s="202" t="s">
        <v>638</v>
      </c>
      <c r="F1696" s="202" t="s">
        <v>652</v>
      </c>
      <c r="G1696" s="202" t="s">
        <v>688</v>
      </c>
    </row>
    <row r="1697" spans="1:7" hidden="1">
      <c r="A1697" s="202" t="s">
        <v>941</v>
      </c>
      <c r="B1697" s="203">
        <v>-71100</v>
      </c>
      <c r="C1697" s="203">
        <v>0</v>
      </c>
      <c r="D1697" s="202" t="s">
        <v>440</v>
      </c>
      <c r="E1697" s="202" t="s">
        <v>638</v>
      </c>
      <c r="F1697" s="202" t="s">
        <v>652</v>
      </c>
      <c r="G1697" s="202" t="s">
        <v>688</v>
      </c>
    </row>
    <row r="1698" spans="1:7" hidden="1">
      <c r="A1698" s="202" t="s">
        <v>942</v>
      </c>
      <c r="B1698" s="203">
        <v>-101500</v>
      </c>
      <c r="C1698" s="203">
        <v>0</v>
      </c>
      <c r="D1698" s="202" t="s">
        <v>440</v>
      </c>
      <c r="E1698" s="202" t="s">
        <v>638</v>
      </c>
      <c r="F1698" s="202" t="s">
        <v>409</v>
      </c>
      <c r="G1698" s="202" t="s">
        <v>688</v>
      </c>
    </row>
    <row r="1699" spans="1:7" hidden="1">
      <c r="A1699" s="202" t="s">
        <v>943</v>
      </c>
      <c r="B1699" s="203">
        <v>2800</v>
      </c>
      <c r="C1699" s="203">
        <v>0</v>
      </c>
      <c r="D1699" s="202" t="s">
        <v>442</v>
      </c>
      <c r="E1699" s="202" t="s">
        <v>638</v>
      </c>
      <c r="F1699" s="202" t="s">
        <v>396</v>
      </c>
      <c r="G1699" s="202" t="s">
        <v>688</v>
      </c>
    </row>
    <row r="1700" spans="1:7" hidden="1">
      <c r="A1700" s="202" t="s">
        <v>944</v>
      </c>
      <c r="B1700" s="203">
        <v>2800</v>
      </c>
      <c r="C1700" s="203">
        <v>0</v>
      </c>
      <c r="D1700" s="202" t="s">
        <v>442</v>
      </c>
      <c r="E1700" s="202" t="s">
        <v>638</v>
      </c>
      <c r="F1700" s="202" t="s">
        <v>396</v>
      </c>
      <c r="G1700" s="202" t="s">
        <v>688</v>
      </c>
    </row>
    <row r="1701" spans="1:7" hidden="1">
      <c r="A1701" s="202" t="s">
        <v>945</v>
      </c>
      <c r="B1701" s="203">
        <v>-39700</v>
      </c>
      <c r="C1701" s="203">
        <v>0</v>
      </c>
      <c r="D1701" s="202" t="s">
        <v>442</v>
      </c>
      <c r="E1701" s="202" t="s">
        <v>638</v>
      </c>
      <c r="F1701" s="202" t="s">
        <v>396</v>
      </c>
      <c r="G1701" s="202" t="s">
        <v>688</v>
      </c>
    </row>
    <row r="1702" spans="1:7" hidden="1">
      <c r="A1702" s="202" t="s">
        <v>946</v>
      </c>
      <c r="B1702" s="203">
        <v>-89700</v>
      </c>
      <c r="C1702" s="203">
        <v>0</v>
      </c>
      <c r="D1702" s="202" t="s">
        <v>440</v>
      </c>
      <c r="E1702" s="202" t="s">
        <v>638</v>
      </c>
      <c r="F1702" s="202" t="s">
        <v>652</v>
      </c>
      <c r="G1702" s="202" t="s">
        <v>688</v>
      </c>
    </row>
    <row r="1703" spans="1:7" hidden="1">
      <c r="A1703" s="202" t="s">
        <v>947</v>
      </c>
      <c r="B1703" s="203">
        <v>-12300</v>
      </c>
      <c r="C1703" s="203">
        <v>0</v>
      </c>
      <c r="D1703" s="202" t="s">
        <v>442</v>
      </c>
      <c r="E1703" s="202" t="s">
        <v>638</v>
      </c>
      <c r="F1703" s="202" t="s">
        <v>396</v>
      </c>
      <c r="G1703" s="202" t="s">
        <v>688</v>
      </c>
    </row>
    <row r="1704" spans="1:7" hidden="1">
      <c r="A1704" s="202" t="s">
        <v>948</v>
      </c>
      <c r="B1704" s="203">
        <v>-35000</v>
      </c>
      <c r="C1704" s="203">
        <v>0</v>
      </c>
      <c r="D1704" s="202" t="s">
        <v>440</v>
      </c>
      <c r="E1704" s="202" t="s">
        <v>638</v>
      </c>
      <c r="F1704" s="202" t="s">
        <v>409</v>
      </c>
      <c r="G1704" s="202" t="s">
        <v>688</v>
      </c>
    </row>
    <row r="1705" spans="1:7" hidden="1">
      <c r="A1705" s="202" t="s">
        <v>949</v>
      </c>
      <c r="B1705" s="203">
        <v>9900</v>
      </c>
      <c r="C1705" s="203">
        <v>0</v>
      </c>
      <c r="D1705" s="202" t="s">
        <v>440</v>
      </c>
      <c r="E1705" s="202" t="s">
        <v>638</v>
      </c>
      <c r="F1705" s="202" t="s">
        <v>652</v>
      </c>
      <c r="G1705" s="202" t="s">
        <v>688</v>
      </c>
    </row>
    <row r="1706" spans="1:7" hidden="1">
      <c r="A1706" s="202" t="s">
        <v>950</v>
      </c>
      <c r="B1706" s="203">
        <v>-9100</v>
      </c>
      <c r="C1706" s="203">
        <v>0</v>
      </c>
      <c r="D1706" s="202" t="s">
        <v>442</v>
      </c>
      <c r="E1706" s="202" t="s">
        <v>638</v>
      </c>
      <c r="F1706" s="202" t="s">
        <v>396</v>
      </c>
      <c r="G1706" s="202" t="s">
        <v>688</v>
      </c>
    </row>
    <row r="1707" spans="1:7" hidden="1">
      <c r="A1707" s="202" t="s">
        <v>951</v>
      </c>
      <c r="B1707" s="203">
        <v>42400</v>
      </c>
      <c r="C1707" s="203">
        <v>0</v>
      </c>
      <c r="D1707" s="202" t="s">
        <v>440</v>
      </c>
      <c r="E1707" s="202" t="s">
        <v>638</v>
      </c>
      <c r="F1707" s="202" t="s">
        <v>652</v>
      </c>
      <c r="G1707" s="202" t="s">
        <v>688</v>
      </c>
    </row>
    <row r="1708" spans="1:7" hidden="1">
      <c r="A1708" s="202" t="s">
        <v>952</v>
      </c>
      <c r="B1708" s="203">
        <v>12700</v>
      </c>
      <c r="C1708" s="203">
        <v>0</v>
      </c>
      <c r="D1708" s="202" t="s">
        <v>440</v>
      </c>
      <c r="E1708" s="202" t="s">
        <v>638</v>
      </c>
      <c r="F1708" s="202" t="s">
        <v>652</v>
      </c>
      <c r="G1708" s="202" t="s">
        <v>688</v>
      </c>
    </row>
    <row r="1709" spans="1:7" hidden="1">
      <c r="A1709" s="202" t="s">
        <v>953</v>
      </c>
      <c r="B1709" s="203">
        <v>3300</v>
      </c>
      <c r="C1709" s="203">
        <v>0</v>
      </c>
      <c r="D1709" s="202" t="s">
        <v>442</v>
      </c>
      <c r="E1709" s="202" t="s">
        <v>638</v>
      </c>
      <c r="F1709" s="202" t="s">
        <v>396</v>
      </c>
      <c r="G1709" s="202" t="s">
        <v>688</v>
      </c>
    </row>
    <row r="1710" spans="1:7" hidden="1">
      <c r="A1710" s="202" t="s">
        <v>954</v>
      </c>
      <c r="B1710" s="203">
        <v>2000</v>
      </c>
      <c r="C1710" s="203">
        <v>0</v>
      </c>
      <c r="D1710" s="202" t="s">
        <v>442</v>
      </c>
      <c r="E1710" s="202" t="s">
        <v>638</v>
      </c>
      <c r="F1710" s="202" t="s">
        <v>396</v>
      </c>
      <c r="G1710" s="202" t="s">
        <v>688</v>
      </c>
    </row>
    <row r="1711" spans="1:7" hidden="1">
      <c r="A1711" s="202" t="s">
        <v>955</v>
      </c>
      <c r="B1711" s="203">
        <v>5100</v>
      </c>
      <c r="C1711" s="203">
        <v>0</v>
      </c>
      <c r="D1711" s="202" t="s">
        <v>442</v>
      </c>
      <c r="E1711" s="202" t="s">
        <v>638</v>
      </c>
      <c r="F1711" s="202" t="s">
        <v>396</v>
      </c>
      <c r="G1711" s="202" t="s">
        <v>688</v>
      </c>
    </row>
    <row r="1712" spans="1:7" hidden="1">
      <c r="A1712" s="202" t="s">
        <v>956</v>
      </c>
      <c r="B1712" s="203">
        <v>2300</v>
      </c>
      <c r="C1712" s="203">
        <v>0</v>
      </c>
      <c r="D1712" s="202" t="s">
        <v>442</v>
      </c>
      <c r="E1712" s="202" t="s">
        <v>638</v>
      </c>
      <c r="F1712" s="202" t="s">
        <v>396</v>
      </c>
      <c r="G1712" s="202" t="s">
        <v>688</v>
      </c>
    </row>
    <row r="1713" spans="1:7" hidden="1">
      <c r="A1713" s="202" t="s">
        <v>957</v>
      </c>
      <c r="B1713" s="203">
        <v>5800</v>
      </c>
      <c r="C1713" s="203">
        <v>0</v>
      </c>
      <c r="D1713" s="202" t="s">
        <v>442</v>
      </c>
      <c r="E1713" s="202" t="s">
        <v>638</v>
      </c>
      <c r="F1713" s="202" t="s">
        <v>396</v>
      </c>
      <c r="G1713" s="202" t="s">
        <v>688</v>
      </c>
    </row>
    <row r="1714" spans="1:7" hidden="1">
      <c r="A1714" s="202" t="s">
        <v>958</v>
      </c>
      <c r="B1714" s="203">
        <v>2100</v>
      </c>
      <c r="C1714" s="203">
        <v>0</v>
      </c>
      <c r="D1714" s="202" t="s">
        <v>442</v>
      </c>
      <c r="E1714" s="202" t="s">
        <v>638</v>
      </c>
      <c r="F1714" s="202" t="s">
        <v>396</v>
      </c>
      <c r="G1714" s="202" t="s">
        <v>688</v>
      </c>
    </row>
    <row r="1715" spans="1:7" hidden="1">
      <c r="A1715" s="202" t="s">
        <v>959</v>
      </c>
      <c r="B1715" s="203">
        <v>7100</v>
      </c>
      <c r="C1715" s="203">
        <v>0</v>
      </c>
      <c r="D1715" s="202" t="s">
        <v>440</v>
      </c>
      <c r="E1715" s="202" t="s">
        <v>638</v>
      </c>
      <c r="F1715" s="202" t="s">
        <v>652</v>
      </c>
      <c r="G1715" s="202" t="s">
        <v>688</v>
      </c>
    </row>
    <row r="1716" spans="1:7" hidden="1">
      <c r="A1716" s="202" t="s">
        <v>960</v>
      </c>
      <c r="B1716" s="203">
        <v>2300</v>
      </c>
      <c r="C1716" s="203">
        <v>0</v>
      </c>
      <c r="D1716" s="202" t="s">
        <v>442</v>
      </c>
      <c r="E1716" s="202" t="s">
        <v>638</v>
      </c>
      <c r="F1716" s="202" t="s">
        <v>396</v>
      </c>
      <c r="G1716" s="202" t="s">
        <v>688</v>
      </c>
    </row>
    <row r="1717" spans="1:7" hidden="1">
      <c r="A1717" s="202" t="s">
        <v>961</v>
      </c>
      <c r="B1717" s="203">
        <v>2500</v>
      </c>
      <c r="C1717" s="203">
        <v>0</v>
      </c>
      <c r="D1717" s="202" t="s">
        <v>442</v>
      </c>
      <c r="E1717" s="202" t="s">
        <v>638</v>
      </c>
      <c r="F1717" s="202" t="s">
        <v>396</v>
      </c>
      <c r="G1717" s="202" t="s">
        <v>688</v>
      </c>
    </row>
    <row r="1718" spans="1:7" hidden="1">
      <c r="A1718" s="202" t="s">
        <v>962</v>
      </c>
      <c r="B1718" s="203">
        <v>1900</v>
      </c>
      <c r="C1718" s="203">
        <v>0</v>
      </c>
      <c r="D1718" s="202" t="s">
        <v>442</v>
      </c>
      <c r="E1718" s="202" t="s">
        <v>638</v>
      </c>
      <c r="F1718" s="202" t="s">
        <v>396</v>
      </c>
      <c r="G1718" s="202" t="s">
        <v>688</v>
      </c>
    </row>
    <row r="1719" spans="1:7" hidden="1">
      <c r="A1719" s="202" t="s">
        <v>963</v>
      </c>
      <c r="B1719" s="203">
        <v>2700</v>
      </c>
      <c r="C1719" s="203">
        <v>0</v>
      </c>
      <c r="D1719" s="202" t="s">
        <v>442</v>
      </c>
      <c r="E1719" s="202" t="s">
        <v>638</v>
      </c>
      <c r="F1719" s="202" t="s">
        <v>396</v>
      </c>
      <c r="G1719" s="202" t="s">
        <v>688</v>
      </c>
    </row>
    <row r="1720" spans="1:7" hidden="1">
      <c r="A1720" s="202" t="s">
        <v>964</v>
      </c>
      <c r="B1720" s="203">
        <v>2900</v>
      </c>
      <c r="C1720" s="203">
        <v>0</v>
      </c>
      <c r="D1720" s="202" t="s">
        <v>442</v>
      </c>
      <c r="E1720" s="202" t="s">
        <v>638</v>
      </c>
      <c r="F1720" s="202" t="s">
        <v>396</v>
      </c>
      <c r="G1720" s="202" t="s">
        <v>688</v>
      </c>
    </row>
    <row r="1721" spans="1:7" hidden="1">
      <c r="A1721" s="202" t="s">
        <v>965</v>
      </c>
      <c r="B1721" s="203">
        <v>13700</v>
      </c>
      <c r="C1721" s="203">
        <v>0</v>
      </c>
      <c r="D1721" s="202" t="s">
        <v>440</v>
      </c>
      <c r="E1721" s="202" t="s">
        <v>638</v>
      </c>
      <c r="F1721" s="202" t="s">
        <v>652</v>
      </c>
      <c r="G1721" s="202" t="s">
        <v>688</v>
      </c>
    </row>
    <row r="1722" spans="1:7" hidden="1">
      <c r="A1722" s="202" t="s">
        <v>966</v>
      </c>
      <c r="B1722" s="203">
        <v>2100</v>
      </c>
      <c r="C1722" s="203">
        <v>0</v>
      </c>
      <c r="D1722" s="202" t="s">
        <v>442</v>
      </c>
      <c r="E1722" s="202" t="s">
        <v>638</v>
      </c>
      <c r="F1722" s="202" t="s">
        <v>396</v>
      </c>
      <c r="G1722" s="202" t="s">
        <v>688</v>
      </c>
    </row>
    <row r="1723" spans="1:7" hidden="1">
      <c r="A1723" s="202" t="s">
        <v>967</v>
      </c>
      <c r="B1723" s="203">
        <v>2500</v>
      </c>
      <c r="C1723" s="203">
        <v>0</v>
      </c>
      <c r="D1723" s="202" t="s">
        <v>442</v>
      </c>
      <c r="E1723" s="202" t="s">
        <v>638</v>
      </c>
      <c r="F1723" s="202" t="s">
        <v>396</v>
      </c>
      <c r="G1723" s="202" t="s">
        <v>688</v>
      </c>
    </row>
    <row r="1724" spans="1:7" hidden="1">
      <c r="A1724" s="202" t="s">
        <v>968</v>
      </c>
      <c r="B1724" s="203">
        <v>3100</v>
      </c>
      <c r="C1724" s="203">
        <v>0</v>
      </c>
      <c r="D1724" s="202" t="s">
        <v>442</v>
      </c>
      <c r="E1724" s="202" t="s">
        <v>638</v>
      </c>
      <c r="F1724" s="202" t="s">
        <v>396</v>
      </c>
      <c r="G1724" s="202" t="s">
        <v>688</v>
      </c>
    </row>
    <row r="1725" spans="1:7" hidden="1">
      <c r="A1725" s="202" t="s">
        <v>969</v>
      </c>
      <c r="B1725" s="203">
        <v>3100</v>
      </c>
      <c r="C1725" s="203">
        <v>0</v>
      </c>
      <c r="D1725" s="202" t="s">
        <v>442</v>
      </c>
      <c r="E1725" s="202" t="s">
        <v>638</v>
      </c>
      <c r="F1725" s="202" t="s">
        <v>396</v>
      </c>
      <c r="G1725" s="202" t="s">
        <v>688</v>
      </c>
    </row>
    <row r="1726" spans="1:7" hidden="1">
      <c r="A1726" s="202" t="s">
        <v>970</v>
      </c>
      <c r="B1726" s="203">
        <v>-900000</v>
      </c>
      <c r="C1726" s="203">
        <v>0</v>
      </c>
      <c r="D1726" s="202" t="s">
        <v>440</v>
      </c>
      <c r="E1726" s="202" t="s">
        <v>971</v>
      </c>
      <c r="F1726" s="202" t="s">
        <v>394</v>
      </c>
      <c r="G1726" s="202" t="s">
        <v>688</v>
      </c>
    </row>
    <row r="1727" spans="1:7" hidden="1">
      <c r="A1727" s="202" t="s">
        <v>972</v>
      </c>
      <c r="B1727" s="203">
        <v>-1835000</v>
      </c>
      <c r="C1727" s="203">
        <v>0</v>
      </c>
      <c r="D1727" s="202" t="s">
        <v>440</v>
      </c>
      <c r="E1727" s="202" t="s">
        <v>971</v>
      </c>
      <c r="F1727" s="202" t="s">
        <v>394</v>
      </c>
      <c r="G1727" s="202" t="s">
        <v>688</v>
      </c>
    </row>
    <row r="1728" spans="1:7" hidden="1">
      <c r="A1728" s="202" t="s">
        <v>973</v>
      </c>
      <c r="B1728" s="203">
        <v>7100</v>
      </c>
      <c r="C1728" s="203">
        <v>0</v>
      </c>
      <c r="D1728" s="202" t="s">
        <v>442</v>
      </c>
      <c r="E1728" s="202" t="s">
        <v>638</v>
      </c>
      <c r="F1728" s="202" t="s">
        <v>396</v>
      </c>
      <c r="G1728" s="202" t="s">
        <v>688</v>
      </c>
    </row>
    <row r="1729" spans="1:7" hidden="1">
      <c r="A1729" s="202" t="s">
        <v>974</v>
      </c>
      <c r="B1729" s="203">
        <v>-158500</v>
      </c>
      <c r="C1729" s="203">
        <v>0</v>
      </c>
      <c r="D1729" s="202" t="s">
        <v>440</v>
      </c>
      <c r="E1729" s="202" t="s">
        <v>638</v>
      </c>
      <c r="F1729" s="202" t="s">
        <v>652</v>
      </c>
      <c r="G1729" s="202" t="s">
        <v>688</v>
      </c>
    </row>
    <row r="1730" spans="1:7" hidden="1">
      <c r="A1730" s="202" t="s">
        <v>975</v>
      </c>
      <c r="B1730" s="203">
        <v>-73800</v>
      </c>
      <c r="C1730" s="203">
        <v>0</v>
      </c>
      <c r="D1730" s="202" t="s">
        <v>442</v>
      </c>
      <c r="E1730" s="202" t="s">
        <v>638</v>
      </c>
      <c r="F1730" s="202" t="s">
        <v>396</v>
      </c>
      <c r="G1730" s="202" t="s">
        <v>688</v>
      </c>
    </row>
    <row r="1731" spans="1:7" hidden="1">
      <c r="A1731" s="202" t="s">
        <v>976</v>
      </c>
      <c r="B1731" s="203">
        <v>-224400</v>
      </c>
      <c r="C1731" s="203">
        <v>0</v>
      </c>
      <c r="D1731" s="202" t="s">
        <v>440</v>
      </c>
      <c r="E1731" s="202" t="s">
        <v>638</v>
      </c>
      <c r="F1731" s="202" t="s">
        <v>409</v>
      </c>
      <c r="G1731" s="202" t="s">
        <v>688</v>
      </c>
    </row>
    <row r="1732" spans="1:7" hidden="1">
      <c r="A1732" s="202" t="s">
        <v>977</v>
      </c>
      <c r="B1732" s="203">
        <v>-7586</v>
      </c>
      <c r="C1732" s="203">
        <v>0</v>
      </c>
      <c r="D1732" s="202" t="s">
        <v>442</v>
      </c>
      <c r="E1732" s="202" t="s">
        <v>638</v>
      </c>
      <c r="F1732" s="202" t="s">
        <v>396</v>
      </c>
      <c r="G1732" s="202" t="s">
        <v>688</v>
      </c>
    </row>
    <row r="1733" spans="1:7" hidden="1">
      <c r="A1733" s="202" t="s">
        <v>978</v>
      </c>
      <c r="B1733" s="203">
        <v>600</v>
      </c>
      <c r="C1733" s="203">
        <v>0</v>
      </c>
      <c r="D1733" s="202" t="s">
        <v>440</v>
      </c>
      <c r="E1733" s="202" t="s">
        <v>638</v>
      </c>
      <c r="F1733" s="202" t="s">
        <v>652</v>
      </c>
      <c r="G1733" s="202" t="s">
        <v>688</v>
      </c>
    </row>
    <row r="1734" spans="1:7" hidden="1">
      <c r="A1734" s="202" t="s">
        <v>979</v>
      </c>
      <c r="B1734" s="203">
        <v>26200</v>
      </c>
      <c r="C1734" s="203">
        <v>0</v>
      </c>
      <c r="D1734" s="202" t="s">
        <v>440</v>
      </c>
      <c r="E1734" s="202" t="s">
        <v>638</v>
      </c>
      <c r="F1734" s="202" t="s">
        <v>652</v>
      </c>
      <c r="G1734" s="202" t="s">
        <v>688</v>
      </c>
    </row>
    <row r="1735" spans="1:7" hidden="1">
      <c r="A1735" s="202" t="s">
        <v>980</v>
      </c>
      <c r="B1735" s="203">
        <v>1100</v>
      </c>
      <c r="C1735" s="203">
        <v>0</v>
      </c>
      <c r="D1735" s="202" t="s">
        <v>440</v>
      </c>
      <c r="E1735" s="202" t="s">
        <v>638</v>
      </c>
      <c r="F1735" s="202" t="s">
        <v>652</v>
      </c>
      <c r="G1735" s="202" t="s">
        <v>688</v>
      </c>
    </row>
    <row r="1736" spans="1:7" hidden="1">
      <c r="A1736" s="202" t="s">
        <v>981</v>
      </c>
      <c r="B1736" s="203">
        <v>28400</v>
      </c>
      <c r="C1736" s="203">
        <v>0</v>
      </c>
      <c r="D1736" s="202" t="s">
        <v>440</v>
      </c>
      <c r="E1736" s="202" t="s">
        <v>638</v>
      </c>
      <c r="F1736" s="202" t="s">
        <v>652</v>
      </c>
      <c r="G1736" s="202" t="s">
        <v>688</v>
      </c>
    </row>
    <row r="1737" spans="1:7" hidden="1">
      <c r="A1737" s="202" t="s">
        <v>982</v>
      </c>
      <c r="B1737" s="203">
        <v>2700</v>
      </c>
      <c r="C1737" s="203">
        <v>0</v>
      </c>
      <c r="D1737" s="202" t="s">
        <v>442</v>
      </c>
      <c r="E1737" s="202" t="s">
        <v>638</v>
      </c>
      <c r="F1737" s="202" t="s">
        <v>396</v>
      </c>
      <c r="G1737" s="202" t="s">
        <v>688</v>
      </c>
    </row>
    <row r="1738" spans="1:7" hidden="1">
      <c r="A1738" s="202" t="s">
        <v>983</v>
      </c>
      <c r="B1738" s="203">
        <v>37000</v>
      </c>
      <c r="C1738" s="203">
        <v>0</v>
      </c>
      <c r="D1738" s="202" t="s">
        <v>440</v>
      </c>
      <c r="E1738" s="202" t="s">
        <v>638</v>
      </c>
      <c r="F1738" s="202" t="s">
        <v>652</v>
      </c>
      <c r="G1738" s="202" t="s">
        <v>688</v>
      </c>
    </row>
    <row r="1739" spans="1:7" hidden="1">
      <c r="A1739" s="202" t="s">
        <v>984</v>
      </c>
      <c r="B1739" s="203">
        <v>8000</v>
      </c>
      <c r="C1739" s="203">
        <v>0</v>
      </c>
      <c r="D1739" s="202" t="s">
        <v>442</v>
      </c>
      <c r="E1739" s="202" t="s">
        <v>638</v>
      </c>
      <c r="F1739" s="202" t="s">
        <v>396</v>
      </c>
      <c r="G1739" s="202" t="s">
        <v>688</v>
      </c>
    </row>
    <row r="1740" spans="1:7" hidden="1">
      <c r="A1740" s="202" t="s">
        <v>985</v>
      </c>
      <c r="B1740" s="203">
        <v>29700</v>
      </c>
      <c r="C1740" s="203">
        <v>0</v>
      </c>
      <c r="D1740" s="202" t="s">
        <v>440</v>
      </c>
      <c r="E1740" s="202" t="s">
        <v>638</v>
      </c>
      <c r="F1740" s="202" t="s">
        <v>652</v>
      </c>
      <c r="G1740" s="202" t="s">
        <v>688</v>
      </c>
    </row>
    <row r="1741" spans="1:7" hidden="1">
      <c r="A1741" s="202" t="s">
        <v>986</v>
      </c>
      <c r="B1741" s="203">
        <v>34100</v>
      </c>
      <c r="C1741" s="203">
        <v>0</v>
      </c>
      <c r="D1741" s="202" t="s">
        <v>440</v>
      </c>
      <c r="E1741" s="202" t="s">
        <v>638</v>
      </c>
      <c r="F1741" s="202" t="s">
        <v>652</v>
      </c>
      <c r="G1741" s="202" t="s">
        <v>688</v>
      </c>
    </row>
    <row r="1742" spans="1:7" hidden="1">
      <c r="A1742" s="202" t="s">
        <v>987</v>
      </c>
      <c r="B1742" s="203">
        <v>19600</v>
      </c>
      <c r="C1742" s="203">
        <v>0</v>
      </c>
      <c r="D1742" s="202" t="s">
        <v>440</v>
      </c>
      <c r="E1742" s="202" t="s">
        <v>638</v>
      </c>
      <c r="F1742" s="202" t="s">
        <v>652</v>
      </c>
      <c r="G1742" s="202" t="s">
        <v>688</v>
      </c>
    </row>
    <row r="1743" spans="1:7" hidden="1">
      <c r="A1743" s="202" t="s">
        <v>988</v>
      </c>
      <c r="B1743" s="203">
        <v>1000</v>
      </c>
      <c r="C1743" s="203">
        <v>0</v>
      </c>
      <c r="D1743" s="202" t="s">
        <v>442</v>
      </c>
      <c r="E1743" s="202" t="s">
        <v>638</v>
      </c>
      <c r="F1743" s="202" t="s">
        <v>396</v>
      </c>
      <c r="G1743" s="202" t="s">
        <v>688</v>
      </c>
    </row>
    <row r="1744" spans="1:7" hidden="1">
      <c r="A1744" s="202" t="s">
        <v>989</v>
      </c>
      <c r="B1744" s="203">
        <v>27100</v>
      </c>
      <c r="C1744" s="203">
        <v>0</v>
      </c>
      <c r="D1744" s="202" t="s">
        <v>440</v>
      </c>
      <c r="E1744" s="202" t="s">
        <v>638</v>
      </c>
      <c r="F1744" s="202" t="s">
        <v>652</v>
      </c>
      <c r="G1744" s="202" t="s">
        <v>688</v>
      </c>
    </row>
    <row r="1745" spans="1:7" hidden="1">
      <c r="A1745" s="202" t="s">
        <v>990</v>
      </c>
      <c r="B1745" s="203">
        <v>37300</v>
      </c>
      <c r="C1745" s="203">
        <v>0</v>
      </c>
      <c r="D1745" s="202" t="s">
        <v>440</v>
      </c>
      <c r="E1745" s="202" t="s">
        <v>638</v>
      </c>
      <c r="F1745" s="202" t="s">
        <v>652</v>
      </c>
      <c r="G1745" s="202" t="s">
        <v>688</v>
      </c>
    </row>
    <row r="1746" spans="1:7" hidden="1">
      <c r="A1746" s="202" t="s">
        <v>991</v>
      </c>
      <c r="B1746" s="203">
        <v>25700</v>
      </c>
      <c r="C1746" s="203">
        <v>0</v>
      </c>
      <c r="D1746" s="202" t="s">
        <v>440</v>
      </c>
      <c r="E1746" s="202" t="s">
        <v>638</v>
      </c>
      <c r="F1746" s="202" t="s">
        <v>652</v>
      </c>
      <c r="G1746" s="202" t="s">
        <v>688</v>
      </c>
    </row>
    <row r="1747" spans="1:7" hidden="1">
      <c r="A1747" s="202" t="s">
        <v>992</v>
      </c>
      <c r="B1747" s="203">
        <v>18400</v>
      </c>
      <c r="C1747" s="203">
        <v>0</v>
      </c>
      <c r="D1747" s="202" t="s">
        <v>440</v>
      </c>
      <c r="E1747" s="202" t="s">
        <v>638</v>
      </c>
      <c r="F1747" s="202" t="s">
        <v>652</v>
      </c>
      <c r="G1747" s="202" t="s">
        <v>688</v>
      </c>
    </row>
    <row r="1748" spans="1:7" hidden="1">
      <c r="A1748" s="202" t="s">
        <v>993</v>
      </c>
      <c r="B1748" s="203">
        <v>2400</v>
      </c>
      <c r="C1748" s="203">
        <v>0</v>
      </c>
      <c r="D1748" s="202" t="s">
        <v>442</v>
      </c>
      <c r="E1748" s="202" t="s">
        <v>638</v>
      </c>
      <c r="F1748" s="202" t="s">
        <v>396</v>
      </c>
      <c r="G1748" s="202" t="s">
        <v>688</v>
      </c>
    </row>
    <row r="1749" spans="1:7" hidden="1">
      <c r="A1749" s="202" t="s">
        <v>994</v>
      </c>
      <c r="B1749" s="203">
        <v>6700</v>
      </c>
      <c r="C1749" s="203">
        <v>0</v>
      </c>
      <c r="D1749" s="202" t="s">
        <v>440</v>
      </c>
      <c r="E1749" s="202" t="s">
        <v>638</v>
      </c>
      <c r="F1749" s="202" t="s">
        <v>652</v>
      </c>
      <c r="G1749" s="202" t="s">
        <v>688</v>
      </c>
    </row>
    <row r="1750" spans="1:7" hidden="1">
      <c r="A1750" s="202" t="s">
        <v>995</v>
      </c>
      <c r="B1750" s="203">
        <v>26500</v>
      </c>
      <c r="C1750" s="203">
        <v>0</v>
      </c>
      <c r="D1750" s="202" t="s">
        <v>440</v>
      </c>
      <c r="E1750" s="202" t="s">
        <v>638</v>
      </c>
      <c r="F1750" s="202" t="s">
        <v>652</v>
      </c>
      <c r="G1750" s="202" t="s">
        <v>688</v>
      </c>
    </row>
    <row r="1751" spans="1:7" hidden="1">
      <c r="A1751" s="202" t="s">
        <v>996</v>
      </c>
      <c r="B1751" s="203">
        <v>16900</v>
      </c>
      <c r="C1751" s="203">
        <v>0</v>
      </c>
      <c r="D1751" s="202" t="s">
        <v>440</v>
      </c>
      <c r="E1751" s="202" t="s">
        <v>638</v>
      </c>
      <c r="F1751" s="202" t="s">
        <v>652</v>
      </c>
      <c r="G1751" s="202" t="s">
        <v>688</v>
      </c>
    </row>
    <row r="1752" spans="1:7" hidden="1">
      <c r="A1752" s="202" t="s">
        <v>997</v>
      </c>
      <c r="B1752" s="203">
        <v>12300</v>
      </c>
      <c r="C1752" s="203">
        <v>0</v>
      </c>
      <c r="D1752" s="202" t="s">
        <v>440</v>
      </c>
      <c r="E1752" s="202" t="s">
        <v>638</v>
      </c>
      <c r="F1752" s="202" t="s">
        <v>652</v>
      </c>
      <c r="G1752" s="202" t="s">
        <v>688</v>
      </c>
    </row>
    <row r="1753" spans="1:7" hidden="1">
      <c r="A1753" s="202" t="s">
        <v>998</v>
      </c>
      <c r="B1753" s="203">
        <v>14500</v>
      </c>
      <c r="C1753" s="203">
        <v>0</v>
      </c>
      <c r="D1753" s="202" t="s">
        <v>442</v>
      </c>
      <c r="E1753" s="202" t="s">
        <v>638</v>
      </c>
      <c r="F1753" s="202" t="s">
        <v>396</v>
      </c>
      <c r="G1753" s="202" t="s">
        <v>688</v>
      </c>
    </row>
    <row r="1754" spans="1:7" hidden="1">
      <c r="A1754" s="202" t="s">
        <v>999</v>
      </c>
      <c r="B1754" s="203">
        <v>26000</v>
      </c>
      <c r="C1754" s="203">
        <v>0</v>
      </c>
      <c r="D1754" s="202" t="s">
        <v>440</v>
      </c>
      <c r="E1754" s="202" t="s">
        <v>638</v>
      </c>
      <c r="F1754" s="202" t="s">
        <v>652</v>
      </c>
      <c r="G1754" s="202" t="s">
        <v>688</v>
      </c>
    </row>
    <row r="1755" spans="1:7" hidden="1">
      <c r="A1755" s="202" t="s">
        <v>1000</v>
      </c>
      <c r="B1755" s="203">
        <v>7756</v>
      </c>
      <c r="C1755" s="203">
        <v>0</v>
      </c>
      <c r="D1755" s="202" t="s">
        <v>440</v>
      </c>
      <c r="E1755" s="202" t="s">
        <v>638</v>
      </c>
      <c r="F1755" s="202" t="s">
        <v>652</v>
      </c>
      <c r="G1755" s="202" t="s">
        <v>688</v>
      </c>
    </row>
    <row r="1756" spans="1:7" hidden="1">
      <c r="A1756" s="202" t="s">
        <v>1001</v>
      </c>
      <c r="B1756" s="203">
        <v>12600</v>
      </c>
      <c r="C1756" s="203">
        <v>0</v>
      </c>
      <c r="D1756" s="202" t="s">
        <v>440</v>
      </c>
      <c r="E1756" s="202" t="s">
        <v>638</v>
      </c>
      <c r="F1756" s="202" t="s">
        <v>652</v>
      </c>
      <c r="G1756" s="202" t="s">
        <v>688</v>
      </c>
    </row>
    <row r="1757" spans="1:7" hidden="1">
      <c r="A1757" s="202" t="s">
        <v>1002</v>
      </c>
      <c r="B1757" s="203">
        <v>20645</v>
      </c>
      <c r="C1757" s="203">
        <v>0</v>
      </c>
      <c r="D1757" s="202" t="s">
        <v>440</v>
      </c>
      <c r="E1757" s="202" t="s">
        <v>638</v>
      </c>
      <c r="F1757" s="202" t="s">
        <v>652</v>
      </c>
      <c r="G1757" s="202" t="s">
        <v>688</v>
      </c>
    </row>
    <row r="1758" spans="1:7" hidden="1">
      <c r="A1758" s="202" t="s">
        <v>1003</v>
      </c>
      <c r="B1758" s="203">
        <v>47000</v>
      </c>
      <c r="C1758" s="203">
        <v>0</v>
      </c>
      <c r="D1758" s="202" t="s">
        <v>440</v>
      </c>
      <c r="E1758" s="202" t="s">
        <v>638</v>
      </c>
      <c r="F1758" s="202" t="s">
        <v>652</v>
      </c>
      <c r="G1758" s="202" t="s">
        <v>688</v>
      </c>
    </row>
    <row r="1759" spans="1:7" hidden="1">
      <c r="A1759" s="202" t="s">
        <v>1004</v>
      </c>
      <c r="B1759" s="203">
        <v>15761</v>
      </c>
      <c r="C1759" s="203">
        <v>0</v>
      </c>
      <c r="D1759" s="202" t="s">
        <v>440</v>
      </c>
      <c r="E1759" s="202" t="s">
        <v>638</v>
      </c>
      <c r="F1759" s="202" t="s">
        <v>652</v>
      </c>
      <c r="G1759" s="202" t="s">
        <v>688</v>
      </c>
    </row>
    <row r="1760" spans="1:7" hidden="1">
      <c r="A1760" s="202" t="s">
        <v>1005</v>
      </c>
      <c r="B1760" s="203">
        <v>5700</v>
      </c>
      <c r="C1760" s="203">
        <v>0</v>
      </c>
      <c r="D1760" s="202" t="s">
        <v>440</v>
      </c>
      <c r="E1760" s="202" t="s">
        <v>638</v>
      </c>
      <c r="F1760" s="202" t="s">
        <v>652</v>
      </c>
      <c r="G1760" s="202" t="s">
        <v>688</v>
      </c>
    </row>
    <row r="1761" spans="1:7" hidden="1">
      <c r="A1761" s="202" t="s">
        <v>1006</v>
      </c>
      <c r="B1761" s="203">
        <v>35900</v>
      </c>
      <c r="C1761" s="203">
        <v>0</v>
      </c>
      <c r="D1761" s="202" t="s">
        <v>440</v>
      </c>
      <c r="E1761" s="202" t="s">
        <v>638</v>
      </c>
      <c r="F1761" s="202" t="s">
        <v>652</v>
      </c>
      <c r="G1761" s="202" t="s">
        <v>688</v>
      </c>
    </row>
    <row r="1762" spans="1:7" hidden="1">
      <c r="A1762" s="202" t="s">
        <v>1007</v>
      </c>
      <c r="B1762" s="203">
        <v>11700</v>
      </c>
      <c r="C1762" s="203">
        <v>0</v>
      </c>
      <c r="D1762" s="202" t="s">
        <v>440</v>
      </c>
      <c r="E1762" s="202" t="s">
        <v>638</v>
      </c>
      <c r="F1762" s="202" t="s">
        <v>652</v>
      </c>
      <c r="G1762" s="202" t="s">
        <v>688</v>
      </c>
    </row>
    <row r="1763" spans="1:7" hidden="1">
      <c r="A1763" s="202" t="s">
        <v>1008</v>
      </c>
      <c r="B1763" s="203">
        <v>3500</v>
      </c>
      <c r="C1763" s="203">
        <v>0</v>
      </c>
      <c r="D1763" s="202" t="s">
        <v>440</v>
      </c>
      <c r="E1763" s="202" t="s">
        <v>638</v>
      </c>
      <c r="F1763" s="202" t="s">
        <v>652</v>
      </c>
      <c r="G1763" s="202" t="s">
        <v>688</v>
      </c>
    </row>
    <row r="1764" spans="1:7" hidden="1">
      <c r="A1764" s="202" t="s">
        <v>1009</v>
      </c>
      <c r="B1764" s="203">
        <v>2089</v>
      </c>
      <c r="C1764" s="203">
        <v>0</v>
      </c>
      <c r="D1764" s="202" t="s">
        <v>442</v>
      </c>
      <c r="E1764" s="202" t="s">
        <v>638</v>
      </c>
      <c r="F1764" s="202" t="s">
        <v>396</v>
      </c>
      <c r="G1764" s="202" t="s">
        <v>688</v>
      </c>
    </row>
    <row r="1765" spans="1:7" hidden="1">
      <c r="A1765" s="202" t="s">
        <v>1010</v>
      </c>
      <c r="B1765" s="203">
        <v>13100</v>
      </c>
      <c r="C1765" s="203">
        <v>0</v>
      </c>
      <c r="D1765" s="202" t="s">
        <v>440</v>
      </c>
      <c r="E1765" s="202" t="s">
        <v>638</v>
      </c>
      <c r="F1765" s="202" t="s">
        <v>652</v>
      </c>
      <c r="G1765" s="202" t="s">
        <v>688</v>
      </c>
    </row>
    <row r="1766" spans="1:7" hidden="1">
      <c r="A1766" s="202" t="s">
        <v>1011</v>
      </c>
      <c r="B1766" s="203">
        <v>21800</v>
      </c>
      <c r="C1766" s="203">
        <v>0</v>
      </c>
      <c r="D1766" s="202" t="s">
        <v>440</v>
      </c>
      <c r="E1766" s="202" t="s">
        <v>638</v>
      </c>
      <c r="F1766" s="202" t="s">
        <v>652</v>
      </c>
      <c r="G1766" s="202" t="s">
        <v>688</v>
      </c>
    </row>
    <row r="1767" spans="1:7" hidden="1">
      <c r="A1767" s="202" t="s">
        <v>1012</v>
      </c>
      <c r="B1767" s="203">
        <v>8600</v>
      </c>
      <c r="C1767" s="203">
        <v>0</v>
      </c>
      <c r="D1767" s="202" t="s">
        <v>440</v>
      </c>
      <c r="E1767" s="202" t="s">
        <v>638</v>
      </c>
      <c r="F1767" s="202" t="s">
        <v>652</v>
      </c>
      <c r="G1767" s="202" t="s">
        <v>688</v>
      </c>
    </row>
    <row r="1768" spans="1:7" hidden="1">
      <c r="A1768" s="202" t="s">
        <v>1013</v>
      </c>
      <c r="B1768" s="203">
        <v>17600</v>
      </c>
      <c r="C1768" s="203">
        <v>0</v>
      </c>
      <c r="D1768" s="202" t="s">
        <v>440</v>
      </c>
      <c r="E1768" s="202" t="s">
        <v>638</v>
      </c>
      <c r="F1768" s="202" t="s">
        <v>652</v>
      </c>
      <c r="G1768" s="202" t="s">
        <v>688</v>
      </c>
    </row>
    <row r="1769" spans="1:7" hidden="1">
      <c r="A1769" s="202" t="s">
        <v>1014</v>
      </c>
      <c r="B1769" s="203">
        <v>14800</v>
      </c>
      <c r="C1769" s="203">
        <v>0</v>
      </c>
      <c r="D1769" s="202" t="s">
        <v>440</v>
      </c>
      <c r="E1769" s="202" t="s">
        <v>638</v>
      </c>
      <c r="F1769" s="202" t="s">
        <v>652</v>
      </c>
      <c r="G1769" s="202" t="s">
        <v>688</v>
      </c>
    </row>
    <row r="1770" spans="1:7" hidden="1">
      <c r="A1770" s="202" t="s">
        <v>1015</v>
      </c>
      <c r="B1770" s="203">
        <v>16900</v>
      </c>
      <c r="C1770" s="203">
        <v>0</v>
      </c>
      <c r="D1770" s="202" t="s">
        <v>440</v>
      </c>
      <c r="E1770" s="202" t="s">
        <v>638</v>
      </c>
      <c r="F1770" s="202" t="s">
        <v>652</v>
      </c>
      <c r="G1770" s="202" t="s">
        <v>688</v>
      </c>
    </row>
    <row r="1771" spans="1:7" hidden="1">
      <c r="A1771" s="202" t="s">
        <v>1016</v>
      </c>
      <c r="B1771" s="203">
        <v>-15900</v>
      </c>
      <c r="C1771" s="203">
        <v>0</v>
      </c>
      <c r="D1771" s="202" t="s">
        <v>442</v>
      </c>
      <c r="E1771" s="202" t="s">
        <v>638</v>
      </c>
      <c r="F1771" s="202" t="s">
        <v>396</v>
      </c>
      <c r="G1771" s="202" t="s">
        <v>688</v>
      </c>
    </row>
    <row r="1772" spans="1:7" hidden="1">
      <c r="A1772" s="202" t="s">
        <v>1017</v>
      </c>
      <c r="B1772" s="203">
        <v>17400</v>
      </c>
      <c r="C1772" s="203">
        <v>0</v>
      </c>
      <c r="D1772" s="202" t="s">
        <v>440</v>
      </c>
      <c r="E1772" s="202" t="s">
        <v>638</v>
      </c>
      <c r="F1772" s="202" t="s">
        <v>652</v>
      </c>
      <c r="G1772" s="202" t="s">
        <v>688</v>
      </c>
    </row>
    <row r="1773" spans="1:7" hidden="1">
      <c r="A1773" s="202" t="s">
        <v>1018</v>
      </c>
      <c r="B1773" s="203">
        <v>125400</v>
      </c>
      <c r="C1773" s="203">
        <v>0</v>
      </c>
      <c r="D1773" s="202" t="s">
        <v>440</v>
      </c>
      <c r="E1773" s="202" t="s">
        <v>638</v>
      </c>
      <c r="F1773" s="202" t="s">
        <v>652</v>
      </c>
      <c r="G1773" s="202" t="s">
        <v>688</v>
      </c>
    </row>
    <row r="1774" spans="1:7" hidden="1">
      <c r="A1774" s="202" t="s">
        <v>1019</v>
      </c>
      <c r="B1774" s="203">
        <v>79000</v>
      </c>
      <c r="C1774" s="203">
        <v>0</v>
      </c>
      <c r="D1774" s="202" t="s">
        <v>440</v>
      </c>
      <c r="E1774" s="202" t="s">
        <v>638</v>
      </c>
      <c r="F1774" s="202" t="s">
        <v>652</v>
      </c>
      <c r="G1774" s="202" t="s">
        <v>688</v>
      </c>
    </row>
    <row r="1775" spans="1:7" hidden="1">
      <c r="A1775" s="202" t="s">
        <v>1020</v>
      </c>
      <c r="B1775" s="203">
        <v>47700</v>
      </c>
      <c r="C1775" s="203">
        <v>0</v>
      </c>
      <c r="D1775" s="202" t="s">
        <v>440</v>
      </c>
      <c r="E1775" s="202" t="s">
        <v>638</v>
      </c>
      <c r="F1775" s="202" t="s">
        <v>652</v>
      </c>
      <c r="G1775" s="202" t="s">
        <v>688</v>
      </c>
    </row>
    <row r="1776" spans="1:7" hidden="1">
      <c r="A1776" s="202" t="s">
        <v>1021</v>
      </c>
      <c r="B1776" s="203">
        <v>100000</v>
      </c>
      <c r="C1776" s="203">
        <v>0</v>
      </c>
      <c r="D1776" s="202" t="s">
        <v>440</v>
      </c>
      <c r="E1776" s="202" t="s">
        <v>638</v>
      </c>
      <c r="F1776" s="202" t="s">
        <v>652</v>
      </c>
      <c r="G1776" s="202" t="s">
        <v>688</v>
      </c>
    </row>
    <row r="1777" spans="1:7" hidden="1">
      <c r="A1777" s="202" t="s">
        <v>1022</v>
      </c>
      <c r="B1777" s="203">
        <v>63000</v>
      </c>
      <c r="C1777" s="203">
        <v>0</v>
      </c>
      <c r="D1777" s="202" t="s">
        <v>440</v>
      </c>
      <c r="E1777" s="202" t="s">
        <v>638</v>
      </c>
      <c r="F1777" s="202" t="s">
        <v>652</v>
      </c>
      <c r="G1777" s="202" t="s">
        <v>688</v>
      </c>
    </row>
    <row r="1778" spans="1:7" hidden="1">
      <c r="A1778" s="202" t="s">
        <v>1023</v>
      </c>
      <c r="B1778" s="203">
        <v>19300</v>
      </c>
      <c r="C1778" s="203">
        <v>0</v>
      </c>
      <c r="D1778" s="202" t="s">
        <v>440</v>
      </c>
      <c r="E1778" s="202" t="s">
        <v>638</v>
      </c>
      <c r="F1778" s="202" t="s">
        <v>652</v>
      </c>
      <c r="G1778" s="202" t="s">
        <v>688</v>
      </c>
    </row>
    <row r="1779" spans="1:7" hidden="1">
      <c r="A1779" s="202" t="s">
        <v>1024</v>
      </c>
      <c r="B1779" s="203">
        <v>18300</v>
      </c>
      <c r="C1779" s="203">
        <v>0</v>
      </c>
      <c r="D1779" s="202" t="s">
        <v>440</v>
      </c>
      <c r="E1779" s="202" t="s">
        <v>638</v>
      </c>
      <c r="F1779" s="202" t="s">
        <v>652</v>
      </c>
      <c r="G1779" s="202" t="s">
        <v>688</v>
      </c>
    </row>
    <row r="1780" spans="1:7" hidden="1">
      <c r="A1780" s="202" t="s">
        <v>1025</v>
      </c>
      <c r="B1780" s="203">
        <v>11400</v>
      </c>
      <c r="C1780" s="203">
        <v>0</v>
      </c>
      <c r="D1780" s="202" t="s">
        <v>440</v>
      </c>
      <c r="E1780" s="202" t="s">
        <v>638</v>
      </c>
      <c r="F1780" s="202" t="s">
        <v>652</v>
      </c>
      <c r="G1780" s="202" t="s">
        <v>688</v>
      </c>
    </row>
    <row r="1781" spans="1:7" hidden="1">
      <c r="A1781" s="202" t="s">
        <v>1026</v>
      </c>
      <c r="B1781" s="203">
        <v>6400</v>
      </c>
      <c r="C1781" s="203">
        <v>0</v>
      </c>
      <c r="D1781" s="202" t="s">
        <v>440</v>
      </c>
      <c r="E1781" s="202" t="s">
        <v>638</v>
      </c>
      <c r="F1781" s="202" t="s">
        <v>652</v>
      </c>
      <c r="G1781" s="202" t="s">
        <v>688</v>
      </c>
    </row>
    <row r="1782" spans="1:7" hidden="1">
      <c r="A1782" s="202" t="s">
        <v>1027</v>
      </c>
      <c r="B1782" s="203">
        <v>10500</v>
      </c>
      <c r="C1782" s="203">
        <v>0</v>
      </c>
      <c r="D1782" s="202" t="s">
        <v>440</v>
      </c>
      <c r="E1782" s="202" t="s">
        <v>638</v>
      </c>
      <c r="F1782" s="202" t="s">
        <v>652</v>
      </c>
      <c r="G1782" s="202" t="s">
        <v>688</v>
      </c>
    </row>
    <row r="1783" spans="1:7" hidden="1">
      <c r="A1783" s="202" t="s">
        <v>1028</v>
      </c>
      <c r="B1783" s="203">
        <v>1200</v>
      </c>
      <c r="C1783" s="203">
        <v>0</v>
      </c>
      <c r="D1783" s="202" t="s">
        <v>442</v>
      </c>
      <c r="E1783" s="202" t="s">
        <v>638</v>
      </c>
      <c r="F1783" s="202" t="s">
        <v>396</v>
      </c>
      <c r="G1783" s="202" t="s">
        <v>688</v>
      </c>
    </row>
    <row r="1784" spans="1:7" hidden="1">
      <c r="A1784" s="202" t="s">
        <v>1029</v>
      </c>
      <c r="B1784" s="203">
        <v>9300</v>
      </c>
      <c r="C1784" s="203">
        <v>0</v>
      </c>
      <c r="D1784" s="202" t="s">
        <v>440</v>
      </c>
      <c r="E1784" s="202" t="s">
        <v>638</v>
      </c>
      <c r="F1784" s="202" t="s">
        <v>652</v>
      </c>
      <c r="G1784" s="202" t="s">
        <v>688</v>
      </c>
    </row>
    <row r="1785" spans="1:7" hidden="1">
      <c r="A1785" s="202" t="s">
        <v>1030</v>
      </c>
      <c r="B1785" s="203">
        <v>23100</v>
      </c>
      <c r="C1785" s="203">
        <v>0</v>
      </c>
      <c r="D1785" s="202" t="s">
        <v>440</v>
      </c>
      <c r="E1785" s="202" t="s">
        <v>638</v>
      </c>
      <c r="F1785" s="202" t="s">
        <v>652</v>
      </c>
      <c r="G1785" s="202" t="s">
        <v>688</v>
      </c>
    </row>
    <row r="1786" spans="1:7" hidden="1">
      <c r="A1786" s="202" t="s">
        <v>1031</v>
      </c>
      <c r="B1786" s="203">
        <v>12700</v>
      </c>
      <c r="C1786" s="203">
        <v>0</v>
      </c>
      <c r="D1786" s="202" t="s">
        <v>440</v>
      </c>
      <c r="E1786" s="202" t="s">
        <v>638</v>
      </c>
      <c r="F1786" s="202" t="s">
        <v>652</v>
      </c>
      <c r="G1786" s="202" t="s">
        <v>688</v>
      </c>
    </row>
    <row r="1787" spans="1:7" hidden="1">
      <c r="A1787" s="202" t="s">
        <v>1032</v>
      </c>
      <c r="B1787" s="203">
        <v>15000</v>
      </c>
      <c r="C1787" s="203">
        <v>0</v>
      </c>
      <c r="D1787" s="202" t="s">
        <v>440</v>
      </c>
      <c r="E1787" s="202" t="s">
        <v>638</v>
      </c>
      <c r="F1787" s="202" t="s">
        <v>652</v>
      </c>
      <c r="G1787" s="202" t="s">
        <v>688</v>
      </c>
    </row>
    <row r="1788" spans="1:7" hidden="1">
      <c r="A1788" s="202" t="s">
        <v>1033</v>
      </c>
      <c r="B1788" s="203">
        <v>2000</v>
      </c>
      <c r="C1788" s="203">
        <v>0</v>
      </c>
      <c r="D1788" s="202" t="s">
        <v>442</v>
      </c>
      <c r="E1788" s="202" t="s">
        <v>638</v>
      </c>
      <c r="F1788" s="202" t="s">
        <v>396</v>
      </c>
      <c r="G1788" s="202" t="s">
        <v>688</v>
      </c>
    </row>
    <row r="1789" spans="1:7" hidden="1">
      <c r="A1789" s="202" t="s">
        <v>1034</v>
      </c>
      <c r="B1789" s="203">
        <v>37400</v>
      </c>
      <c r="C1789" s="203">
        <v>0</v>
      </c>
      <c r="D1789" s="202" t="s">
        <v>440</v>
      </c>
      <c r="E1789" s="202" t="s">
        <v>638</v>
      </c>
      <c r="F1789" s="202" t="s">
        <v>652</v>
      </c>
      <c r="G1789" s="202" t="s">
        <v>688</v>
      </c>
    </row>
    <row r="1790" spans="1:7" hidden="1">
      <c r="A1790" s="202" t="s">
        <v>1035</v>
      </c>
      <c r="B1790" s="203">
        <v>2200</v>
      </c>
      <c r="C1790" s="203">
        <v>0</v>
      </c>
      <c r="D1790" s="202" t="s">
        <v>442</v>
      </c>
      <c r="E1790" s="202" t="s">
        <v>638</v>
      </c>
      <c r="F1790" s="202" t="s">
        <v>396</v>
      </c>
      <c r="G1790" s="202" t="s">
        <v>688</v>
      </c>
    </row>
    <row r="1791" spans="1:7" hidden="1">
      <c r="A1791" s="202" t="s">
        <v>1036</v>
      </c>
      <c r="B1791" s="203">
        <v>15900</v>
      </c>
      <c r="C1791" s="203">
        <v>0</v>
      </c>
      <c r="D1791" s="202" t="s">
        <v>442</v>
      </c>
      <c r="E1791" s="202" t="s">
        <v>638</v>
      </c>
      <c r="F1791" s="202" t="s">
        <v>396</v>
      </c>
      <c r="G1791" s="202" t="s">
        <v>688</v>
      </c>
    </row>
    <row r="1792" spans="1:7" hidden="1">
      <c r="A1792" s="202" t="s">
        <v>1037</v>
      </c>
      <c r="B1792" s="203">
        <v>6600</v>
      </c>
      <c r="C1792" s="203">
        <v>0</v>
      </c>
      <c r="D1792" s="202" t="s">
        <v>440</v>
      </c>
      <c r="E1792" s="202" t="s">
        <v>638</v>
      </c>
      <c r="F1792" s="202" t="s">
        <v>652</v>
      </c>
      <c r="G1792" s="202" t="s">
        <v>688</v>
      </c>
    </row>
    <row r="1793" spans="1:7" hidden="1">
      <c r="A1793" s="202" t="s">
        <v>1038</v>
      </c>
      <c r="B1793" s="203">
        <v>10700</v>
      </c>
      <c r="C1793" s="203">
        <v>0</v>
      </c>
      <c r="D1793" s="202" t="s">
        <v>440</v>
      </c>
      <c r="E1793" s="202" t="s">
        <v>638</v>
      </c>
      <c r="F1793" s="202" t="s">
        <v>652</v>
      </c>
      <c r="G1793" s="202" t="s">
        <v>688</v>
      </c>
    </row>
    <row r="1794" spans="1:7" hidden="1">
      <c r="A1794" s="202" t="s">
        <v>1039</v>
      </c>
      <c r="B1794" s="203">
        <v>2631</v>
      </c>
      <c r="C1794" s="203">
        <v>0</v>
      </c>
      <c r="D1794" s="202" t="s">
        <v>440</v>
      </c>
      <c r="E1794" s="202" t="s">
        <v>638</v>
      </c>
      <c r="F1794" s="202" t="s">
        <v>652</v>
      </c>
      <c r="G1794" s="202" t="s">
        <v>688</v>
      </c>
    </row>
    <row r="1795" spans="1:7" hidden="1">
      <c r="A1795" s="202" t="s">
        <v>1040</v>
      </c>
      <c r="B1795" s="203">
        <v>10200</v>
      </c>
      <c r="C1795" s="203">
        <v>0</v>
      </c>
      <c r="D1795" s="202" t="s">
        <v>440</v>
      </c>
      <c r="E1795" s="202" t="s">
        <v>638</v>
      </c>
      <c r="F1795" s="202" t="s">
        <v>652</v>
      </c>
      <c r="G1795" s="202" t="s">
        <v>688</v>
      </c>
    </row>
    <row r="1796" spans="1:7" hidden="1">
      <c r="A1796" s="202" t="s">
        <v>1041</v>
      </c>
      <c r="B1796" s="203">
        <v>12300</v>
      </c>
      <c r="C1796" s="203">
        <v>0</v>
      </c>
      <c r="D1796" s="202" t="s">
        <v>440</v>
      </c>
      <c r="E1796" s="202" t="s">
        <v>638</v>
      </c>
      <c r="F1796" s="202" t="s">
        <v>652</v>
      </c>
      <c r="G1796" s="202" t="s">
        <v>688</v>
      </c>
    </row>
    <row r="1797" spans="1:7" hidden="1">
      <c r="A1797" s="202" t="s">
        <v>1042</v>
      </c>
      <c r="B1797" s="203">
        <v>26000</v>
      </c>
      <c r="C1797" s="203">
        <v>0</v>
      </c>
      <c r="D1797" s="202" t="s">
        <v>440</v>
      </c>
      <c r="E1797" s="202" t="s">
        <v>638</v>
      </c>
      <c r="F1797" s="202" t="s">
        <v>652</v>
      </c>
      <c r="G1797" s="202" t="s">
        <v>688</v>
      </c>
    </row>
    <row r="1798" spans="1:7" hidden="1">
      <c r="A1798" s="202" t="s">
        <v>1043</v>
      </c>
      <c r="B1798" s="203">
        <v>42400</v>
      </c>
      <c r="C1798" s="203">
        <v>0</v>
      </c>
      <c r="D1798" s="202" t="s">
        <v>440</v>
      </c>
      <c r="E1798" s="202" t="s">
        <v>638</v>
      </c>
      <c r="F1798" s="202" t="s">
        <v>652</v>
      </c>
      <c r="G1798" s="202" t="s">
        <v>688</v>
      </c>
    </row>
    <row r="1799" spans="1:7" hidden="1">
      <c r="A1799" s="202" t="s">
        <v>1044</v>
      </c>
      <c r="B1799" s="203">
        <v>45433</v>
      </c>
      <c r="C1799" s="203">
        <v>0</v>
      </c>
      <c r="D1799" s="202" t="s">
        <v>440</v>
      </c>
      <c r="E1799" s="202" t="s">
        <v>638</v>
      </c>
      <c r="F1799" s="202" t="s">
        <v>652</v>
      </c>
      <c r="G1799" s="202" t="s">
        <v>688</v>
      </c>
    </row>
    <row r="1800" spans="1:7" hidden="1">
      <c r="A1800" s="202" t="s">
        <v>1045</v>
      </c>
      <c r="B1800" s="203">
        <v>40900</v>
      </c>
      <c r="C1800" s="203">
        <v>0</v>
      </c>
      <c r="D1800" s="202" t="s">
        <v>440</v>
      </c>
      <c r="E1800" s="202" t="s">
        <v>638</v>
      </c>
      <c r="F1800" s="202" t="s">
        <v>652</v>
      </c>
      <c r="G1800" s="202" t="s">
        <v>688</v>
      </c>
    </row>
    <row r="1801" spans="1:7" hidden="1">
      <c r="A1801" s="202" t="s">
        <v>1046</v>
      </c>
      <c r="B1801" s="203">
        <v>5000</v>
      </c>
      <c r="C1801" s="203">
        <v>0</v>
      </c>
      <c r="D1801" s="202" t="s">
        <v>442</v>
      </c>
      <c r="E1801" s="202" t="s">
        <v>638</v>
      </c>
      <c r="F1801" s="202" t="s">
        <v>396</v>
      </c>
      <c r="G1801" s="202" t="s">
        <v>688</v>
      </c>
    </row>
    <row r="1802" spans="1:7" hidden="1">
      <c r="A1802" s="202" t="s">
        <v>1047</v>
      </c>
      <c r="B1802" s="203">
        <v>32800</v>
      </c>
      <c r="C1802" s="203">
        <v>0</v>
      </c>
      <c r="D1802" s="202" t="s">
        <v>440</v>
      </c>
      <c r="E1802" s="202" t="s">
        <v>638</v>
      </c>
      <c r="F1802" s="202" t="s">
        <v>652</v>
      </c>
      <c r="G1802" s="202" t="s">
        <v>688</v>
      </c>
    </row>
    <row r="1803" spans="1:7" hidden="1">
      <c r="A1803" s="202" t="s">
        <v>1048</v>
      </c>
      <c r="B1803" s="203">
        <v>11700</v>
      </c>
      <c r="C1803" s="203">
        <v>0</v>
      </c>
      <c r="D1803" s="202" t="s">
        <v>440</v>
      </c>
      <c r="E1803" s="202" t="s">
        <v>638</v>
      </c>
      <c r="F1803" s="202" t="s">
        <v>652</v>
      </c>
      <c r="G1803" s="202" t="s">
        <v>688</v>
      </c>
    </row>
    <row r="1804" spans="1:7" hidden="1">
      <c r="A1804" s="202" t="s">
        <v>1049</v>
      </c>
      <c r="B1804" s="203">
        <v>23400</v>
      </c>
      <c r="C1804" s="203">
        <v>0</v>
      </c>
      <c r="D1804" s="202" t="s">
        <v>440</v>
      </c>
      <c r="E1804" s="202" t="s">
        <v>638</v>
      </c>
      <c r="F1804" s="202" t="s">
        <v>652</v>
      </c>
      <c r="G1804" s="202" t="s">
        <v>688</v>
      </c>
    </row>
    <row r="1805" spans="1:7" hidden="1">
      <c r="A1805" s="202" t="s">
        <v>1050</v>
      </c>
      <c r="B1805" s="203">
        <v>8000</v>
      </c>
      <c r="C1805" s="203">
        <v>0</v>
      </c>
      <c r="D1805" s="202" t="s">
        <v>440</v>
      </c>
      <c r="E1805" s="202" t="s">
        <v>638</v>
      </c>
      <c r="F1805" s="202" t="s">
        <v>652</v>
      </c>
      <c r="G1805" s="202" t="s">
        <v>688</v>
      </c>
    </row>
    <row r="1806" spans="1:7" hidden="1">
      <c r="A1806" s="202" t="s">
        <v>1051</v>
      </c>
      <c r="B1806" s="203">
        <v>11800</v>
      </c>
      <c r="C1806" s="203">
        <v>0</v>
      </c>
      <c r="D1806" s="202" t="s">
        <v>440</v>
      </c>
      <c r="E1806" s="202" t="s">
        <v>638</v>
      </c>
      <c r="F1806" s="202" t="s">
        <v>652</v>
      </c>
      <c r="G1806" s="202" t="s">
        <v>688</v>
      </c>
    </row>
    <row r="1807" spans="1:7" hidden="1">
      <c r="A1807" s="202" t="s">
        <v>1052</v>
      </c>
      <c r="B1807" s="203">
        <v>13400</v>
      </c>
      <c r="C1807" s="203">
        <v>0</v>
      </c>
      <c r="D1807" s="202" t="s">
        <v>440</v>
      </c>
      <c r="E1807" s="202" t="s">
        <v>638</v>
      </c>
      <c r="F1807" s="202" t="s">
        <v>652</v>
      </c>
      <c r="G1807" s="202" t="s">
        <v>688</v>
      </c>
    </row>
    <row r="1808" spans="1:7" hidden="1">
      <c r="A1808" s="202" t="s">
        <v>1053</v>
      </c>
      <c r="B1808" s="203">
        <v>2900</v>
      </c>
      <c r="C1808" s="203">
        <v>0</v>
      </c>
      <c r="D1808" s="202" t="s">
        <v>442</v>
      </c>
      <c r="E1808" s="202" t="s">
        <v>638</v>
      </c>
      <c r="F1808" s="202" t="s">
        <v>396</v>
      </c>
      <c r="G1808" s="202" t="s">
        <v>688</v>
      </c>
    </row>
    <row r="1809" spans="1:7" hidden="1">
      <c r="A1809" s="202" t="s">
        <v>1054</v>
      </c>
      <c r="B1809" s="203">
        <v>57400</v>
      </c>
      <c r="C1809" s="203">
        <v>0</v>
      </c>
      <c r="D1809" s="202" t="s">
        <v>440</v>
      </c>
      <c r="E1809" s="202" t="s">
        <v>638</v>
      </c>
      <c r="F1809" s="202" t="s">
        <v>652</v>
      </c>
      <c r="G1809" s="202" t="s">
        <v>688</v>
      </c>
    </row>
    <row r="1810" spans="1:7" hidden="1">
      <c r="A1810" s="202" t="s">
        <v>1055</v>
      </c>
      <c r="B1810" s="203">
        <v>3600</v>
      </c>
      <c r="C1810" s="203">
        <v>0</v>
      </c>
      <c r="D1810" s="202" t="s">
        <v>442</v>
      </c>
      <c r="E1810" s="202" t="s">
        <v>638</v>
      </c>
      <c r="F1810" s="202" t="s">
        <v>396</v>
      </c>
      <c r="G1810" s="202" t="s">
        <v>688</v>
      </c>
    </row>
    <row r="1811" spans="1:7" hidden="1">
      <c r="A1811" s="202" t="s">
        <v>1056</v>
      </c>
      <c r="B1811" s="203">
        <v>13100</v>
      </c>
      <c r="C1811" s="203">
        <v>0</v>
      </c>
      <c r="D1811" s="202" t="s">
        <v>440</v>
      </c>
      <c r="E1811" s="202" t="s">
        <v>638</v>
      </c>
      <c r="F1811" s="202" t="s">
        <v>652</v>
      </c>
      <c r="G1811" s="202" t="s">
        <v>688</v>
      </c>
    </row>
    <row r="1812" spans="1:7" hidden="1">
      <c r="A1812" s="202" t="s">
        <v>1057</v>
      </c>
      <c r="B1812" s="203">
        <v>6300</v>
      </c>
      <c r="C1812" s="203">
        <v>0</v>
      </c>
      <c r="D1812" s="202" t="s">
        <v>440</v>
      </c>
      <c r="E1812" s="202" t="s">
        <v>638</v>
      </c>
      <c r="F1812" s="202" t="s">
        <v>652</v>
      </c>
      <c r="G1812" s="202" t="s">
        <v>688</v>
      </c>
    </row>
    <row r="1813" spans="1:7" hidden="1">
      <c r="A1813" s="202" t="s">
        <v>1058</v>
      </c>
      <c r="B1813" s="203">
        <v>17700</v>
      </c>
      <c r="C1813" s="203">
        <v>0</v>
      </c>
      <c r="D1813" s="202" t="s">
        <v>440</v>
      </c>
      <c r="E1813" s="202" t="s">
        <v>638</v>
      </c>
      <c r="F1813" s="202" t="s">
        <v>652</v>
      </c>
      <c r="G1813" s="202" t="s">
        <v>688</v>
      </c>
    </row>
    <row r="1814" spans="1:7" hidden="1">
      <c r="A1814" s="202" t="s">
        <v>1059</v>
      </c>
      <c r="B1814" s="203">
        <v>29643</v>
      </c>
      <c r="C1814" s="203">
        <v>0</v>
      </c>
      <c r="D1814" s="202" t="s">
        <v>440</v>
      </c>
      <c r="E1814" s="202" t="s">
        <v>638</v>
      </c>
      <c r="F1814" s="202" t="s">
        <v>652</v>
      </c>
      <c r="G1814" s="202" t="s">
        <v>688</v>
      </c>
    </row>
    <row r="1815" spans="1:7" hidden="1">
      <c r="A1815" s="202" t="s">
        <v>1060</v>
      </c>
      <c r="B1815" s="203">
        <v>39000</v>
      </c>
      <c r="C1815" s="203">
        <v>0</v>
      </c>
      <c r="D1815" s="202" t="s">
        <v>442</v>
      </c>
      <c r="E1815" s="202" t="s">
        <v>638</v>
      </c>
      <c r="F1815" s="202" t="s">
        <v>396</v>
      </c>
      <c r="G1815" s="202" t="s">
        <v>688</v>
      </c>
    </row>
    <row r="1816" spans="1:7" hidden="1">
      <c r="A1816" s="202" t="s">
        <v>1061</v>
      </c>
      <c r="B1816" s="203">
        <v>4900</v>
      </c>
      <c r="C1816" s="203">
        <v>0</v>
      </c>
      <c r="D1816" s="202" t="s">
        <v>442</v>
      </c>
      <c r="E1816" s="202" t="s">
        <v>638</v>
      </c>
      <c r="F1816" s="202" t="s">
        <v>396</v>
      </c>
      <c r="G1816" s="202" t="s">
        <v>688</v>
      </c>
    </row>
    <row r="1817" spans="1:7" hidden="1">
      <c r="A1817" s="202" t="s">
        <v>1062</v>
      </c>
      <c r="B1817" s="203">
        <v>2700</v>
      </c>
      <c r="C1817" s="203">
        <v>0</v>
      </c>
      <c r="D1817" s="202" t="s">
        <v>442</v>
      </c>
      <c r="E1817" s="202" t="s">
        <v>638</v>
      </c>
      <c r="F1817" s="202" t="s">
        <v>396</v>
      </c>
      <c r="G1817" s="202" t="s">
        <v>688</v>
      </c>
    </row>
    <row r="1818" spans="1:7" hidden="1">
      <c r="A1818" s="202" t="s">
        <v>1063</v>
      </c>
      <c r="B1818" s="203">
        <v>5354</v>
      </c>
      <c r="C1818" s="203">
        <v>0</v>
      </c>
      <c r="D1818" s="202" t="s">
        <v>440</v>
      </c>
      <c r="E1818" s="202" t="s">
        <v>638</v>
      </c>
      <c r="F1818" s="202" t="s">
        <v>652</v>
      </c>
      <c r="G1818" s="202" t="s">
        <v>688</v>
      </c>
    </row>
    <row r="1819" spans="1:7" hidden="1">
      <c r="A1819" s="202" t="s">
        <v>1064</v>
      </c>
      <c r="B1819" s="203">
        <v>7300</v>
      </c>
      <c r="C1819" s="203">
        <v>0</v>
      </c>
      <c r="D1819" s="202" t="s">
        <v>440</v>
      </c>
      <c r="E1819" s="202" t="s">
        <v>638</v>
      </c>
      <c r="F1819" s="202" t="s">
        <v>652</v>
      </c>
      <c r="G1819" s="202" t="s">
        <v>688</v>
      </c>
    </row>
    <row r="1820" spans="1:7" hidden="1">
      <c r="A1820" s="202" t="s">
        <v>1065</v>
      </c>
      <c r="B1820" s="203">
        <v>1078</v>
      </c>
      <c r="C1820" s="203">
        <v>0</v>
      </c>
      <c r="D1820" s="202" t="s">
        <v>440</v>
      </c>
      <c r="E1820" s="202" t="s">
        <v>638</v>
      </c>
      <c r="F1820" s="202" t="s">
        <v>652</v>
      </c>
      <c r="G1820" s="202" t="s">
        <v>688</v>
      </c>
    </row>
    <row r="1821" spans="1:7" hidden="1">
      <c r="A1821" s="202" t="s">
        <v>1066</v>
      </c>
      <c r="B1821" s="203">
        <v>213</v>
      </c>
      <c r="C1821" s="203">
        <v>0</v>
      </c>
      <c r="D1821" s="202" t="s">
        <v>442</v>
      </c>
      <c r="E1821" s="202" t="s">
        <v>638</v>
      </c>
      <c r="F1821" s="202" t="s">
        <v>396</v>
      </c>
      <c r="G1821" s="202" t="s">
        <v>688</v>
      </c>
    </row>
    <row r="1822" spans="1:7" hidden="1">
      <c r="A1822" s="202" t="s">
        <v>1067</v>
      </c>
      <c r="B1822" s="203">
        <v>-26900</v>
      </c>
      <c r="C1822" s="203">
        <v>0</v>
      </c>
      <c r="D1822" s="202" t="s">
        <v>440</v>
      </c>
      <c r="E1822" s="202" t="s">
        <v>638</v>
      </c>
      <c r="F1822" s="202" t="s">
        <v>409</v>
      </c>
      <c r="G1822" s="202" t="s">
        <v>688</v>
      </c>
    </row>
    <row r="1823" spans="1:7" hidden="1">
      <c r="A1823" s="202" t="s">
        <v>1068</v>
      </c>
      <c r="B1823" s="203">
        <v>-38300</v>
      </c>
      <c r="C1823" s="203">
        <v>0</v>
      </c>
      <c r="D1823" s="202" t="s">
        <v>440</v>
      </c>
      <c r="E1823" s="202" t="s">
        <v>638</v>
      </c>
      <c r="F1823" s="202" t="s">
        <v>652</v>
      </c>
      <c r="G1823" s="202" t="s">
        <v>688</v>
      </c>
    </row>
    <row r="1824" spans="1:7" hidden="1">
      <c r="A1824" s="202" t="s">
        <v>1069</v>
      </c>
      <c r="B1824" s="203">
        <v>-13000</v>
      </c>
      <c r="C1824" s="203">
        <v>0</v>
      </c>
      <c r="D1824" s="202" t="s">
        <v>442</v>
      </c>
      <c r="E1824" s="202" t="s">
        <v>638</v>
      </c>
      <c r="F1824" s="202" t="s">
        <v>396</v>
      </c>
      <c r="G1824" s="202" t="s">
        <v>688</v>
      </c>
    </row>
    <row r="1825" spans="1:7" hidden="1">
      <c r="A1825" s="202" t="s">
        <v>1070</v>
      </c>
      <c r="B1825" s="203">
        <v>-800</v>
      </c>
      <c r="C1825" s="203">
        <v>0</v>
      </c>
      <c r="D1825" s="202" t="s">
        <v>440</v>
      </c>
      <c r="E1825" s="202" t="s">
        <v>638</v>
      </c>
      <c r="F1825" s="202" t="s">
        <v>652</v>
      </c>
      <c r="G1825" s="202" t="s">
        <v>688</v>
      </c>
    </row>
    <row r="1826" spans="1:7" hidden="1">
      <c r="A1826" s="202" t="s">
        <v>1071</v>
      </c>
      <c r="B1826" s="203">
        <v>-28000</v>
      </c>
      <c r="C1826" s="203">
        <v>0</v>
      </c>
      <c r="D1826" s="202" t="s">
        <v>440</v>
      </c>
      <c r="E1826" s="202" t="s">
        <v>638</v>
      </c>
      <c r="F1826" s="202" t="s">
        <v>652</v>
      </c>
      <c r="G1826" s="202" t="s">
        <v>688</v>
      </c>
    </row>
    <row r="1827" spans="1:7" hidden="1">
      <c r="A1827" s="202" t="s">
        <v>1072</v>
      </c>
      <c r="B1827" s="203">
        <v>-7200</v>
      </c>
      <c r="C1827" s="203">
        <v>0</v>
      </c>
      <c r="D1827" s="202" t="s">
        <v>442</v>
      </c>
      <c r="E1827" s="202" t="s">
        <v>638</v>
      </c>
      <c r="F1827" s="202" t="s">
        <v>396</v>
      </c>
      <c r="G1827" s="202" t="s">
        <v>688</v>
      </c>
    </row>
    <row r="1828" spans="1:7" hidden="1">
      <c r="A1828" s="202" t="s">
        <v>1073</v>
      </c>
      <c r="B1828" s="203">
        <v>-50708</v>
      </c>
      <c r="C1828" s="203">
        <v>0</v>
      </c>
      <c r="D1828" s="202" t="s">
        <v>440</v>
      </c>
      <c r="E1828" s="202" t="s">
        <v>638</v>
      </c>
      <c r="F1828" s="202" t="s">
        <v>652</v>
      </c>
      <c r="G1828" s="202" t="s">
        <v>688</v>
      </c>
    </row>
    <row r="1829" spans="1:7" hidden="1">
      <c r="A1829" s="202" t="s">
        <v>1074</v>
      </c>
      <c r="B1829" s="203">
        <v>-11300</v>
      </c>
      <c r="C1829" s="203">
        <v>0</v>
      </c>
      <c r="D1829" s="202" t="s">
        <v>442</v>
      </c>
      <c r="E1829" s="202" t="s">
        <v>638</v>
      </c>
      <c r="F1829" s="202" t="s">
        <v>396</v>
      </c>
      <c r="G1829" s="202" t="s">
        <v>688</v>
      </c>
    </row>
    <row r="1830" spans="1:7" hidden="1">
      <c r="A1830" s="202" t="s">
        <v>1075</v>
      </c>
      <c r="B1830" s="203">
        <v>23100</v>
      </c>
      <c r="C1830" s="203">
        <v>0</v>
      </c>
      <c r="D1830" s="202" t="s">
        <v>440</v>
      </c>
      <c r="E1830" s="202" t="s">
        <v>638</v>
      </c>
      <c r="F1830" s="202" t="s">
        <v>652</v>
      </c>
      <c r="G1830" s="202" t="s">
        <v>688</v>
      </c>
    </row>
    <row r="1831" spans="1:7" hidden="1">
      <c r="A1831" s="202" t="s">
        <v>1076</v>
      </c>
      <c r="B1831" s="203">
        <v>3300</v>
      </c>
      <c r="C1831" s="203">
        <v>0</v>
      </c>
      <c r="D1831" s="202" t="s">
        <v>442</v>
      </c>
      <c r="E1831" s="202" t="s">
        <v>638</v>
      </c>
      <c r="F1831" s="202" t="s">
        <v>396</v>
      </c>
      <c r="G1831" s="202" t="s">
        <v>688</v>
      </c>
    </row>
    <row r="1832" spans="1:7" hidden="1">
      <c r="A1832" s="202" t="s">
        <v>1077</v>
      </c>
      <c r="B1832" s="203">
        <v>7900</v>
      </c>
      <c r="C1832" s="203">
        <v>0</v>
      </c>
      <c r="D1832" s="202" t="s">
        <v>440</v>
      </c>
      <c r="E1832" s="202" t="s">
        <v>638</v>
      </c>
      <c r="F1832" s="202" t="s">
        <v>652</v>
      </c>
      <c r="G1832" s="202" t="s">
        <v>688</v>
      </c>
    </row>
    <row r="1833" spans="1:7" hidden="1">
      <c r="A1833" s="202" t="s">
        <v>1078</v>
      </c>
      <c r="B1833" s="203">
        <v>62700</v>
      </c>
      <c r="C1833" s="203">
        <v>0</v>
      </c>
      <c r="D1833" s="202" t="s">
        <v>440</v>
      </c>
      <c r="E1833" s="202" t="s">
        <v>638</v>
      </c>
      <c r="F1833" s="202" t="s">
        <v>652</v>
      </c>
      <c r="G1833" s="202" t="s">
        <v>688</v>
      </c>
    </row>
    <row r="1834" spans="1:7" hidden="1">
      <c r="A1834" s="202" t="s">
        <v>1079</v>
      </c>
      <c r="B1834" s="203">
        <v>18650</v>
      </c>
      <c r="C1834" s="203">
        <v>0</v>
      </c>
      <c r="D1834" s="202" t="s">
        <v>442</v>
      </c>
      <c r="E1834" s="202" t="s">
        <v>638</v>
      </c>
      <c r="F1834" s="202" t="s">
        <v>396</v>
      </c>
      <c r="G1834" s="202" t="s">
        <v>688</v>
      </c>
    </row>
    <row r="1835" spans="1:7" hidden="1">
      <c r="A1835" s="202" t="s">
        <v>1080</v>
      </c>
      <c r="B1835" s="203">
        <v>28800</v>
      </c>
      <c r="C1835" s="203">
        <v>0</v>
      </c>
      <c r="D1835" s="202" t="s">
        <v>440</v>
      </c>
      <c r="E1835" s="202" t="s">
        <v>638</v>
      </c>
      <c r="F1835" s="202" t="s">
        <v>652</v>
      </c>
      <c r="G1835" s="202" t="s">
        <v>688</v>
      </c>
    </row>
    <row r="1836" spans="1:7" hidden="1">
      <c r="A1836" s="202" t="s">
        <v>1081</v>
      </c>
      <c r="B1836" s="203">
        <v>42700</v>
      </c>
      <c r="C1836" s="203">
        <v>0</v>
      </c>
      <c r="D1836" s="202" t="s">
        <v>442</v>
      </c>
      <c r="E1836" s="202" t="s">
        <v>638</v>
      </c>
      <c r="F1836" s="202" t="s">
        <v>396</v>
      </c>
      <c r="G1836" s="202" t="s">
        <v>688</v>
      </c>
    </row>
    <row r="1837" spans="1:7" hidden="1">
      <c r="A1837" s="202" t="s">
        <v>1082</v>
      </c>
      <c r="B1837" s="203">
        <v>19240</v>
      </c>
      <c r="C1837" s="203">
        <v>0</v>
      </c>
      <c r="D1837" s="202" t="s">
        <v>440</v>
      </c>
      <c r="E1837" s="202" t="s">
        <v>638</v>
      </c>
      <c r="F1837" s="202" t="s">
        <v>652</v>
      </c>
      <c r="G1837" s="202" t="s">
        <v>688</v>
      </c>
    </row>
    <row r="1838" spans="1:7" hidden="1">
      <c r="A1838" s="202" t="s">
        <v>1083</v>
      </c>
      <c r="B1838" s="203">
        <v>60000</v>
      </c>
      <c r="C1838" s="203">
        <v>0</v>
      </c>
      <c r="D1838" s="202" t="s">
        <v>440</v>
      </c>
      <c r="E1838" s="202" t="s">
        <v>638</v>
      </c>
      <c r="F1838" s="202" t="s">
        <v>652</v>
      </c>
      <c r="G1838" s="202" t="s">
        <v>688</v>
      </c>
    </row>
    <row r="1839" spans="1:7" hidden="1">
      <c r="A1839" s="202" t="s">
        <v>1084</v>
      </c>
      <c r="B1839" s="203">
        <v>18000</v>
      </c>
      <c r="C1839" s="203">
        <v>0</v>
      </c>
      <c r="D1839" s="202" t="s">
        <v>442</v>
      </c>
      <c r="E1839" s="202" t="s">
        <v>638</v>
      </c>
      <c r="F1839" s="202" t="s">
        <v>396</v>
      </c>
      <c r="G1839" s="202" t="s">
        <v>688</v>
      </c>
    </row>
    <row r="1840" spans="1:7" hidden="1">
      <c r="A1840" s="202" t="s">
        <v>1085</v>
      </c>
      <c r="B1840" s="203">
        <v>104600</v>
      </c>
      <c r="C1840" s="203">
        <v>0</v>
      </c>
      <c r="D1840" s="202" t="s">
        <v>440</v>
      </c>
      <c r="E1840" s="202" t="s">
        <v>638</v>
      </c>
      <c r="F1840" s="202" t="s">
        <v>652</v>
      </c>
      <c r="G1840" s="202" t="s">
        <v>688</v>
      </c>
    </row>
    <row r="1841" spans="1:7" hidden="1">
      <c r="A1841" s="202" t="s">
        <v>1086</v>
      </c>
      <c r="B1841" s="203">
        <v>2700</v>
      </c>
      <c r="C1841" s="203">
        <v>0</v>
      </c>
      <c r="D1841" s="202" t="s">
        <v>442</v>
      </c>
      <c r="E1841" s="202" t="s">
        <v>638</v>
      </c>
      <c r="F1841" s="202" t="s">
        <v>396</v>
      </c>
      <c r="G1841" s="202" t="s">
        <v>688</v>
      </c>
    </row>
    <row r="1842" spans="1:7" hidden="1">
      <c r="A1842" s="202" t="s">
        <v>1087</v>
      </c>
      <c r="B1842" s="203">
        <v>9200</v>
      </c>
      <c r="C1842" s="203">
        <v>0</v>
      </c>
      <c r="D1842" s="202" t="s">
        <v>442</v>
      </c>
      <c r="E1842" s="202" t="s">
        <v>638</v>
      </c>
      <c r="F1842" s="202" t="s">
        <v>396</v>
      </c>
      <c r="G1842" s="202" t="s">
        <v>688</v>
      </c>
    </row>
    <row r="1843" spans="1:7" hidden="1">
      <c r="A1843" s="202" t="s">
        <v>1088</v>
      </c>
      <c r="B1843" s="203">
        <v>4600</v>
      </c>
      <c r="C1843" s="203">
        <v>0</v>
      </c>
      <c r="D1843" s="202" t="s">
        <v>442</v>
      </c>
      <c r="E1843" s="202" t="s">
        <v>638</v>
      </c>
      <c r="F1843" s="202" t="s">
        <v>396</v>
      </c>
      <c r="G1843" s="202" t="s">
        <v>688</v>
      </c>
    </row>
    <row r="1844" spans="1:7" hidden="1">
      <c r="A1844" s="202" t="s">
        <v>1089</v>
      </c>
      <c r="B1844" s="203">
        <v>18800</v>
      </c>
      <c r="C1844" s="203">
        <v>0</v>
      </c>
      <c r="D1844" s="202" t="s">
        <v>442</v>
      </c>
      <c r="E1844" s="202" t="s">
        <v>638</v>
      </c>
      <c r="F1844" s="202" t="s">
        <v>396</v>
      </c>
      <c r="G1844" s="202" t="s">
        <v>688</v>
      </c>
    </row>
    <row r="1845" spans="1:7" hidden="1">
      <c r="A1845" s="202" t="s">
        <v>1090</v>
      </c>
      <c r="B1845" s="203">
        <v>9000</v>
      </c>
      <c r="C1845" s="203">
        <v>0</v>
      </c>
      <c r="D1845" s="202" t="s">
        <v>442</v>
      </c>
      <c r="E1845" s="202" t="s">
        <v>638</v>
      </c>
      <c r="F1845" s="202" t="s">
        <v>396</v>
      </c>
      <c r="G1845" s="202" t="s">
        <v>688</v>
      </c>
    </row>
    <row r="1846" spans="1:7" hidden="1">
      <c r="A1846" s="202" t="s">
        <v>1091</v>
      </c>
      <c r="B1846" s="203">
        <v>8900</v>
      </c>
      <c r="C1846" s="203">
        <v>0</v>
      </c>
      <c r="D1846" s="202" t="s">
        <v>442</v>
      </c>
      <c r="E1846" s="202" t="s">
        <v>638</v>
      </c>
      <c r="F1846" s="202" t="s">
        <v>396</v>
      </c>
      <c r="G1846" s="202" t="s">
        <v>688</v>
      </c>
    </row>
    <row r="1847" spans="1:7" hidden="1">
      <c r="A1847" s="202" t="s">
        <v>1092</v>
      </c>
      <c r="B1847" s="203">
        <v>-15200</v>
      </c>
      <c r="C1847" s="203">
        <v>0</v>
      </c>
      <c r="D1847" s="202" t="s">
        <v>440</v>
      </c>
      <c r="E1847" s="202" t="s">
        <v>638</v>
      </c>
      <c r="F1847" s="202" t="s">
        <v>652</v>
      </c>
      <c r="G1847" s="202" t="s">
        <v>688</v>
      </c>
    </row>
    <row r="1848" spans="1:7" hidden="1">
      <c r="A1848" s="202" t="s">
        <v>1092</v>
      </c>
      <c r="B1848" s="203">
        <v>17900</v>
      </c>
      <c r="C1848" s="203">
        <v>0</v>
      </c>
      <c r="D1848" s="202" t="s">
        <v>474</v>
      </c>
      <c r="E1848" s="202" t="s">
        <v>638</v>
      </c>
      <c r="F1848" s="202" t="s">
        <v>652</v>
      </c>
      <c r="G1848" s="202" t="s">
        <v>688</v>
      </c>
    </row>
    <row r="1849" spans="1:7" hidden="1">
      <c r="A1849" s="202" t="s">
        <v>1093</v>
      </c>
      <c r="B1849" s="203">
        <v>9100</v>
      </c>
      <c r="C1849" s="203">
        <v>0</v>
      </c>
      <c r="D1849" s="202" t="s">
        <v>442</v>
      </c>
      <c r="E1849" s="202" t="s">
        <v>638</v>
      </c>
      <c r="F1849" s="202" t="s">
        <v>396</v>
      </c>
      <c r="G1849" s="202" t="s">
        <v>688</v>
      </c>
    </row>
    <row r="1850" spans="1:7" hidden="1">
      <c r="A1850" s="202" t="s">
        <v>1094</v>
      </c>
      <c r="B1850" s="203">
        <v>32400</v>
      </c>
      <c r="C1850" s="203">
        <v>0</v>
      </c>
      <c r="D1850" s="202" t="s">
        <v>440</v>
      </c>
      <c r="E1850" s="202" t="s">
        <v>638</v>
      </c>
      <c r="F1850" s="202" t="s">
        <v>652</v>
      </c>
      <c r="G1850" s="202" t="s">
        <v>688</v>
      </c>
    </row>
    <row r="1851" spans="1:7" hidden="1">
      <c r="A1851" s="202" t="s">
        <v>1095</v>
      </c>
      <c r="B1851" s="203">
        <v>50000</v>
      </c>
      <c r="C1851" s="203">
        <v>0</v>
      </c>
      <c r="D1851" s="202" t="s">
        <v>440</v>
      </c>
      <c r="E1851" s="202" t="s">
        <v>638</v>
      </c>
      <c r="F1851" s="202" t="s">
        <v>652</v>
      </c>
      <c r="G1851" s="202" t="s">
        <v>688</v>
      </c>
    </row>
    <row r="1852" spans="1:7" hidden="1">
      <c r="A1852" s="202" t="s">
        <v>1096</v>
      </c>
      <c r="B1852" s="203">
        <v>10000</v>
      </c>
      <c r="C1852" s="203">
        <v>0</v>
      </c>
      <c r="D1852" s="202" t="s">
        <v>442</v>
      </c>
      <c r="E1852" s="202" t="s">
        <v>638</v>
      </c>
      <c r="F1852" s="202" t="s">
        <v>396</v>
      </c>
      <c r="G1852" s="202" t="s">
        <v>688</v>
      </c>
    </row>
    <row r="1853" spans="1:7" hidden="1">
      <c r="A1853" s="202" t="s">
        <v>1097</v>
      </c>
      <c r="B1853" s="203">
        <v>7300</v>
      </c>
      <c r="C1853" s="203">
        <v>0</v>
      </c>
      <c r="D1853" s="202" t="s">
        <v>442</v>
      </c>
      <c r="E1853" s="202" t="s">
        <v>638</v>
      </c>
      <c r="F1853" s="202" t="s">
        <v>396</v>
      </c>
      <c r="G1853" s="202" t="s">
        <v>688</v>
      </c>
    </row>
    <row r="1854" spans="1:7" hidden="1">
      <c r="A1854" s="202" t="s">
        <v>1098</v>
      </c>
      <c r="B1854" s="203">
        <v>18900</v>
      </c>
      <c r="C1854" s="203">
        <v>0</v>
      </c>
      <c r="D1854" s="202" t="s">
        <v>442</v>
      </c>
      <c r="E1854" s="202" t="s">
        <v>638</v>
      </c>
      <c r="F1854" s="202" t="s">
        <v>396</v>
      </c>
      <c r="G1854" s="202" t="s">
        <v>688</v>
      </c>
    </row>
    <row r="1855" spans="1:7" hidden="1">
      <c r="A1855" s="202" t="s">
        <v>1099</v>
      </c>
      <c r="B1855" s="203">
        <v>8100</v>
      </c>
      <c r="C1855" s="203">
        <v>0</v>
      </c>
      <c r="D1855" s="202" t="s">
        <v>442</v>
      </c>
      <c r="E1855" s="202" t="s">
        <v>638</v>
      </c>
      <c r="F1855" s="202" t="s">
        <v>396</v>
      </c>
      <c r="G1855" s="202" t="s">
        <v>688</v>
      </c>
    </row>
    <row r="1856" spans="1:7" hidden="1">
      <c r="A1856" s="202" t="s">
        <v>1100</v>
      </c>
      <c r="B1856" s="203">
        <v>17900</v>
      </c>
      <c r="C1856" s="203">
        <v>0</v>
      </c>
      <c r="D1856" s="202" t="s">
        <v>474</v>
      </c>
      <c r="E1856" s="202" t="s">
        <v>638</v>
      </c>
      <c r="F1856" s="202" t="s">
        <v>396</v>
      </c>
      <c r="G1856" s="202" t="s">
        <v>688</v>
      </c>
    </row>
    <row r="1857" spans="1:7" hidden="1">
      <c r="A1857" s="202" t="s">
        <v>1101</v>
      </c>
      <c r="B1857" s="203">
        <v>66600</v>
      </c>
      <c r="C1857" s="203">
        <v>0</v>
      </c>
      <c r="D1857" s="202" t="s">
        <v>442</v>
      </c>
      <c r="E1857" s="202" t="s">
        <v>638</v>
      </c>
      <c r="F1857" s="202" t="s">
        <v>396</v>
      </c>
      <c r="G1857" s="202" t="s">
        <v>688</v>
      </c>
    </row>
    <row r="1858" spans="1:7" hidden="1">
      <c r="A1858" s="202" t="s">
        <v>1102</v>
      </c>
      <c r="B1858" s="203">
        <v>-16800</v>
      </c>
      <c r="C1858" s="203">
        <v>0</v>
      </c>
      <c r="D1858" s="202" t="s">
        <v>440</v>
      </c>
      <c r="E1858" s="202" t="s">
        <v>638</v>
      </c>
      <c r="F1858" s="202" t="s">
        <v>409</v>
      </c>
      <c r="G1858" s="202" t="s">
        <v>688</v>
      </c>
    </row>
    <row r="1859" spans="1:7" hidden="1">
      <c r="A1859" s="202" t="s">
        <v>1103</v>
      </c>
      <c r="B1859" s="203">
        <v>8400</v>
      </c>
      <c r="C1859" s="203">
        <v>0</v>
      </c>
      <c r="D1859" s="202" t="s">
        <v>442</v>
      </c>
      <c r="E1859" s="202" t="s">
        <v>638</v>
      </c>
      <c r="F1859" s="202" t="s">
        <v>396</v>
      </c>
      <c r="G1859" s="202" t="s">
        <v>688</v>
      </c>
    </row>
    <row r="1860" spans="1:7" hidden="1">
      <c r="A1860" s="202" t="s">
        <v>1104</v>
      </c>
      <c r="B1860" s="203">
        <v>35200</v>
      </c>
      <c r="C1860" s="203">
        <v>0</v>
      </c>
      <c r="D1860" s="202" t="s">
        <v>440</v>
      </c>
      <c r="E1860" s="202" t="s">
        <v>638</v>
      </c>
      <c r="F1860" s="202" t="s">
        <v>652</v>
      </c>
      <c r="G1860" s="202" t="s">
        <v>688</v>
      </c>
    </row>
    <row r="1861" spans="1:7" hidden="1">
      <c r="A1861" s="202" t="s">
        <v>1105</v>
      </c>
      <c r="B1861" s="203">
        <v>9160</v>
      </c>
      <c r="C1861" s="203">
        <v>0</v>
      </c>
      <c r="D1861" s="202" t="s">
        <v>442</v>
      </c>
      <c r="E1861" s="202" t="s">
        <v>638</v>
      </c>
      <c r="F1861" s="202" t="s">
        <v>396</v>
      </c>
      <c r="G1861" s="202" t="s">
        <v>688</v>
      </c>
    </row>
    <row r="1862" spans="1:7" hidden="1">
      <c r="A1862" s="202" t="s">
        <v>1106</v>
      </c>
      <c r="B1862" s="203">
        <v>75800</v>
      </c>
      <c r="C1862" s="203">
        <v>0</v>
      </c>
      <c r="D1862" s="202" t="s">
        <v>442</v>
      </c>
      <c r="E1862" s="202" t="s">
        <v>638</v>
      </c>
      <c r="F1862" s="202" t="s">
        <v>396</v>
      </c>
      <c r="G1862" s="202" t="s">
        <v>688</v>
      </c>
    </row>
    <row r="1863" spans="1:7" hidden="1">
      <c r="A1863" s="202" t="s">
        <v>1107</v>
      </c>
      <c r="B1863" s="203">
        <v>17900</v>
      </c>
      <c r="C1863" s="203">
        <v>0</v>
      </c>
      <c r="D1863" s="202" t="s">
        <v>440</v>
      </c>
      <c r="E1863" s="202" t="s">
        <v>638</v>
      </c>
      <c r="F1863" s="202" t="s">
        <v>652</v>
      </c>
      <c r="G1863" s="202" t="s">
        <v>688</v>
      </c>
    </row>
    <row r="1864" spans="1:7" hidden="1">
      <c r="A1864" s="202" t="s">
        <v>637</v>
      </c>
      <c r="B1864" s="203">
        <v>-111794</v>
      </c>
      <c r="C1864" s="203">
        <v>0</v>
      </c>
      <c r="D1864" s="202" t="s">
        <v>440</v>
      </c>
      <c r="E1864" s="202" t="s">
        <v>638</v>
      </c>
      <c r="F1864" s="202" t="s">
        <v>393</v>
      </c>
      <c r="G1864" s="202" t="s">
        <v>688</v>
      </c>
    </row>
    <row r="1865" spans="1:7" hidden="1">
      <c r="A1865" s="202" t="s">
        <v>376</v>
      </c>
      <c r="B1865" s="203">
        <v>560</v>
      </c>
      <c r="C1865" s="203">
        <v>0</v>
      </c>
      <c r="D1865" s="202" t="s">
        <v>283</v>
      </c>
      <c r="E1865" s="202" t="s">
        <v>639</v>
      </c>
      <c r="F1865" s="202" t="s">
        <v>393</v>
      </c>
      <c r="G1865" s="202" t="s">
        <v>688</v>
      </c>
    </row>
    <row r="1866" spans="1:7">
      <c r="A1866" s="202" t="s">
        <v>376</v>
      </c>
      <c r="B1866" s="203">
        <v>560</v>
      </c>
      <c r="C1866" s="203">
        <v>0</v>
      </c>
      <c r="D1866" s="202" t="s">
        <v>282</v>
      </c>
      <c r="E1866" s="202" t="s">
        <v>639</v>
      </c>
      <c r="F1866" s="202" t="s">
        <v>393</v>
      </c>
      <c r="G1866" s="202" t="s">
        <v>688</v>
      </c>
    </row>
    <row r="1867" spans="1:7" hidden="1">
      <c r="A1867" s="202" t="s">
        <v>640</v>
      </c>
      <c r="B1867" s="203">
        <v>187</v>
      </c>
      <c r="C1867" s="203">
        <v>0</v>
      </c>
      <c r="D1867" s="202" t="s">
        <v>442</v>
      </c>
      <c r="E1867" s="202" t="s">
        <v>639</v>
      </c>
      <c r="F1867" s="202" t="s">
        <v>393</v>
      </c>
      <c r="G1867" s="202" t="s">
        <v>688</v>
      </c>
    </row>
    <row r="1868" spans="1:7" hidden="1">
      <c r="A1868" s="202" t="s">
        <v>641</v>
      </c>
      <c r="B1868" s="203">
        <v>-143</v>
      </c>
      <c r="C1868" s="203">
        <v>0</v>
      </c>
      <c r="D1868" s="202" t="s">
        <v>442</v>
      </c>
      <c r="E1868" s="202" t="s">
        <v>639</v>
      </c>
      <c r="F1868" s="202" t="s">
        <v>393</v>
      </c>
      <c r="G1868" s="202" t="s">
        <v>688</v>
      </c>
    </row>
    <row r="1869" spans="1:7" hidden="1">
      <c r="A1869" s="202" t="s">
        <v>642</v>
      </c>
      <c r="B1869" s="203">
        <v>-127</v>
      </c>
      <c r="C1869" s="203">
        <v>0</v>
      </c>
      <c r="D1869" s="202" t="s">
        <v>442</v>
      </c>
      <c r="E1869" s="202" t="s">
        <v>639</v>
      </c>
      <c r="F1869" s="202" t="s">
        <v>393</v>
      </c>
      <c r="G1869" s="202" t="s">
        <v>688</v>
      </c>
    </row>
    <row r="1870" spans="1:7" hidden="1">
      <c r="A1870" s="202" t="s">
        <v>643</v>
      </c>
      <c r="B1870" s="203">
        <v>-2186</v>
      </c>
      <c r="C1870" s="203">
        <v>0</v>
      </c>
      <c r="D1870" s="202" t="s">
        <v>440</v>
      </c>
      <c r="E1870" s="202" t="s">
        <v>639</v>
      </c>
      <c r="F1870" s="202" t="s">
        <v>393</v>
      </c>
      <c r="G1870" s="202" t="s">
        <v>688</v>
      </c>
    </row>
    <row r="1871" spans="1:7" hidden="1">
      <c r="A1871" s="202" t="s">
        <v>377</v>
      </c>
      <c r="B1871" s="203">
        <v>110</v>
      </c>
      <c r="C1871" s="203">
        <v>0</v>
      </c>
      <c r="D1871" s="202" t="s">
        <v>283</v>
      </c>
      <c r="E1871" s="202" t="s">
        <v>639</v>
      </c>
      <c r="F1871" s="202" t="s">
        <v>393</v>
      </c>
      <c r="G1871" s="202" t="s">
        <v>688</v>
      </c>
    </row>
    <row r="1872" spans="1:7">
      <c r="A1872" s="202" t="s">
        <v>377</v>
      </c>
      <c r="B1872" s="203">
        <v>110</v>
      </c>
      <c r="C1872" s="203">
        <v>0</v>
      </c>
      <c r="D1872" s="202" t="s">
        <v>282</v>
      </c>
      <c r="E1872" s="202" t="s">
        <v>639</v>
      </c>
      <c r="F1872" s="202" t="s">
        <v>393</v>
      </c>
      <c r="G1872" s="202" t="s">
        <v>688</v>
      </c>
    </row>
    <row r="1873" spans="1:7" hidden="1">
      <c r="A1873" s="202" t="s">
        <v>379</v>
      </c>
      <c r="B1873" s="203">
        <v>439</v>
      </c>
      <c r="C1873" s="203">
        <v>0</v>
      </c>
      <c r="D1873" s="202" t="s">
        <v>283</v>
      </c>
      <c r="E1873" s="202" t="s">
        <v>639</v>
      </c>
      <c r="F1873" s="202" t="s">
        <v>393</v>
      </c>
      <c r="G1873" s="202" t="s">
        <v>688</v>
      </c>
    </row>
    <row r="1874" spans="1:7">
      <c r="A1874" s="202" t="s">
        <v>379</v>
      </c>
      <c r="B1874" s="203">
        <v>439</v>
      </c>
      <c r="C1874" s="203">
        <v>0</v>
      </c>
      <c r="D1874" s="202" t="s">
        <v>282</v>
      </c>
      <c r="E1874" s="202" t="s">
        <v>639</v>
      </c>
      <c r="F1874" s="202" t="s">
        <v>393</v>
      </c>
      <c r="G1874" s="202" t="s">
        <v>688</v>
      </c>
    </row>
    <row r="1875" spans="1:7" hidden="1">
      <c r="A1875" s="202" t="s">
        <v>380</v>
      </c>
      <c r="B1875" s="203">
        <v>450</v>
      </c>
      <c r="C1875" s="203">
        <v>0</v>
      </c>
      <c r="D1875" s="202" t="s">
        <v>283</v>
      </c>
      <c r="E1875" s="202" t="s">
        <v>639</v>
      </c>
      <c r="F1875" s="202" t="s">
        <v>393</v>
      </c>
      <c r="G1875" s="202" t="s">
        <v>688</v>
      </c>
    </row>
    <row r="1876" spans="1:7">
      <c r="A1876" s="202" t="s">
        <v>380</v>
      </c>
      <c r="B1876" s="203">
        <v>450</v>
      </c>
      <c r="C1876" s="203">
        <v>0</v>
      </c>
      <c r="D1876" s="202" t="s">
        <v>282</v>
      </c>
      <c r="E1876" s="202" t="s">
        <v>639</v>
      </c>
      <c r="F1876" s="202" t="s">
        <v>393</v>
      </c>
      <c r="G1876" s="202" t="s">
        <v>688</v>
      </c>
    </row>
    <row r="1877" spans="1:7" hidden="1">
      <c r="A1877" s="202" t="s">
        <v>1108</v>
      </c>
      <c r="B1877" s="203">
        <v>264800</v>
      </c>
      <c r="C1877" s="203">
        <v>0</v>
      </c>
      <c r="D1877" s="202" t="s">
        <v>440</v>
      </c>
      <c r="E1877" s="202" t="s">
        <v>638</v>
      </c>
      <c r="F1877" s="202" t="s">
        <v>652</v>
      </c>
      <c r="G1877" s="202" t="s">
        <v>688</v>
      </c>
    </row>
    <row r="1878" spans="1:7" hidden="1">
      <c r="A1878" s="202" t="s">
        <v>1109</v>
      </c>
      <c r="B1878" s="203">
        <v>28000</v>
      </c>
      <c r="C1878" s="203">
        <v>0</v>
      </c>
      <c r="D1878" s="202" t="s">
        <v>442</v>
      </c>
      <c r="E1878" s="202" t="s">
        <v>638</v>
      </c>
      <c r="F1878" s="202" t="s">
        <v>396</v>
      </c>
      <c r="G1878" s="202" t="s">
        <v>688</v>
      </c>
    </row>
    <row r="1879" spans="1:7" hidden="1">
      <c r="A1879" s="202" t="s">
        <v>1110</v>
      </c>
      <c r="B1879" s="203">
        <v>167000</v>
      </c>
      <c r="C1879" s="203">
        <v>0</v>
      </c>
      <c r="D1879" s="202" t="s">
        <v>440</v>
      </c>
      <c r="E1879" s="202" t="s">
        <v>638</v>
      </c>
      <c r="F1879" s="202" t="s">
        <v>652</v>
      </c>
      <c r="G1879" s="202" t="s">
        <v>688</v>
      </c>
    </row>
    <row r="1880" spans="1:7" hidden="1">
      <c r="A1880" s="202" t="s">
        <v>1111</v>
      </c>
      <c r="B1880" s="203">
        <v>44000</v>
      </c>
      <c r="C1880" s="203">
        <v>0</v>
      </c>
      <c r="D1880" s="202" t="s">
        <v>442</v>
      </c>
      <c r="E1880" s="202" t="s">
        <v>638</v>
      </c>
      <c r="F1880" s="202" t="s">
        <v>396</v>
      </c>
      <c r="G1880" s="202" t="s">
        <v>688</v>
      </c>
    </row>
    <row r="1881" spans="1:7" hidden="1">
      <c r="A1881" s="202" t="s">
        <v>1112</v>
      </c>
      <c r="B1881" s="203">
        <v>61900</v>
      </c>
      <c r="C1881" s="203">
        <v>0</v>
      </c>
      <c r="D1881" s="202" t="s">
        <v>442</v>
      </c>
      <c r="E1881" s="202" t="s">
        <v>638</v>
      </c>
      <c r="F1881" s="202" t="s">
        <v>396</v>
      </c>
      <c r="G1881" s="202" t="s">
        <v>688</v>
      </c>
    </row>
    <row r="1882" spans="1:7" hidden="1">
      <c r="A1882" s="202" t="s">
        <v>1113</v>
      </c>
      <c r="B1882" s="203">
        <v>54900</v>
      </c>
      <c r="C1882" s="203">
        <v>0</v>
      </c>
      <c r="D1882" s="202" t="s">
        <v>442</v>
      </c>
      <c r="E1882" s="202" t="s">
        <v>638</v>
      </c>
      <c r="F1882" s="202" t="s">
        <v>396</v>
      </c>
      <c r="G1882" s="202" t="s">
        <v>688</v>
      </c>
    </row>
    <row r="1883" spans="1:7" hidden="1">
      <c r="A1883" s="202" t="s">
        <v>1114</v>
      </c>
      <c r="B1883" s="203">
        <v>27700</v>
      </c>
      <c r="C1883" s="203">
        <v>0</v>
      </c>
      <c r="D1883" s="202" t="s">
        <v>442</v>
      </c>
      <c r="E1883" s="202" t="s">
        <v>638</v>
      </c>
      <c r="F1883" s="202" t="s">
        <v>396</v>
      </c>
      <c r="G1883" s="202" t="s">
        <v>688</v>
      </c>
    </row>
    <row r="1884" spans="1:7" hidden="1">
      <c r="A1884" s="202" t="s">
        <v>1115</v>
      </c>
      <c r="B1884" s="203">
        <v>102600</v>
      </c>
      <c r="C1884" s="203">
        <v>0</v>
      </c>
      <c r="D1884" s="202" t="s">
        <v>440</v>
      </c>
      <c r="E1884" s="202" t="s">
        <v>638</v>
      </c>
      <c r="F1884" s="202" t="s">
        <v>652</v>
      </c>
      <c r="G1884" s="202" t="s">
        <v>688</v>
      </c>
    </row>
    <row r="1885" spans="1:7" hidden="1">
      <c r="A1885" s="202" t="s">
        <v>1116</v>
      </c>
      <c r="B1885" s="203">
        <v>43000</v>
      </c>
      <c r="C1885" s="203">
        <v>0</v>
      </c>
      <c r="D1885" s="202" t="s">
        <v>442</v>
      </c>
      <c r="E1885" s="202" t="s">
        <v>638</v>
      </c>
      <c r="F1885" s="202" t="s">
        <v>396</v>
      </c>
      <c r="G1885" s="202" t="s">
        <v>688</v>
      </c>
    </row>
    <row r="1886" spans="1:7" hidden="1">
      <c r="A1886" s="202" t="s">
        <v>1117</v>
      </c>
      <c r="B1886" s="203">
        <v>55200</v>
      </c>
      <c r="C1886" s="203">
        <v>0</v>
      </c>
      <c r="D1886" s="202" t="s">
        <v>440</v>
      </c>
      <c r="E1886" s="202" t="s">
        <v>638</v>
      </c>
      <c r="F1886" s="202" t="s">
        <v>652</v>
      </c>
      <c r="G1886" s="202" t="s">
        <v>688</v>
      </c>
    </row>
    <row r="1887" spans="1:7" hidden="1">
      <c r="A1887" s="202" t="s">
        <v>1118</v>
      </c>
      <c r="B1887" s="203">
        <v>19200</v>
      </c>
      <c r="C1887" s="203">
        <v>0</v>
      </c>
      <c r="D1887" s="202" t="s">
        <v>442</v>
      </c>
      <c r="E1887" s="202" t="s">
        <v>638</v>
      </c>
      <c r="F1887" s="202" t="s">
        <v>396</v>
      </c>
      <c r="G1887" s="202" t="s">
        <v>688</v>
      </c>
    </row>
    <row r="1888" spans="1:7" hidden="1">
      <c r="A1888" s="202" t="s">
        <v>1119</v>
      </c>
      <c r="B1888" s="203">
        <v>37400</v>
      </c>
      <c r="C1888" s="203">
        <v>0</v>
      </c>
      <c r="D1888" s="202" t="s">
        <v>440</v>
      </c>
      <c r="E1888" s="202" t="s">
        <v>638</v>
      </c>
      <c r="F1888" s="202" t="s">
        <v>652</v>
      </c>
      <c r="G1888" s="202" t="s">
        <v>688</v>
      </c>
    </row>
    <row r="1889" spans="1:7" hidden="1">
      <c r="A1889" s="202" t="s">
        <v>1120</v>
      </c>
      <c r="B1889" s="203">
        <v>9400</v>
      </c>
      <c r="C1889" s="203">
        <v>0</v>
      </c>
      <c r="D1889" s="202" t="s">
        <v>440</v>
      </c>
      <c r="E1889" s="202" t="s">
        <v>638</v>
      </c>
      <c r="F1889" s="202" t="s">
        <v>652</v>
      </c>
      <c r="G1889" s="202" t="s">
        <v>688</v>
      </c>
    </row>
    <row r="1890" spans="1:7" hidden="1">
      <c r="A1890" s="202" t="s">
        <v>1121</v>
      </c>
      <c r="B1890" s="203">
        <v>17700</v>
      </c>
      <c r="C1890" s="203">
        <v>0</v>
      </c>
      <c r="D1890" s="202" t="s">
        <v>440</v>
      </c>
      <c r="E1890" s="202" t="s">
        <v>638</v>
      </c>
      <c r="F1890" s="202" t="s">
        <v>652</v>
      </c>
      <c r="G1890" s="202" t="s">
        <v>688</v>
      </c>
    </row>
    <row r="1891" spans="1:7" hidden="1">
      <c r="A1891" s="202" t="s">
        <v>1122</v>
      </c>
      <c r="B1891" s="203">
        <v>30100</v>
      </c>
      <c r="C1891" s="203">
        <v>0</v>
      </c>
      <c r="D1891" s="202" t="s">
        <v>440</v>
      </c>
      <c r="E1891" s="202" t="s">
        <v>638</v>
      </c>
      <c r="F1891" s="202" t="s">
        <v>652</v>
      </c>
      <c r="G1891" s="202" t="s">
        <v>688</v>
      </c>
    </row>
    <row r="1892" spans="1:7" hidden="1">
      <c r="A1892" s="202" t="s">
        <v>1123</v>
      </c>
      <c r="B1892" s="203">
        <v>29300</v>
      </c>
      <c r="C1892" s="203">
        <v>0</v>
      </c>
      <c r="D1892" s="202" t="s">
        <v>440</v>
      </c>
      <c r="E1892" s="202" t="s">
        <v>638</v>
      </c>
      <c r="F1892" s="202" t="s">
        <v>652</v>
      </c>
      <c r="G1892" s="202" t="s">
        <v>688</v>
      </c>
    </row>
    <row r="1893" spans="1:7" hidden="1">
      <c r="A1893" s="202" t="s">
        <v>1124</v>
      </c>
      <c r="B1893" s="203">
        <v>-2600</v>
      </c>
      <c r="C1893" s="203">
        <v>0</v>
      </c>
      <c r="D1893" s="202" t="s">
        <v>442</v>
      </c>
      <c r="E1893" s="202" t="s">
        <v>638</v>
      </c>
      <c r="F1893" s="202" t="s">
        <v>396</v>
      </c>
      <c r="G1893" s="202" t="s">
        <v>688</v>
      </c>
    </row>
    <row r="1894" spans="1:7" hidden="1">
      <c r="A1894" s="202" t="s">
        <v>1125</v>
      </c>
      <c r="B1894" s="203">
        <v>16700</v>
      </c>
      <c r="C1894" s="203">
        <v>0</v>
      </c>
      <c r="D1894" s="202" t="s">
        <v>440</v>
      </c>
      <c r="E1894" s="202" t="s">
        <v>638</v>
      </c>
      <c r="F1894" s="202" t="s">
        <v>652</v>
      </c>
      <c r="G1894" s="202" t="s">
        <v>688</v>
      </c>
    </row>
    <row r="1895" spans="1:7" hidden="1">
      <c r="A1895" s="202" t="s">
        <v>1126</v>
      </c>
      <c r="B1895" s="203">
        <v>44000</v>
      </c>
      <c r="C1895" s="203">
        <v>0</v>
      </c>
      <c r="D1895" s="202" t="s">
        <v>440</v>
      </c>
      <c r="E1895" s="202" t="s">
        <v>638</v>
      </c>
      <c r="F1895" s="202" t="s">
        <v>652</v>
      </c>
      <c r="G1895" s="202" t="s">
        <v>688</v>
      </c>
    </row>
    <row r="1896" spans="1:7" hidden="1">
      <c r="A1896" s="202" t="s">
        <v>1127</v>
      </c>
      <c r="B1896" s="203">
        <v>57400</v>
      </c>
      <c r="C1896" s="203">
        <v>0</v>
      </c>
      <c r="D1896" s="202" t="s">
        <v>440</v>
      </c>
      <c r="E1896" s="202" t="s">
        <v>638</v>
      </c>
      <c r="F1896" s="202" t="s">
        <v>652</v>
      </c>
      <c r="G1896" s="202" t="s">
        <v>688</v>
      </c>
    </row>
    <row r="1897" spans="1:7" hidden="1">
      <c r="A1897" s="202" t="s">
        <v>1128</v>
      </c>
      <c r="B1897" s="203">
        <v>9200</v>
      </c>
      <c r="C1897" s="203">
        <v>0</v>
      </c>
      <c r="D1897" s="202" t="s">
        <v>440</v>
      </c>
      <c r="E1897" s="202" t="s">
        <v>638</v>
      </c>
      <c r="F1897" s="202" t="s">
        <v>652</v>
      </c>
      <c r="G1897" s="202" t="s">
        <v>688</v>
      </c>
    </row>
    <row r="1898" spans="1:7" hidden="1">
      <c r="A1898" s="202" t="s">
        <v>1129</v>
      </c>
      <c r="B1898" s="203">
        <v>16400</v>
      </c>
      <c r="C1898" s="203">
        <v>0</v>
      </c>
      <c r="D1898" s="202" t="s">
        <v>440</v>
      </c>
      <c r="E1898" s="202" t="s">
        <v>638</v>
      </c>
      <c r="F1898" s="202" t="s">
        <v>652</v>
      </c>
      <c r="G1898" s="202" t="s">
        <v>688</v>
      </c>
    </row>
    <row r="1899" spans="1:7" hidden="1">
      <c r="A1899" s="202" t="s">
        <v>1130</v>
      </c>
      <c r="B1899" s="203">
        <v>16300</v>
      </c>
      <c r="C1899" s="203">
        <v>0</v>
      </c>
      <c r="D1899" s="202" t="s">
        <v>440</v>
      </c>
      <c r="E1899" s="202" t="s">
        <v>638</v>
      </c>
      <c r="F1899" s="202" t="s">
        <v>652</v>
      </c>
      <c r="G1899" s="202" t="s">
        <v>688</v>
      </c>
    </row>
    <row r="1900" spans="1:7" hidden="1">
      <c r="A1900" s="202" t="s">
        <v>1131</v>
      </c>
      <c r="B1900" s="203">
        <v>33500</v>
      </c>
      <c r="C1900" s="203">
        <v>0</v>
      </c>
      <c r="D1900" s="202" t="s">
        <v>440</v>
      </c>
      <c r="E1900" s="202" t="s">
        <v>638</v>
      </c>
      <c r="F1900" s="202" t="s">
        <v>652</v>
      </c>
      <c r="G1900" s="202" t="s">
        <v>688</v>
      </c>
    </row>
    <row r="1901" spans="1:7" hidden="1">
      <c r="A1901" s="202" t="s">
        <v>1132</v>
      </c>
      <c r="B1901" s="203">
        <v>25300</v>
      </c>
      <c r="C1901" s="203">
        <v>0</v>
      </c>
      <c r="D1901" s="202" t="s">
        <v>440</v>
      </c>
      <c r="E1901" s="202" t="s">
        <v>638</v>
      </c>
      <c r="F1901" s="202" t="s">
        <v>652</v>
      </c>
      <c r="G1901" s="202" t="s">
        <v>688</v>
      </c>
    </row>
    <row r="1902" spans="1:7" hidden="1">
      <c r="A1902" s="202" t="s">
        <v>1133</v>
      </c>
      <c r="B1902" s="203">
        <v>15600</v>
      </c>
      <c r="C1902" s="203">
        <v>0</v>
      </c>
      <c r="D1902" s="202" t="s">
        <v>440</v>
      </c>
      <c r="E1902" s="202" t="s">
        <v>638</v>
      </c>
      <c r="F1902" s="202" t="s">
        <v>652</v>
      </c>
      <c r="G1902" s="202" t="s">
        <v>688</v>
      </c>
    </row>
    <row r="1903" spans="1:7" hidden="1">
      <c r="A1903" s="202" t="s">
        <v>1134</v>
      </c>
      <c r="B1903" s="203">
        <v>7100</v>
      </c>
      <c r="C1903" s="203">
        <v>0</v>
      </c>
      <c r="D1903" s="202" t="s">
        <v>440</v>
      </c>
      <c r="E1903" s="202" t="s">
        <v>638</v>
      </c>
      <c r="F1903" s="202" t="s">
        <v>409</v>
      </c>
      <c r="G1903" s="202" t="s">
        <v>688</v>
      </c>
    </row>
    <row r="1904" spans="1:7" hidden="1">
      <c r="A1904" s="202" t="s">
        <v>1135</v>
      </c>
      <c r="B1904" s="203">
        <v>15000</v>
      </c>
      <c r="C1904" s="203">
        <v>0</v>
      </c>
      <c r="D1904" s="202" t="s">
        <v>440</v>
      </c>
      <c r="E1904" s="202" t="s">
        <v>638</v>
      </c>
      <c r="F1904" s="202" t="s">
        <v>652</v>
      </c>
      <c r="G1904" s="202" t="s">
        <v>688</v>
      </c>
    </row>
    <row r="1905" spans="1:7" hidden="1">
      <c r="A1905" s="202" t="s">
        <v>1136</v>
      </c>
      <c r="B1905" s="203">
        <v>20400</v>
      </c>
      <c r="C1905" s="203">
        <v>0</v>
      </c>
      <c r="D1905" s="202" t="s">
        <v>440</v>
      </c>
      <c r="E1905" s="202" t="s">
        <v>638</v>
      </c>
      <c r="F1905" s="202" t="s">
        <v>409</v>
      </c>
      <c r="G1905" s="202" t="s">
        <v>688</v>
      </c>
    </row>
    <row r="1906" spans="1:7" hidden="1">
      <c r="A1906" s="202" t="s">
        <v>1137</v>
      </c>
      <c r="B1906" s="203">
        <v>53900</v>
      </c>
      <c r="C1906" s="203">
        <v>0</v>
      </c>
      <c r="D1906" s="202" t="s">
        <v>440</v>
      </c>
      <c r="E1906" s="202" t="s">
        <v>638</v>
      </c>
      <c r="F1906" s="202" t="s">
        <v>652</v>
      </c>
      <c r="G1906" s="202" t="s">
        <v>688</v>
      </c>
    </row>
    <row r="1907" spans="1:7" hidden="1">
      <c r="A1907" s="202" t="s">
        <v>1138</v>
      </c>
      <c r="B1907" s="203">
        <v>55000</v>
      </c>
      <c r="C1907" s="203">
        <v>0</v>
      </c>
      <c r="D1907" s="202" t="s">
        <v>440</v>
      </c>
      <c r="E1907" s="202" t="s">
        <v>638</v>
      </c>
      <c r="F1907" s="202" t="s">
        <v>652</v>
      </c>
      <c r="G1907" s="202" t="s">
        <v>688</v>
      </c>
    </row>
    <row r="1908" spans="1:7" hidden="1">
      <c r="A1908" s="202" t="s">
        <v>1139</v>
      </c>
      <c r="B1908" s="203">
        <v>900</v>
      </c>
      <c r="C1908" s="203">
        <v>0</v>
      </c>
      <c r="D1908" s="202" t="s">
        <v>440</v>
      </c>
      <c r="E1908" s="202" t="s">
        <v>638</v>
      </c>
      <c r="F1908" s="202" t="s">
        <v>652</v>
      </c>
      <c r="G1908" s="202" t="s">
        <v>688</v>
      </c>
    </row>
    <row r="1909" spans="1:7" hidden="1">
      <c r="A1909" s="202" t="s">
        <v>1140</v>
      </c>
      <c r="B1909" s="203">
        <v>2090</v>
      </c>
      <c r="C1909" s="203">
        <v>0</v>
      </c>
      <c r="D1909" s="202" t="s">
        <v>442</v>
      </c>
      <c r="E1909" s="202" t="s">
        <v>638</v>
      </c>
      <c r="F1909" s="202" t="s">
        <v>396</v>
      </c>
      <c r="G1909" s="202" t="s">
        <v>688</v>
      </c>
    </row>
    <row r="1910" spans="1:7" hidden="1">
      <c r="A1910" s="202" t="s">
        <v>1141</v>
      </c>
      <c r="B1910" s="203">
        <v>4364</v>
      </c>
      <c r="C1910" s="203">
        <v>0</v>
      </c>
      <c r="D1910" s="202" t="s">
        <v>442</v>
      </c>
      <c r="E1910" s="202" t="s">
        <v>638</v>
      </c>
      <c r="F1910" s="202" t="s">
        <v>396</v>
      </c>
      <c r="G1910" s="202" t="s">
        <v>688</v>
      </c>
    </row>
    <row r="1911" spans="1:7" hidden="1">
      <c r="A1911" s="202" t="s">
        <v>1142</v>
      </c>
      <c r="B1911" s="203">
        <v>31800</v>
      </c>
      <c r="C1911" s="203">
        <v>0</v>
      </c>
      <c r="D1911" s="202" t="s">
        <v>440</v>
      </c>
      <c r="E1911" s="202" t="s">
        <v>638</v>
      </c>
      <c r="F1911" s="202" t="s">
        <v>652</v>
      </c>
      <c r="G1911" s="202" t="s">
        <v>688</v>
      </c>
    </row>
    <row r="1912" spans="1:7" hidden="1">
      <c r="A1912" s="202" t="s">
        <v>1143</v>
      </c>
      <c r="B1912" s="203">
        <v>2100</v>
      </c>
      <c r="C1912" s="203">
        <v>0</v>
      </c>
      <c r="D1912" s="202" t="s">
        <v>442</v>
      </c>
      <c r="E1912" s="202" t="s">
        <v>638</v>
      </c>
      <c r="F1912" s="202" t="s">
        <v>396</v>
      </c>
      <c r="G1912" s="202" t="s">
        <v>688</v>
      </c>
    </row>
    <row r="1913" spans="1:7" hidden="1">
      <c r="A1913" s="202" t="s">
        <v>1144</v>
      </c>
      <c r="B1913" s="203">
        <v>17500</v>
      </c>
      <c r="C1913" s="203">
        <v>0</v>
      </c>
      <c r="D1913" s="202" t="s">
        <v>440</v>
      </c>
      <c r="E1913" s="202" t="s">
        <v>638</v>
      </c>
      <c r="F1913" s="202" t="s">
        <v>652</v>
      </c>
      <c r="G1913" s="202" t="s">
        <v>688</v>
      </c>
    </row>
    <row r="1914" spans="1:7" hidden="1">
      <c r="A1914" s="202" t="s">
        <v>1145</v>
      </c>
      <c r="B1914" s="203">
        <v>2000</v>
      </c>
      <c r="C1914" s="203">
        <v>0</v>
      </c>
      <c r="D1914" s="202" t="s">
        <v>442</v>
      </c>
      <c r="E1914" s="202" t="s">
        <v>638</v>
      </c>
      <c r="F1914" s="202" t="s">
        <v>396</v>
      </c>
      <c r="G1914" s="202" t="s">
        <v>688</v>
      </c>
    </row>
    <row r="1915" spans="1:7" hidden="1">
      <c r="A1915" s="202" t="s">
        <v>1146</v>
      </c>
      <c r="B1915" s="203">
        <v>10500</v>
      </c>
      <c r="C1915" s="203">
        <v>0</v>
      </c>
      <c r="D1915" s="202" t="s">
        <v>440</v>
      </c>
      <c r="E1915" s="202" t="s">
        <v>638</v>
      </c>
      <c r="F1915" s="202" t="s">
        <v>652</v>
      </c>
      <c r="G1915" s="202" t="s">
        <v>688</v>
      </c>
    </row>
    <row r="1916" spans="1:7" hidden="1">
      <c r="A1916" s="202" t="s">
        <v>1147</v>
      </c>
      <c r="B1916" s="203">
        <v>10000</v>
      </c>
      <c r="C1916" s="203">
        <v>0</v>
      </c>
      <c r="D1916" s="202" t="s">
        <v>440</v>
      </c>
      <c r="E1916" s="202" t="s">
        <v>638</v>
      </c>
      <c r="F1916" s="202" t="s">
        <v>652</v>
      </c>
      <c r="G1916" s="202" t="s">
        <v>688</v>
      </c>
    </row>
    <row r="1917" spans="1:7" hidden="1">
      <c r="A1917" s="202" t="s">
        <v>1148</v>
      </c>
      <c r="B1917" s="203">
        <v>3400</v>
      </c>
      <c r="C1917" s="203">
        <v>0</v>
      </c>
      <c r="D1917" s="202" t="s">
        <v>442</v>
      </c>
      <c r="E1917" s="202" t="s">
        <v>638</v>
      </c>
      <c r="F1917" s="202" t="s">
        <v>396</v>
      </c>
      <c r="G1917" s="202" t="s">
        <v>688</v>
      </c>
    </row>
    <row r="1918" spans="1:7" hidden="1">
      <c r="A1918" s="202" t="s">
        <v>1149</v>
      </c>
      <c r="B1918" s="203">
        <v>10000</v>
      </c>
      <c r="C1918" s="203">
        <v>0</v>
      </c>
      <c r="D1918" s="202" t="s">
        <v>440</v>
      </c>
      <c r="E1918" s="202" t="s">
        <v>638</v>
      </c>
      <c r="F1918" s="202" t="s">
        <v>652</v>
      </c>
      <c r="G1918" s="202" t="s">
        <v>688</v>
      </c>
    </row>
    <row r="1919" spans="1:7" hidden="1">
      <c r="A1919" s="202" t="s">
        <v>1150</v>
      </c>
      <c r="B1919" s="203">
        <v>2400</v>
      </c>
      <c r="C1919" s="203">
        <v>0</v>
      </c>
      <c r="D1919" s="202" t="s">
        <v>442</v>
      </c>
      <c r="E1919" s="202" t="s">
        <v>638</v>
      </c>
      <c r="F1919" s="202" t="s">
        <v>396</v>
      </c>
      <c r="G1919" s="202" t="s">
        <v>688</v>
      </c>
    </row>
    <row r="1920" spans="1:7" hidden="1">
      <c r="A1920" s="202" t="s">
        <v>1151</v>
      </c>
      <c r="B1920" s="203">
        <v>5880</v>
      </c>
      <c r="C1920" s="203">
        <v>0</v>
      </c>
      <c r="D1920" s="202" t="s">
        <v>442</v>
      </c>
      <c r="E1920" s="202" t="s">
        <v>638</v>
      </c>
      <c r="F1920" s="202" t="s">
        <v>396</v>
      </c>
      <c r="G1920" s="202" t="s">
        <v>688</v>
      </c>
    </row>
    <row r="1921" spans="1:7" hidden="1">
      <c r="A1921" s="202" t="s">
        <v>1152</v>
      </c>
      <c r="B1921" s="203">
        <v>2900</v>
      </c>
      <c r="C1921" s="203">
        <v>0</v>
      </c>
      <c r="D1921" s="202" t="s">
        <v>442</v>
      </c>
      <c r="E1921" s="202" t="s">
        <v>638</v>
      </c>
      <c r="F1921" s="202" t="s">
        <v>396</v>
      </c>
      <c r="G1921" s="202" t="s">
        <v>688</v>
      </c>
    </row>
    <row r="1922" spans="1:7" hidden="1">
      <c r="A1922" s="202" t="s">
        <v>1153</v>
      </c>
      <c r="B1922" s="203">
        <v>5600</v>
      </c>
      <c r="C1922" s="203">
        <v>0</v>
      </c>
      <c r="D1922" s="202" t="s">
        <v>440</v>
      </c>
      <c r="E1922" s="202" t="s">
        <v>638</v>
      </c>
      <c r="F1922" s="202" t="s">
        <v>652</v>
      </c>
      <c r="G1922" s="202" t="s">
        <v>688</v>
      </c>
    </row>
    <row r="1923" spans="1:7" hidden="1">
      <c r="A1923" s="202" t="s">
        <v>1154</v>
      </c>
      <c r="B1923" s="203">
        <v>-40</v>
      </c>
      <c r="C1923" s="203">
        <v>0</v>
      </c>
      <c r="D1923" s="202" t="s">
        <v>440</v>
      </c>
      <c r="E1923" s="202" t="s">
        <v>639</v>
      </c>
      <c r="F1923" s="202" t="s">
        <v>409</v>
      </c>
      <c r="G1923" s="202" t="s">
        <v>688</v>
      </c>
    </row>
    <row r="1924" spans="1:7" hidden="1">
      <c r="A1924" s="202" t="s">
        <v>1155</v>
      </c>
      <c r="B1924" s="203">
        <v>-340</v>
      </c>
      <c r="C1924" s="203">
        <v>0</v>
      </c>
      <c r="D1924" s="202" t="s">
        <v>440</v>
      </c>
      <c r="E1924" s="202" t="s">
        <v>639</v>
      </c>
      <c r="F1924" s="202" t="s">
        <v>396</v>
      </c>
      <c r="G1924" s="202" t="s">
        <v>688</v>
      </c>
    </row>
    <row r="1925" spans="1:7" hidden="1">
      <c r="A1925" s="202" t="s">
        <v>1156</v>
      </c>
      <c r="B1925" s="203">
        <v>-417</v>
      </c>
      <c r="C1925" s="203">
        <v>0</v>
      </c>
      <c r="D1925" s="202" t="s">
        <v>440</v>
      </c>
      <c r="E1925" s="202" t="s">
        <v>639</v>
      </c>
      <c r="F1925" s="202" t="s">
        <v>409</v>
      </c>
      <c r="G1925" s="202" t="s">
        <v>688</v>
      </c>
    </row>
    <row r="1926" spans="1:7" hidden="1">
      <c r="A1926" s="202" t="s">
        <v>1156</v>
      </c>
      <c r="B1926" s="203">
        <v>-500</v>
      </c>
      <c r="C1926" s="203">
        <v>0</v>
      </c>
      <c r="D1926" s="202" t="s">
        <v>440</v>
      </c>
      <c r="E1926" s="202" t="s">
        <v>639</v>
      </c>
      <c r="F1926" s="202" t="s">
        <v>652</v>
      </c>
      <c r="G1926" s="202" t="s">
        <v>688</v>
      </c>
    </row>
    <row r="1927" spans="1:7" hidden="1">
      <c r="A1927" s="202" t="s">
        <v>1157</v>
      </c>
      <c r="B1927" s="203">
        <v>-410</v>
      </c>
      <c r="C1927" s="203">
        <v>0</v>
      </c>
      <c r="D1927" s="202" t="s">
        <v>440</v>
      </c>
      <c r="E1927" s="202" t="s">
        <v>639</v>
      </c>
      <c r="F1927" s="202" t="s">
        <v>396</v>
      </c>
      <c r="G1927" s="202" t="s">
        <v>688</v>
      </c>
    </row>
    <row r="1928" spans="1:7" hidden="1">
      <c r="A1928" s="202" t="s">
        <v>1158</v>
      </c>
      <c r="B1928" s="203">
        <v>-286</v>
      </c>
      <c r="C1928" s="203">
        <v>0</v>
      </c>
      <c r="D1928" s="202" t="s">
        <v>440</v>
      </c>
      <c r="E1928" s="202" t="s">
        <v>639</v>
      </c>
      <c r="F1928" s="202" t="s">
        <v>409</v>
      </c>
      <c r="G1928" s="202" t="s">
        <v>688</v>
      </c>
    </row>
    <row r="1929" spans="1:7" hidden="1">
      <c r="A1929" s="202" t="s">
        <v>1159</v>
      </c>
      <c r="B1929" s="203">
        <v>-410</v>
      </c>
      <c r="C1929" s="203">
        <v>0</v>
      </c>
      <c r="D1929" s="202" t="s">
        <v>440</v>
      </c>
      <c r="E1929" s="202" t="s">
        <v>639</v>
      </c>
      <c r="F1929" s="202" t="s">
        <v>396</v>
      </c>
      <c r="G1929" s="202" t="s">
        <v>688</v>
      </c>
    </row>
    <row r="1930" spans="1:7" hidden="1">
      <c r="A1930" s="202" t="s">
        <v>1160</v>
      </c>
      <c r="B1930" s="203">
        <v>-68</v>
      </c>
      <c r="C1930" s="203">
        <v>0</v>
      </c>
      <c r="D1930" s="202" t="s">
        <v>440</v>
      </c>
      <c r="E1930" s="202" t="s">
        <v>639</v>
      </c>
      <c r="F1930" s="202" t="s">
        <v>409</v>
      </c>
      <c r="G1930" s="202" t="s">
        <v>688</v>
      </c>
    </row>
    <row r="1931" spans="1:7" hidden="1">
      <c r="A1931" s="202" t="s">
        <v>1161</v>
      </c>
      <c r="B1931" s="203">
        <v>-20</v>
      </c>
      <c r="C1931" s="203">
        <v>0</v>
      </c>
      <c r="D1931" s="202" t="s">
        <v>440</v>
      </c>
      <c r="E1931" s="202" t="s">
        <v>639</v>
      </c>
      <c r="F1931" s="202" t="s">
        <v>409</v>
      </c>
      <c r="G1931" s="202" t="s">
        <v>688</v>
      </c>
    </row>
    <row r="1932" spans="1:7" hidden="1">
      <c r="A1932" s="202" t="s">
        <v>1162</v>
      </c>
      <c r="B1932" s="203">
        <v>-39</v>
      </c>
      <c r="C1932" s="203">
        <v>0</v>
      </c>
      <c r="D1932" s="202" t="s">
        <v>440</v>
      </c>
      <c r="E1932" s="202" t="s">
        <v>639</v>
      </c>
      <c r="F1932" s="202" t="s">
        <v>409</v>
      </c>
      <c r="G1932" s="202" t="s">
        <v>688</v>
      </c>
    </row>
    <row r="1933" spans="1:7" hidden="1">
      <c r="A1933" s="202" t="s">
        <v>1163</v>
      </c>
      <c r="B1933" s="203">
        <v>-103</v>
      </c>
      <c r="C1933" s="203">
        <v>0</v>
      </c>
      <c r="D1933" s="202" t="s">
        <v>440</v>
      </c>
      <c r="E1933" s="202" t="s">
        <v>639</v>
      </c>
      <c r="F1933" s="202" t="s">
        <v>409</v>
      </c>
      <c r="G1933" s="202" t="s">
        <v>688</v>
      </c>
    </row>
    <row r="1934" spans="1:7" hidden="1">
      <c r="A1934" s="202" t="s">
        <v>1164</v>
      </c>
      <c r="B1934" s="203">
        <v>-35</v>
      </c>
      <c r="C1934" s="203">
        <v>0</v>
      </c>
      <c r="D1934" s="202" t="s">
        <v>440</v>
      </c>
      <c r="E1934" s="202" t="s">
        <v>639</v>
      </c>
      <c r="F1934" s="202" t="s">
        <v>409</v>
      </c>
      <c r="G1934" s="202" t="s">
        <v>688</v>
      </c>
    </row>
    <row r="1935" spans="1:7" hidden="1">
      <c r="A1935" s="202" t="s">
        <v>1165</v>
      </c>
      <c r="B1935" s="203">
        <v>-95</v>
      </c>
      <c r="C1935" s="203">
        <v>0</v>
      </c>
      <c r="D1935" s="202" t="s">
        <v>440</v>
      </c>
      <c r="E1935" s="202" t="s">
        <v>639</v>
      </c>
      <c r="F1935" s="202" t="s">
        <v>409</v>
      </c>
      <c r="G1935" s="202" t="s">
        <v>688</v>
      </c>
    </row>
    <row r="1936" spans="1:7" hidden="1">
      <c r="A1936" s="202" t="s">
        <v>1166</v>
      </c>
      <c r="B1936" s="203">
        <v>-47</v>
      </c>
      <c r="C1936" s="203">
        <v>0</v>
      </c>
      <c r="D1936" s="202" t="s">
        <v>440</v>
      </c>
      <c r="E1936" s="202" t="s">
        <v>639</v>
      </c>
      <c r="F1936" s="202" t="s">
        <v>409</v>
      </c>
      <c r="G1936" s="202" t="s">
        <v>688</v>
      </c>
    </row>
    <row r="1937" spans="1:7" hidden="1">
      <c r="A1937" s="202" t="s">
        <v>1167</v>
      </c>
      <c r="B1937" s="203">
        <v>4100</v>
      </c>
      <c r="C1937" s="203">
        <v>0</v>
      </c>
      <c r="D1937" s="202" t="s">
        <v>442</v>
      </c>
      <c r="E1937" s="202" t="s">
        <v>638</v>
      </c>
      <c r="F1937" s="202" t="s">
        <v>396</v>
      </c>
      <c r="G1937" s="202" t="s">
        <v>688</v>
      </c>
    </row>
    <row r="1938" spans="1:7" hidden="1">
      <c r="A1938" s="202" t="s">
        <v>1168</v>
      </c>
      <c r="B1938" s="203">
        <v>4500</v>
      </c>
      <c r="C1938" s="203">
        <v>0</v>
      </c>
      <c r="D1938" s="202" t="s">
        <v>442</v>
      </c>
      <c r="E1938" s="202" t="s">
        <v>638</v>
      </c>
      <c r="F1938" s="202" t="s">
        <v>396</v>
      </c>
      <c r="G1938" s="202" t="s">
        <v>688</v>
      </c>
    </row>
    <row r="1939" spans="1:7" hidden="1">
      <c r="A1939" s="202" t="s">
        <v>1169</v>
      </c>
      <c r="B1939" s="203">
        <v>4800</v>
      </c>
      <c r="C1939" s="203">
        <v>0</v>
      </c>
      <c r="D1939" s="202" t="s">
        <v>442</v>
      </c>
      <c r="E1939" s="202" t="s">
        <v>638</v>
      </c>
      <c r="F1939" s="202" t="s">
        <v>396</v>
      </c>
      <c r="G1939" s="202" t="s">
        <v>688</v>
      </c>
    </row>
    <row r="1940" spans="1:7" hidden="1">
      <c r="A1940" s="202" t="s">
        <v>1170</v>
      </c>
      <c r="B1940" s="203">
        <v>12600</v>
      </c>
      <c r="C1940" s="203">
        <v>0</v>
      </c>
      <c r="D1940" s="202" t="s">
        <v>440</v>
      </c>
      <c r="E1940" s="202" t="s">
        <v>638</v>
      </c>
      <c r="F1940" s="202" t="s">
        <v>652</v>
      </c>
      <c r="G1940" s="202" t="s">
        <v>688</v>
      </c>
    </row>
    <row r="1941" spans="1:7" hidden="1">
      <c r="A1941" s="202" t="s">
        <v>1171</v>
      </c>
      <c r="B1941" s="203">
        <v>2600</v>
      </c>
      <c r="C1941" s="203">
        <v>0</v>
      </c>
      <c r="D1941" s="202" t="s">
        <v>442</v>
      </c>
      <c r="E1941" s="202" t="s">
        <v>638</v>
      </c>
      <c r="F1941" s="202" t="s">
        <v>396</v>
      </c>
      <c r="G1941" s="202" t="s">
        <v>688</v>
      </c>
    </row>
    <row r="1942" spans="1:7" hidden="1">
      <c r="A1942" s="202" t="s">
        <v>1172</v>
      </c>
      <c r="B1942" s="203">
        <v>5800</v>
      </c>
      <c r="C1942" s="203">
        <v>0</v>
      </c>
      <c r="D1942" s="202" t="s">
        <v>442</v>
      </c>
      <c r="E1942" s="202" t="s">
        <v>638</v>
      </c>
      <c r="F1942" s="202" t="s">
        <v>396</v>
      </c>
      <c r="G1942" s="202" t="s">
        <v>688</v>
      </c>
    </row>
    <row r="1943" spans="1:7" hidden="1">
      <c r="A1943" s="202" t="s">
        <v>1173</v>
      </c>
      <c r="B1943" s="203">
        <v>14800</v>
      </c>
      <c r="C1943" s="203">
        <v>0</v>
      </c>
      <c r="D1943" s="202" t="s">
        <v>440</v>
      </c>
      <c r="E1943" s="202" t="s">
        <v>638</v>
      </c>
      <c r="F1943" s="202" t="s">
        <v>652</v>
      </c>
      <c r="G1943" s="202" t="s">
        <v>688</v>
      </c>
    </row>
    <row r="1944" spans="1:7" hidden="1">
      <c r="A1944" s="202" t="s">
        <v>1174</v>
      </c>
      <c r="B1944" s="203">
        <v>1200</v>
      </c>
      <c r="C1944" s="203">
        <v>0</v>
      </c>
      <c r="D1944" s="202" t="s">
        <v>440</v>
      </c>
      <c r="E1944" s="202" t="s">
        <v>638</v>
      </c>
      <c r="F1944" s="202" t="s">
        <v>652</v>
      </c>
      <c r="G1944" s="202" t="s">
        <v>688</v>
      </c>
    </row>
    <row r="1945" spans="1:7" hidden="1">
      <c r="A1945" s="202" t="s">
        <v>1175</v>
      </c>
      <c r="B1945" s="203">
        <v>26900</v>
      </c>
      <c r="C1945" s="203">
        <v>0</v>
      </c>
      <c r="D1945" s="202" t="s">
        <v>440</v>
      </c>
      <c r="E1945" s="202" t="s">
        <v>638</v>
      </c>
      <c r="F1945" s="202" t="s">
        <v>652</v>
      </c>
      <c r="G1945" s="202" t="s">
        <v>688</v>
      </c>
    </row>
    <row r="1946" spans="1:7" hidden="1">
      <c r="A1946" s="202" t="s">
        <v>1176</v>
      </c>
      <c r="B1946" s="203">
        <v>1500</v>
      </c>
      <c r="C1946" s="203">
        <v>0</v>
      </c>
      <c r="D1946" s="202" t="s">
        <v>442</v>
      </c>
      <c r="E1946" s="202" t="s">
        <v>638</v>
      </c>
      <c r="F1946" s="202" t="s">
        <v>396</v>
      </c>
      <c r="G1946" s="202" t="s">
        <v>688</v>
      </c>
    </row>
    <row r="1947" spans="1:7" hidden="1">
      <c r="A1947" s="202" t="s">
        <v>1177</v>
      </c>
      <c r="B1947" s="203">
        <v>44500</v>
      </c>
      <c r="C1947" s="203">
        <v>0</v>
      </c>
      <c r="D1947" s="202" t="s">
        <v>440</v>
      </c>
      <c r="E1947" s="202" t="s">
        <v>638</v>
      </c>
      <c r="F1947" s="202" t="s">
        <v>652</v>
      </c>
      <c r="G1947" s="202" t="s">
        <v>688</v>
      </c>
    </row>
    <row r="1948" spans="1:7" hidden="1">
      <c r="A1948" s="202" t="s">
        <v>1178</v>
      </c>
      <c r="B1948" s="203">
        <v>10900</v>
      </c>
      <c r="C1948" s="203">
        <v>0</v>
      </c>
      <c r="D1948" s="202" t="s">
        <v>442</v>
      </c>
      <c r="E1948" s="202" t="s">
        <v>638</v>
      </c>
      <c r="F1948" s="202" t="s">
        <v>396</v>
      </c>
      <c r="G1948" s="202" t="s">
        <v>688</v>
      </c>
    </row>
    <row r="1949" spans="1:7" hidden="1">
      <c r="A1949" s="202" t="s">
        <v>1179</v>
      </c>
      <c r="B1949" s="203">
        <v>21122</v>
      </c>
      <c r="C1949" s="203">
        <v>0</v>
      </c>
      <c r="D1949" s="202" t="s">
        <v>440</v>
      </c>
      <c r="E1949" s="202" t="s">
        <v>638</v>
      </c>
      <c r="F1949" s="202" t="s">
        <v>652</v>
      </c>
      <c r="G1949" s="202" t="s">
        <v>688</v>
      </c>
    </row>
    <row r="1950" spans="1:7" hidden="1">
      <c r="A1950" s="202" t="s">
        <v>1180</v>
      </c>
      <c r="B1950" s="203">
        <v>56975</v>
      </c>
      <c r="C1950" s="203">
        <v>0</v>
      </c>
      <c r="D1950" s="202" t="s">
        <v>440</v>
      </c>
      <c r="E1950" s="202" t="s">
        <v>638</v>
      </c>
      <c r="F1950" s="202" t="s">
        <v>652</v>
      </c>
      <c r="G1950" s="202" t="s">
        <v>688</v>
      </c>
    </row>
    <row r="1951" spans="1:7" hidden="1">
      <c r="A1951" s="202" t="s">
        <v>1181</v>
      </c>
      <c r="B1951" s="203">
        <v>791910</v>
      </c>
      <c r="C1951" s="203">
        <v>0</v>
      </c>
      <c r="D1951" s="202" t="s">
        <v>440</v>
      </c>
      <c r="E1951" s="202" t="s">
        <v>638</v>
      </c>
      <c r="F1951" s="202" t="s">
        <v>652</v>
      </c>
      <c r="G1951" s="202" t="s">
        <v>688</v>
      </c>
    </row>
    <row r="1952" spans="1:7" hidden="1">
      <c r="A1952" s="202" t="s">
        <v>1182</v>
      </c>
      <c r="B1952" s="203">
        <v>29700</v>
      </c>
      <c r="C1952" s="203">
        <v>0</v>
      </c>
      <c r="D1952" s="202" t="s">
        <v>440</v>
      </c>
      <c r="E1952" s="202" t="s">
        <v>638</v>
      </c>
      <c r="F1952" s="202" t="s">
        <v>652</v>
      </c>
      <c r="G1952" s="202" t="s">
        <v>688</v>
      </c>
    </row>
    <row r="1953" spans="1:7" hidden="1">
      <c r="A1953" s="202" t="s">
        <v>1183</v>
      </c>
      <c r="B1953" s="203">
        <v>31900</v>
      </c>
      <c r="C1953" s="203">
        <v>0</v>
      </c>
      <c r="D1953" s="202" t="s">
        <v>440</v>
      </c>
      <c r="E1953" s="202" t="s">
        <v>638</v>
      </c>
      <c r="F1953" s="202" t="s">
        <v>652</v>
      </c>
      <c r="G1953" s="202" t="s">
        <v>688</v>
      </c>
    </row>
    <row r="1954" spans="1:7" hidden="1">
      <c r="A1954" s="202" t="s">
        <v>1184</v>
      </c>
      <c r="B1954" s="203">
        <v>106600</v>
      </c>
      <c r="C1954" s="203">
        <v>0</v>
      </c>
      <c r="D1954" s="202" t="s">
        <v>440</v>
      </c>
      <c r="E1954" s="202" t="s">
        <v>638</v>
      </c>
      <c r="F1954" s="202" t="s">
        <v>652</v>
      </c>
      <c r="G1954" s="202" t="s">
        <v>688</v>
      </c>
    </row>
    <row r="1955" spans="1:7" hidden="1">
      <c r="A1955" s="202" t="s">
        <v>1185</v>
      </c>
      <c r="B1955" s="203">
        <v>56700</v>
      </c>
      <c r="C1955" s="203">
        <v>0</v>
      </c>
      <c r="D1955" s="202" t="s">
        <v>440</v>
      </c>
      <c r="E1955" s="202" t="s">
        <v>638</v>
      </c>
      <c r="F1955" s="202" t="s">
        <v>652</v>
      </c>
      <c r="G1955" s="202" t="s">
        <v>688</v>
      </c>
    </row>
    <row r="1956" spans="1:7" hidden="1">
      <c r="A1956" s="202" t="s">
        <v>1186</v>
      </c>
      <c r="B1956" s="203">
        <v>143100</v>
      </c>
      <c r="C1956" s="203">
        <v>0</v>
      </c>
      <c r="D1956" s="202" t="s">
        <v>440</v>
      </c>
      <c r="E1956" s="202" t="s">
        <v>638</v>
      </c>
      <c r="F1956" s="202" t="s">
        <v>652</v>
      </c>
      <c r="G1956" s="202" t="s">
        <v>688</v>
      </c>
    </row>
    <row r="1957" spans="1:7" hidden="1">
      <c r="A1957" s="202" t="s">
        <v>1187</v>
      </c>
      <c r="B1957" s="203">
        <v>26400</v>
      </c>
      <c r="C1957" s="203">
        <v>0</v>
      </c>
      <c r="D1957" s="202" t="s">
        <v>440</v>
      </c>
      <c r="E1957" s="202" t="s">
        <v>638</v>
      </c>
      <c r="F1957" s="202" t="s">
        <v>652</v>
      </c>
      <c r="G1957" s="202" t="s">
        <v>688</v>
      </c>
    </row>
    <row r="1958" spans="1:7" hidden="1">
      <c r="A1958" s="202" t="s">
        <v>1188</v>
      </c>
      <c r="B1958" s="203">
        <v>259600</v>
      </c>
      <c r="C1958" s="203">
        <v>0</v>
      </c>
      <c r="D1958" s="202" t="s">
        <v>440</v>
      </c>
      <c r="E1958" s="202" t="s">
        <v>638</v>
      </c>
      <c r="F1958" s="202" t="s">
        <v>652</v>
      </c>
      <c r="G1958" s="202" t="s">
        <v>688</v>
      </c>
    </row>
    <row r="1959" spans="1:7" hidden="1">
      <c r="A1959" s="202" t="s">
        <v>1189</v>
      </c>
      <c r="B1959" s="203">
        <v>31400</v>
      </c>
      <c r="C1959" s="203">
        <v>0</v>
      </c>
      <c r="D1959" s="202" t="s">
        <v>440</v>
      </c>
      <c r="E1959" s="202" t="s">
        <v>638</v>
      </c>
      <c r="F1959" s="202" t="s">
        <v>652</v>
      </c>
      <c r="G1959" s="202" t="s">
        <v>688</v>
      </c>
    </row>
    <row r="1960" spans="1:7" hidden="1">
      <c r="A1960" s="202" t="s">
        <v>1190</v>
      </c>
      <c r="B1960" s="203">
        <v>25900</v>
      </c>
      <c r="C1960" s="203">
        <v>0</v>
      </c>
      <c r="D1960" s="202" t="s">
        <v>440</v>
      </c>
      <c r="E1960" s="202" t="s">
        <v>638</v>
      </c>
      <c r="F1960" s="202" t="s">
        <v>652</v>
      </c>
      <c r="G1960" s="202" t="s">
        <v>688</v>
      </c>
    </row>
    <row r="1961" spans="1:7" hidden="1">
      <c r="A1961" s="202" t="s">
        <v>1191</v>
      </c>
      <c r="B1961" s="203">
        <v>109200</v>
      </c>
      <c r="C1961" s="203">
        <v>0</v>
      </c>
      <c r="D1961" s="202" t="s">
        <v>440</v>
      </c>
      <c r="E1961" s="202" t="s">
        <v>638</v>
      </c>
      <c r="F1961" s="202" t="s">
        <v>652</v>
      </c>
      <c r="G1961" s="202" t="s">
        <v>688</v>
      </c>
    </row>
    <row r="1962" spans="1:7" hidden="1">
      <c r="A1962" s="202" t="s">
        <v>1192</v>
      </c>
      <c r="B1962" s="203">
        <v>50100</v>
      </c>
      <c r="C1962" s="203">
        <v>0</v>
      </c>
      <c r="D1962" s="202" t="s">
        <v>440</v>
      </c>
      <c r="E1962" s="202" t="s">
        <v>638</v>
      </c>
      <c r="F1962" s="202" t="s">
        <v>652</v>
      </c>
      <c r="G1962" s="202" t="s">
        <v>688</v>
      </c>
    </row>
    <row r="1963" spans="1:7" hidden="1">
      <c r="A1963" s="202" t="s">
        <v>1193</v>
      </c>
      <c r="B1963" s="203">
        <v>183800</v>
      </c>
      <c r="C1963" s="203">
        <v>0</v>
      </c>
      <c r="D1963" s="202" t="s">
        <v>440</v>
      </c>
      <c r="E1963" s="202" t="s">
        <v>638</v>
      </c>
      <c r="F1963" s="202" t="s">
        <v>652</v>
      </c>
      <c r="G1963" s="202" t="s">
        <v>688</v>
      </c>
    </row>
    <row r="1964" spans="1:7" hidden="1">
      <c r="A1964" s="202" t="s">
        <v>1194</v>
      </c>
      <c r="B1964" s="203">
        <v>24000</v>
      </c>
      <c r="C1964" s="203">
        <v>0</v>
      </c>
      <c r="D1964" s="202" t="s">
        <v>440</v>
      </c>
      <c r="E1964" s="202" t="s">
        <v>638</v>
      </c>
      <c r="F1964" s="202" t="s">
        <v>652</v>
      </c>
      <c r="G1964" s="202" t="s">
        <v>688</v>
      </c>
    </row>
    <row r="1965" spans="1:7" hidden="1">
      <c r="A1965" s="202" t="s">
        <v>1195</v>
      </c>
      <c r="B1965" s="203">
        <v>37700</v>
      </c>
      <c r="C1965" s="203">
        <v>0</v>
      </c>
      <c r="D1965" s="202" t="s">
        <v>440</v>
      </c>
      <c r="E1965" s="202" t="s">
        <v>638</v>
      </c>
      <c r="F1965" s="202" t="s">
        <v>652</v>
      </c>
      <c r="G1965" s="202" t="s">
        <v>688</v>
      </c>
    </row>
    <row r="1966" spans="1:7" hidden="1">
      <c r="A1966" s="202" t="s">
        <v>1196</v>
      </c>
      <c r="B1966" s="203">
        <v>50500</v>
      </c>
      <c r="C1966" s="203">
        <v>0</v>
      </c>
      <c r="D1966" s="202" t="s">
        <v>440</v>
      </c>
      <c r="E1966" s="202" t="s">
        <v>638</v>
      </c>
      <c r="F1966" s="202" t="s">
        <v>652</v>
      </c>
      <c r="G1966" s="202" t="s">
        <v>688</v>
      </c>
    </row>
    <row r="1967" spans="1:7" hidden="1">
      <c r="A1967" s="202" t="s">
        <v>1197</v>
      </c>
      <c r="B1967" s="203">
        <v>17400</v>
      </c>
      <c r="C1967" s="203">
        <v>0</v>
      </c>
      <c r="D1967" s="202" t="s">
        <v>440</v>
      </c>
      <c r="E1967" s="202" t="s">
        <v>638</v>
      </c>
      <c r="F1967" s="202" t="s">
        <v>652</v>
      </c>
      <c r="G1967" s="202" t="s">
        <v>688</v>
      </c>
    </row>
    <row r="1968" spans="1:7" hidden="1">
      <c r="A1968" s="202" t="s">
        <v>1198</v>
      </c>
      <c r="B1968" s="203">
        <v>3000</v>
      </c>
      <c r="C1968" s="203">
        <v>0</v>
      </c>
      <c r="D1968" s="202" t="s">
        <v>442</v>
      </c>
      <c r="E1968" s="202" t="s">
        <v>638</v>
      </c>
      <c r="F1968" s="202" t="s">
        <v>396</v>
      </c>
      <c r="G1968" s="202" t="s">
        <v>688</v>
      </c>
    </row>
    <row r="1969" spans="1:7" hidden="1">
      <c r="A1969" s="202" t="s">
        <v>1199</v>
      </c>
      <c r="B1969" s="203">
        <v>61600</v>
      </c>
      <c r="C1969" s="203">
        <v>0</v>
      </c>
      <c r="D1969" s="202" t="s">
        <v>440</v>
      </c>
      <c r="E1969" s="202" t="s">
        <v>638</v>
      </c>
      <c r="F1969" s="202" t="s">
        <v>652</v>
      </c>
      <c r="G1969" s="202" t="s">
        <v>688</v>
      </c>
    </row>
    <row r="1970" spans="1:7" hidden="1">
      <c r="A1970" s="202" t="s">
        <v>1200</v>
      </c>
      <c r="B1970" s="203">
        <v>25200</v>
      </c>
      <c r="C1970" s="203">
        <v>0</v>
      </c>
      <c r="D1970" s="202" t="s">
        <v>440</v>
      </c>
      <c r="E1970" s="202" t="s">
        <v>638</v>
      </c>
      <c r="F1970" s="202" t="s">
        <v>652</v>
      </c>
      <c r="G1970" s="202" t="s">
        <v>688</v>
      </c>
    </row>
    <row r="1971" spans="1:7" hidden="1">
      <c r="A1971" s="202" t="s">
        <v>1201</v>
      </c>
      <c r="B1971" s="203">
        <v>47000</v>
      </c>
      <c r="C1971" s="203">
        <v>0</v>
      </c>
      <c r="D1971" s="202" t="s">
        <v>440</v>
      </c>
      <c r="E1971" s="202" t="s">
        <v>638</v>
      </c>
      <c r="F1971" s="202" t="s">
        <v>652</v>
      </c>
      <c r="G1971" s="202" t="s">
        <v>688</v>
      </c>
    </row>
    <row r="1972" spans="1:7" hidden="1">
      <c r="A1972" s="202" t="s">
        <v>1202</v>
      </c>
      <c r="B1972" s="203">
        <v>3200</v>
      </c>
      <c r="C1972" s="203">
        <v>0</v>
      </c>
      <c r="D1972" s="202" t="s">
        <v>442</v>
      </c>
      <c r="E1972" s="202" t="s">
        <v>638</v>
      </c>
      <c r="F1972" s="202" t="s">
        <v>396</v>
      </c>
      <c r="G1972" s="202" t="s">
        <v>688</v>
      </c>
    </row>
    <row r="1973" spans="1:7" hidden="1">
      <c r="A1973" s="202" t="s">
        <v>1203</v>
      </c>
      <c r="B1973" s="203">
        <v>8400</v>
      </c>
      <c r="C1973" s="203">
        <v>0</v>
      </c>
      <c r="D1973" s="202" t="s">
        <v>442</v>
      </c>
      <c r="E1973" s="202" t="s">
        <v>638</v>
      </c>
      <c r="F1973" s="202" t="s">
        <v>396</v>
      </c>
      <c r="G1973" s="202" t="s">
        <v>688</v>
      </c>
    </row>
    <row r="1974" spans="1:7" hidden="1">
      <c r="A1974" s="202" t="s">
        <v>1204</v>
      </c>
      <c r="B1974" s="203">
        <v>13400</v>
      </c>
      <c r="C1974" s="203">
        <v>0</v>
      </c>
      <c r="D1974" s="202" t="s">
        <v>440</v>
      </c>
      <c r="E1974" s="202" t="s">
        <v>638</v>
      </c>
      <c r="F1974" s="202" t="s">
        <v>652</v>
      </c>
      <c r="G1974" s="202" t="s">
        <v>688</v>
      </c>
    </row>
    <row r="1975" spans="1:7" hidden="1">
      <c r="A1975" s="202" t="s">
        <v>1205</v>
      </c>
      <c r="B1975" s="203">
        <v>30000</v>
      </c>
      <c r="C1975" s="203">
        <v>0</v>
      </c>
      <c r="D1975" s="202" t="s">
        <v>440</v>
      </c>
      <c r="E1975" s="202" t="s">
        <v>638</v>
      </c>
      <c r="F1975" s="202" t="s">
        <v>652</v>
      </c>
      <c r="G1975" s="202" t="s">
        <v>688</v>
      </c>
    </row>
    <row r="1976" spans="1:7" hidden="1">
      <c r="A1976" s="202" t="s">
        <v>1206</v>
      </c>
      <c r="B1976" s="203">
        <v>25700</v>
      </c>
      <c r="C1976" s="203">
        <v>0</v>
      </c>
      <c r="D1976" s="202" t="s">
        <v>440</v>
      </c>
      <c r="E1976" s="202" t="s">
        <v>638</v>
      </c>
      <c r="F1976" s="202" t="s">
        <v>652</v>
      </c>
      <c r="G1976" s="202" t="s">
        <v>688</v>
      </c>
    </row>
    <row r="1977" spans="1:7" hidden="1">
      <c r="A1977" s="202" t="s">
        <v>1207</v>
      </c>
      <c r="B1977" s="203">
        <v>31000</v>
      </c>
      <c r="C1977" s="203">
        <v>0</v>
      </c>
      <c r="D1977" s="202" t="s">
        <v>440</v>
      </c>
      <c r="E1977" s="202" t="s">
        <v>638</v>
      </c>
      <c r="F1977" s="202" t="s">
        <v>409</v>
      </c>
      <c r="G1977" s="202" t="s">
        <v>688</v>
      </c>
    </row>
    <row r="1978" spans="1:7" hidden="1">
      <c r="A1978" s="202" t="s">
        <v>1208</v>
      </c>
      <c r="B1978" s="203">
        <v>25500</v>
      </c>
      <c r="C1978" s="203">
        <v>0</v>
      </c>
      <c r="D1978" s="202" t="s">
        <v>440</v>
      </c>
      <c r="E1978" s="202" t="s">
        <v>638</v>
      </c>
      <c r="F1978" s="202" t="s">
        <v>652</v>
      </c>
      <c r="G1978" s="202" t="s">
        <v>688</v>
      </c>
    </row>
    <row r="1979" spans="1:7" hidden="1">
      <c r="A1979" s="202" t="s">
        <v>1209</v>
      </c>
      <c r="B1979" s="203">
        <v>24300</v>
      </c>
      <c r="C1979" s="203">
        <v>0</v>
      </c>
      <c r="D1979" s="202" t="s">
        <v>440</v>
      </c>
      <c r="E1979" s="202" t="s">
        <v>638</v>
      </c>
      <c r="F1979" s="202" t="s">
        <v>652</v>
      </c>
      <c r="G1979" s="202" t="s">
        <v>688</v>
      </c>
    </row>
    <row r="1980" spans="1:7" hidden="1">
      <c r="A1980" s="202" t="s">
        <v>1210</v>
      </c>
      <c r="B1980" s="203">
        <v>2500</v>
      </c>
      <c r="C1980" s="203">
        <v>0</v>
      </c>
      <c r="D1980" s="202" t="s">
        <v>442</v>
      </c>
      <c r="E1980" s="202" t="s">
        <v>638</v>
      </c>
      <c r="F1980" s="202" t="s">
        <v>396</v>
      </c>
      <c r="G1980" s="202" t="s">
        <v>688</v>
      </c>
    </row>
    <row r="1981" spans="1:7" hidden="1">
      <c r="A1981" s="202" t="s">
        <v>1211</v>
      </c>
      <c r="B1981" s="203">
        <v>81400</v>
      </c>
      <c r="C1981" s="203">
        <v>0</v>
      </c>
      <c r="D1981" s="202" t="s">
        <v>440</v>
      </c>
      <c r="E1981" s="202" t="s">
        <v>638</v>
      </c>
      <c r="F1981" s="202" t="s">
        <v>652</v>
      </c>
      <c r="G1981" s="202" t="s">
        <v>688</v>
      </c>
    </row>
    <row r="1982" spans="1:7" hidden="1">
      <c r="A1982" s="202" t="s">
        <v>1212</v>
      </c>
      <c r="B1982" s="203">
        <v>26800</v>
      </c>
      <c r="C1982" s="203">
        <v>0</v>
      </c>
      <c r="D1982" s="202" t="s">
        <v>440</v>
      </c>
      <c r="E1982" s="202" t="s">
        <v>638</v>
      </c>
      <c r="F1982" s="202" t="s">
        <v>652</v>
      </c>
      <c r="G1982" s="202" t="s">
        <v>688</v>
      </c>
    </row>
    <row r="1983" spans="1:7" hidden="1">
      <c r="A1983" s="202" t="s">
        <v>1213</v>
      </c>
      <c r="B1983" s="203">
        <v>113600</v>
      </c>
      <c r="C1983" s="203">
        <v>0</v>
      </c>
      <c r="D1983" s="202" t="s">
        <v>440</v>
      </c>
      <c r="E1983" s="202" t="s">
        <v>638</v>
      </c>
      <c r="F1983" s="202" t="s">
        <v>409</v>
      </c>
      <c r="G1983" s="202" t="s">
        <v>688</v>
      </c>
    </row>
    <row r="1984" spans="1:7" hidden="1">
      <c r="A1984" s="202" t="s">
        <v>1214</v>
      </c>
      <c r="B1984" s="203">
        <v>5800</v>
      </c>
      <c r="C1984" s="203">
        <v>0</v>
      </c>
      <c r="D1984" s="202" t="s">
        <v>440</v>
      </c>
      <c r="E1984" s="202" t="s">
        <v>638</v>
      </c>
      <c r="F1984" s="202" t="s">
        <v>652</v>
      </c>
      <c r="G1984" s="202" t="s">
        <v>688</v>
      </c>
    </row>
    <row r="1985" spans="1:7" hidden="1">
      <c r="A1985" s="202" t="s">
        <v>1215</v>
      </c>
      <c r="B1985" s="203">
        <v>9300</v>
      </c>
      <c r="C1985" s="203">
        <v>0</v>
      </c>
      <c r="D1985" s="202" t="s">
        <v>442</v>
      </c>
      <c r="E1985" s="202" t="s">
        <v>638</v>
      </c>
      <c r="F1985" s="202" t="s">
        <v>396</v>
      </c>
      <c r="G1985" s="202" t="s">
        <v>688</v>
      </c>
    </row>
    <row r="1986" spans="1:7" hidden="1">
      <c r="A1986" s="202" t="s">
        <v>1216</v>
      </c>
      <c r="B1986" s="203">
        <v>74000</v>
      </c>
      <c r="C1986" s="203">
        <v>0</v>
      </c>
      <c r="D1986" s="202" t="s">
        <v>440</v>
      </c>
      <c r="E1986" s="202" t="s">
        <v>638</v>
      </c>
      <c r="F1986" s="202" t="s">
        <v>652</v>
      </c>
      <c r="G1986" s="202" t="s">
        <v>688</v>
      </c>
    </row>
    <row r="1987" spans="1:7" hidden="1">
      <c r="A1987" s="202" t="s">
        <v>1217</v>
      </c>
      <c r="B1987" s="203">
        <v>64000</v>
      </c>
      <c r="C1987" s="203">
        <v>0</v>
      </c>
      <c r="D1987" s="202" t="s">
        <v>440</v>
      </c>
      <c r="E1987" s="202" t="s">
        <v>638</v>
      </c>
      <c r="F1987" s="202" t="s">
        <v>652</v>
      </c>
      <c r="G1987" s="202" t="s">
        <v>688</v>
      </c>
    </row>
    <row r="1988" spans="1:7" hidden="1">
      <c r="A1988" s="202" t="s">
        <v>1218</v>
      </c>
      <c r="B1988" s="203">
        <v>153300</v>
      </c>
      <c r="C1988" s="203">
        <v>0</v>
      </c>
      <c r="D1988" s="202" t="s">
        <v>440</v>
      </c>
      <c r="E1988" s="202" t="s">
        <v>638</v>
      </c>
      <c r="F1988" s="202" t="s">
        <v>652</v>
      </c>
      <c r="G1988" s="202" t="s">
        <v>688</v>
      </c>
    </row>
    <row r="1989" spans="1:7" hidden="1">
      <c r="A1989" s="202" t="s">
        <v>1219</v>
      </c>
      <c r="B1989" s="203">
        <v>119000</v>
      </c>
      <c r="C1989" s="203">
        <v>0</v>
      </c>
      <c r="D1989" s="202" t="s">
        <v>440</v>
      </c>
      <c r="E1989" s="202" t="s">
        <v>638</v>
      </c>
      <c r="F1989" s="202" t="s">
        <v>652</v>
      </c>
      <c r="G1989" s="202" t="s">
        <v>688</v>
      </c>
    </row>
    <row r="1990" spans="1:7" hidden="1">
      <c r="A1990" s="202" t="s">
        <v>1220</v>
      </c>
      <c r="B1990" s="203">
        <v>58900</v>
      </c>
      <c r="C1990" s="203">
        <v>0</v>
      </c>
      <c r="D1990" s="202" t="s">
        <v>440</v>
      </c>
      <c r="E1990" s="202" t="s">
        <v>638</v>
      </c>
      <c r="F1990" s="202" t="s">
        <v>652</v>
      </c>
      <c r="G1990" s="202" t="s">
        <v>688</v>
      </c>
    </row>
    <row r="1991" spans="1:7" hidden="1">
      <c r="A1991" s="202" t="s">
        <v>1221</v>
      </c>
      <c r="B1991" s="203">
        <v>64700</v>
      </c>
      <c r="C1991" s="203">
        <v>0</v>
      </c>
      <c r="D1991" s="202" t="s">
        <v>442</v>
      </c>
      <c r="E1991" s="202" t="s">
        <v>638</v>
      </c>
      <c r="F1991" s="202" t="s">
        <v>396</v>
      </c>
      <c r="G1991" s="202" t="s">
        <v>688</v>
      </c>
    </row>
    <row r="1992" spans="1:7" hidden="1">
      <c r="A1992" s="202" t="s">
        <v>1222</v>
      </c>
      <c r="B1992" s="203">
        <v>2900</v>
      </c>
      <c r="C1992" s="203">
        <v>0</v>
      </c>
      <c r="D1992" s="202" t="s">
        <v>442</v>
      </c>
      <c r="E1992" s="202" t="s">
        <v>638</v>
      </c>
      <c r="F1992" s="202" t="s">
        <v>396</v>
      </c>
      <c r="G1992" s="202" t="s">
        <v>688</v>
      </c>
    </row>
    <row r="1993" spans="1:7" hidden="1">
      <c r="A1993" s="202" t="s">
        <v>1223</v>
      </c>
      <c r="B1993" s="203">
        <v>18800</v>
      </c>
      <c r="C1993" s="203">
        <v>0</v>
      </c>
      <c r="D1993" s="202" t="s">
        <v>440</v>
      </c>
      <c r="E1993" s="202" t="s">
        <v>638</v>
      </c>
      <c r="F1993" s="202" t="s">
        <v>652</v>
      </c>
      <c r="G1993" s="202" t="s">
        <v>688</v>
      </c>
    </row>
    <row r="1994" spans="1:7" hidden="1">
      <c r="A1994" s="202" t="s">
        <v>1224</v>
      </c>
      <c r="B1994" s="203">
        <v>7700</v>
      </c>
      <c r="C1994" s="203">
        <v>0</v>
      </c>
      <c r="D1994" s="202" t="s">
        <v>440</v>
      </c>
      <c r="E1994" s="202" t="s">
        <v>638</v>
      </c>
      <c r="F1994" s="202" t="s">
        <v>652</v>
      </c>
      <c r="G1994" s="202" t="s">
        <v>688</v>
      </c>
    </row>
    <row r="1995" spans="1:7" hidden="1">
      <c r="A1995" s="202" t="s">
        <v>1225</v>
      </c>
      <c r="B1995" s="203">
        <v>4000</v>
      </c>
      <c r="C1995" s="203">
        <v>0</v>
      </c>
      <c r="D1995" s="202" t="s">
        <v>442</v>
      </c>
      <c r="E1995" s="202" t="s">
        <v>638</v>
      </c>
      <c r="F1995" s="202" t="s">
        <v>396</v>
      </c>
      <c r="G1995" s="202" t="s">
        <v>688</v>
      </c>
    </row>
    <row r="1996" spans="1:7" hidden="1">
      <c r="A1996" s="202" t="s">
        <v>1226</v>
      </c>
      <c r="B1996" s="203">
        <v>13200</v>
      </c>
      <c r="C1996" s="203">
        <v>0</v>
      </c>
      <c r="D1996" s="202" t="s">
        <v>440</v>
      </c>
      <c r="E1996" s="202" t="s">
        <v>638</v>
      </c>
      <c r="F1996" s="202" t="s">
        <v>652</v>
      </c>
      <c r="G1996" s="202" t="s">
        <v>688</v>
      </c>
    </row>
    <row r="1997" spans="1:7" hidden="1">
      <c r="A1997" s="202" t="s">
        <v>1227</v>
      </c>
      <c r="B1997" s="203">
        <v>44300</v>
      </c>
      <c r="C1997" s="203">
        <v>0</v>
      </c>
      <c r="D1997" s="202" t="s">
        <v>440</v>
      </c>
      <c r="E1997" s="202" t="s">
        <v>638</v>
      </c>
      <c r="F1997" s="202" t="s">
        <v>652</v>
      </c>
      <c r="G1997" s="202" t="s">
        <v>688</v>
      </c>
    </row>
    <row r="1998" spans="1:7" hidden="1">
      <c r="A1998" s="202" t="s">
        <v>644</v>
      </c>
      <c r="B1998" s="203">
        <v>-118</v>
      </c>
      <c r="C1998" s="203">
        <v>0</v>
      </c>
      <c r="D1998" s="202" t="s">
        <v>440</v>
      </c>
      <c r="E1998" s="202" t="s">
        <v>638</v>
      </c>
      <c r="F1998" s="202" t="s">
        <v>409</v>
      </c>
      <c r="G1998" s="202" t="s">
        <v>688</v>
      </c>
    </row>
    <row r="1999" spans="1:7" hidden="1">
      <c r="A1999" s="202" t="s">
        <v>646</v>
      </c>
      <c r="B1999" s="203">
        <v>-619</v>
      </c>
      <c r="C1999" s="203">
        <v>0</v>
      </c>
      <c r="D1999" s="202" t="s">
        <v>440</v>
      </c>
      <c r="E1999" s="202" t="s">
        <v>638</v>
      </c>
      <c r="F1999" s="202" t="s">
        <v>409</v>
      </c>
      <c r="G1999" s="202" t="s">
        <v>688</v>
      </c>
    </row>
    <row r="2000" spans="1:7" hidden="1">
      <c r="A2000" s="202" t="s">
        <v>647</v>
      </c>
      <c r="B2000" s="203">
        <v>-157</v>
      </c>
      <c r="C2000" s="203">
        <v>0</v>
      </c>
      <c r="D2000" s="202" t="s">
        <v>440</v>
      </c>
      <c r="E2000" s="202" t="s">
        <v>638</v>
      </c>
      <c r="F2000" s="202" t="s">
        <v>409</v>
      </c>
      <c r="G2000" s="202" t="s">
        <v>688</v>
      </c>
    </row>
    <row r="2001" spans="1:7" hidden="1">
      <c r="A2001" s="202" t="s">
        <v>648</v>
      </c>
      <c r="B2001" s="203">
        <v>-169</v>
      </c>
      <c r="C2001" s="203">
        <v>0</v>
      </c>
      <c r="D2001" s="202" t="s">
        <v>440</v>
      </c>
      <c r="E2001" s="202" t="s">
        <v>638</v>
      </c>
      <c r="F2001" s="202" t="s">
        <v>409</v>
      </c>
      <c r="G2001" s="202" t="s">
        <v>688</v>
      </c>
    </row>
    <row r="2002" spans="1:7" hidden="1">
      <c r="A2002" s="202" t="s">
        <v>649</v>
      </c>
      <c r="B2002" s="203">
        <v>-168</v>
      </c>
      <c r="C2002" s="203">
        <v>0</v>
      </c>
      <c r="D2002" s="202" t="s">
        <v>440</v>
      </c>
      <c r="E2002" s="202" t="s">
        <v>638</v>
      </c>
      <c r="F2002" s="202" t="s">
        <v>409</v>
      </c>
      <c r="G2002" s="202" t="s">
        <v>688</v>
      </c>
    </row>
    <row r="2003" spans="1:7" hidden="1">
      <c r="A2003" s="202" t="s">
        <v>650</v>
      </c>
      <c r="B2003" s="203">
        <v>-234</v>
      </c>
      <c r="C2003" s="203">
        <v>0</v>
      </c>
      <c r="D2003" s="202" t="s">
        <v>440</v>
      </c>
      <c r="E2003" s="202" t="s">
        <v>638</v>
      </c>
      <c r="F2003" s="202" t="s">
        <v>409</v>
      </c>
      <c r="G2003" s="202" t="s">
        <v>688</v>
      </c>
    </row>
    <row r="2004" spans="1:7" hidden="1">
      <c r="A2004" s="202" t="s">
        <v>651</v>
      </c>
      <c r="B2004" s="203">
        <v>-118</v>
      </c>
      <c r="C2004" s="203">
        <v>0</v>
      </c>
      <c r="D2004" s="202" t="s">
        <v>440</v>
      </c>
      <c r="E2004" s="202" t="s">
        <v>638</v>
      </c>
      <c r="F2004" s="202" t="s">
        <v>409</v>
      </c>
      <c r="G2004" s="202" t="s">
        <v>688</v>
      </c>
    </row>
    <row r="2005" spans="1:7" hidden="1">
      <c r="A2005" s="202" t="s">
        <v>1228</v>
      </c>
      <c r="B2005" s="203">
        <v>93100</v>
      </c>
      <c r="C2005" s="203">
        <v>0</v>
      </c>
      <c r="D2005" s="202" t="s">
        <v>440</v>
      </c>
      <c r="E2005" s="202" t="s">
        <v>638</v>
      </c>
      <c r="F2005" s="202" t="s">
        <v>652</v>
      </c>
      <c r="G2005" s="202" t="s">
        <v>688</v>
      </c>
    </row>
    <row r="2006" spans="1:7" hidden="1">
      <c r="A2006" s="202" t="s">
        <v>1229</v>
      </c>
      <c r="B2006" s="203">
        <v>21000</v>
      </c>
      <c r="C2006" s="203">
        <v>0</v>
      </c>
      <c r="D2006" s="202" t="s">
        <v>440</v>
      </c>
      <c r="E2006" s="202" t="s">
        <v>638</v>
      </c>
      <c r="F2006" s="202" t="s">
        <v>652</v>
      </c>
      <c r="G2006" s="202" t="s">
        <v>688</v>
      </c>
    </row>
    <row r="2007" spans="1:7" hidden="1">
      <c r="A2007" s="202" t="s">
        <v>1230</v>
      </c>
      <c r="B2007" s="203">
        <v>33300</v>
      </c>
      <c r="C2007" s="203">
        <v>0</v>
      </c>
      <c r="D2007" s="202" t="s">
        <v>440</v>
      </c>
      <c r="E2007" s="202" t="s">
        <v>638</v>
      </c>
      <c r="F2007" s="202" t="s">
        <v>652</v>
      </c>
      <c r="G2007" s="202" t="s">
        <v>688</v>
      </c>
    </row>
    <row r="2008" spans="1:7" hidden="1">
      <c r="A2008" s="202" t="s">
        <v>1231</v>
      </c>
      <c r="B2008" s="203">
        <v>3000</v>
      </c>
      <c r="C2008" s="203">
        <v>0</v>
      </c>
      <c r="D2008" s="202" t="s">
        <v>442</v>
      </c>
      <c r="E2008" s="202" t="s">
        <v>638</v>
      </c>
      <c r="F2008" s="202" t="s">
        <v>396</v>
      </c>
      <c r="G2008" s="202" t="s">
        <v>688</v>
      </c>
    </row>
    <row r="2009" spans="1:7" hidden="1">
      <c r="A2009" s="202" t="s">
        <v>1232</v>
      </c>
      <c r="B2009" s="203">
        <v>900</v>
      </c>
      <c r="C2009" s="203">
        <v>0</v>
      </c>
      <c r="D2009" s="202" t="s">
        <v>442</v>
      </c>
      <c r="E2009" s="202" t="s">
        <v>638</v>
      </c>
      <c r="F2009" s="202" t="s">
        <v>396</v>
      </c>
      <c r="G2009" s="202" t="s">
        <v>688</v>
      </c>
    </row>
    <row r="2010" spans="1:7" hidden="1">
      <c r="A2010" s="202" t="s">
        <v>1233</v>
      </c>
      <c r="B2010" s="203">
        <v>16500</v>
      </c>
      <c r="C2010" s="203">
        <v>0</v>
      </c>
      <c r="D2010" s="202" t="s">
        <v>474</v>
      </c>
      <c r="E2010" s="202" t="s">
        <v>638</v>
      </c>
      <c r="F2010" s="202" t="s">
        <v>396</v>
      </c>
      <c r="G2010" s="202" t="s">
        <v>688</v>
      </c>
    </row>
    <row r="2011" spans="1:7" hidden="1">
      <c r="A2011" s="202" t="s">
        <v>1234</v>
      </c>
      <c r="B2011" s="203">
        <v>12800</v>
      </c>
      <c r="C2011" s="203">
        <v>0</v>
      </c>
      <c r="D2011" s="202" t="s">
        <v>440</v>
      </c>
      <c r="E2011" s="202" t="s">
        <v>638</v>
      </c>
      <c r="F2011" s="202" t="s">
        <v>652</v>
      </c>
      <c r="G2011" s="202" t="s">
        <v>688</v>
      </c>
    </row>
    <row r="2012" spans="1:7" hidden="1">
      <c r="A2012" s="202" t="s">
        <v>1235</v>
      </c>
      <c r="B2012" s="203">
        <v>4500</v>
      </c>
      <c r="C2012" s="203">
        <v>0</v>
      </c>
      <c r="D2012" s="202" t="s">
        <v>442</v>
      </c>
      <c r="E2012" s="202" t="s">
        <v>638</v>
      </c>
      <c r="F2012" s="202" t="s">
        <v>396</v>
      </c>
      <c r="G2012" s="202" t="s">
        <v>688</v>
      </c>
    </row>
    <row r="2013" spans="1:7" hidden="1">
      <c r="A2013" s="202" t="s">
        <v>1236</v>
      </c>
      <c r="B2013" s="203">
        <v>12400</v>
      </c>
      <c r="C2013" s="203">
        <v>0</v>
      </c>
      <c r="D2013" s="202" t="s">
        <v>440</v>
      </c>
      <c r="E2013" s="202" t="s">
        <v>638</v>
      </c>
      <c r="F2013" s="202" t="s">
        <v>652</v>
      </c>
      <c r="G2013" s="202" t="s">
        <v>688</v>
      </c>
    </row>
    <row r="2014" spans="1:7" hidden="1">
      <c r="A2014" s="202" t="s">
        <v>1237</v>
      </c>
      <c r="B2014" s="203">
        <v>12700</v>
      </c>
      <c r="C2014" s="203">
        <v>0</v>
      </c>
      <c r="D2014" s="202" t="s">
        <v>440</v>
      </c>
      <c r="E2014" s="202" t="s">
        <v>638</v>
      </c>
      <c r="F2014" s="202" t="s">
        <v>652</v>
      </c>
      <c r="G2014" s="202" t="s">
        <v>688</v>
      </c>
    </row>
    <row r="2015" spans="1:7" hidden="1">
      <c r="A2015" s="202" t="s">
        <v>1238</v>
      </c>
      <c r="B2015" s="203">
        <v>12500</v>
      </c>
      <c r="C2015" s="203">
        <v>0</v>
      </c>
      <c r="D2015" s="202" t="s">
        <v>440</v>
      </c>
      <c r="E2015" s="202" t="s">
        <v>638</v>
      </c>
      <c r="F2015" s="202" t="s">
        <v>652</v>
      </c>
      <c r="G2015" s="202" t="s">
        <v>688</v>
      </c>
    </row>
    <row r="2016" spans="1:7" hidden="1">
      <c r="A2016" s="202" t="s">
        <v>1239</v>
      </c>
      <c r="B2016" s="203">
        <v>12400</v>
      </c>
      <c r="C2016" s="203">
        <v>0</v>
      </c>
      <c r="D2016" s="202" t="s">
        <v>440</v>
      </c>
      <c r="E2016" s="202" t="s">
        <v>638</v>
      </c>
      <c r="F2016" s="202" t="s">
        <v>652</v>
      </c>
      <c r="G2016" s="202" t="s">
        <v>688</v>
      </c>
    </row>
    <row r="2017" spans="1:7" hidden="1">
      <c r="A2017" s="202" t="s">
        <v>1240</v>
      </c>
      <c r="B2017" s="203">
        <v>19000</v>
      </c>
      <c r="C2017" s="203">
        <v>0</v>
      </c>
      <c r="D2017" s="202" t="s">
        <v>474</v>
      </c>
      <c r="E2017" s="202" t="s">
        <v>638</v>
      </c>
      <c r="F2017" s="202" t="s">
        <v>396</v>
      </c>
      <c r="G2017" s="202" t="s">
        <v>688</v>
      </c>
    </row>
    <row r="2018" spans="1:7" hidden="1">
      <c r="A2018" s="202" t="s">
        <v>1241</v>
      </c>
      <c r="B2018" s="203">
        <v>2900</v>
      </c>
      <c r="C2018" s="203">
        <v>0</v>
      </c>
      <c r="D2018" s="202" t="s">
        <v>442</v>
      </c>
      <c r="E2018" s="202" t="s">
        <v>638</v>
      </c>
      <c r="F2018" s="202" t="s">
        <v>396</v>
      </c>
      <c r="G2018" s="202" t="s">
        <v>688</v>
      </c>
    </row>
    <row r="2019" spans="1:7" hidden="1">
      <c r="A2019" s="202" t="s">
        <v>1242</v>
      </c>
      <c r="B2019" s="203">
        <v>15000</v>
      </c>
      <c r="C2019" s="203">
        <v>0</v>
      </c>
      <c r="D2019" s="202" t="s">
        <v>440</v>
      </c>
      <c r="E2019" s="202" t="s">
        <v>638</v>
      </c>
      <c r="F2019" s="202" t="s">
        <v>652</v>
      </c>
      <c r="G2019" s="202" t="s">
        <v>688</v>
      </c>
    </row>
    <row r="2020" spans="1:7" hidden="1">
      <c r="A2020" s="202" t="s">
        <v>1243</v>
      </c>
      <c r="B2020" s="203">
        <v>49355</v>
      </c>
      <c r="C2020" s="203">
        <v>0</v>
      </c>
      <c r="D2020" s="202" t="s">
        <v>440</v>
      </c>
      <c r="E2020" s="202" t="s">
        <v>638</v>
      </c>
      <c r="F2020" s="202" t="s">
        <v>652</v>
      </c>
      <c r="G2020" s="202" t="s">
        <v>688</v>
      </c>
    </row>
    <row r="2021" spans="1:7" hidden="1">
      <c r="A2021" s="202" t="s">
        <v>1244</v>
      </c>
      <c r="B2021" s="203">
        <v>24000</v>
      </c>
      <c r="C2021" s="203">
        <v>0</v>
      </c>
      <c r="D2021" s="202" t="s">
        <v>440</v>
      </c>
      <c r="E2021" s="202" t="s">
        <v>638</v>
      </c>
      <c r="F2021" s="202" t="s">
        <v>652</v>
      </c>
      <c r="G2021" s="202" t="s">
        <v>688</v>
      </c>
    </row>
    <row r="2022" spans="1:7" hidden="1">
      <c r="A2022" s="202" t="s">
        <v>1245</v>
      </c>
      <c r="B2022" s="203">
        <v>21000</v>
      </c>
      <c r="C2022" s="203">
        <v>0</v>
      </c>
      <c r="D2022" s="202" t="s">
        <v>440</v>
      </c>
      <c r="E2022" s="202" t="s">
        <v>638</v>
      </c>
      <c r="F2022" s="202" t="s">
        <v>652</v>
      </c>
      <c r="G2022" s="202" t="s">
        <v>688</v>
      </c>
    </row>
    <row r="2023" spans="1:7" hidden="1">
      <c r="A2023" s="202" t="s">
        <v>1246</v>
      </c>
      <c r="B2023" s="203">
        <v>43000</v>
      </c>
      <c r="C2023" s="203">
        <v>0</v>
      </c>
      <c r="D2023" s="202" t="s">
        <v>440</v>
      </c>
      <c r="E2023" s="202" t="s">
        <v>638</v>
      </c>
      <c r="F2023" s="202" t="s">
        <v>652</v>
      </c>
      <c r="G2023" s="202" t="s">
        <v>688</v>
      </c>
    </row>
    <row r="2024" spans="1:7" hidden="1">
      <c r="A2024" s="202" t="s">
        <v>1247</v>
      </c>
      <c r="B2024" s="203">
        <v>7200</v>
      </c>
      <c r="C2024" s="203">
        <v>0</v>
      </c>
      <c r="D2024" s="202" t="s">
        <v>442</v>
      </c>
      <c r="E2024" s="202" t="s">
        <v>638</v>
      </c>
      <c r="F2024" s="202" t="s">
        <v>396</v>
      </c>
      <c r="G2024" s="202" t="s">
        <v>688</v>
      </c>
    </row>
    <row r="2025" spans="1:7" hidden="1">
      <c r="A2025" s="202" t="s">
        <v>1248</v>
      </c>
      <c r="B2025" s="203">
        <v>-1700</v>
      </c>
      <c r="C2025" s="203">
        <v>0</v>
      </c>
      <c r="D2025" s="202" t="s">
        <v>442</v>
      </c>
      <c r="E2025" s="202" t="s">
        <v>638</v>
      </c>
      <c r="F2025" s="202" t="s">
        <v>396</v>
      </c>
      <c r="G2025" s="202" t="s">
        <v>688</v>
      </c>
    </row>
    <row r="2026" spans="1:7" hidden="1">
      <c r="A2026" s="202" t="s">
        <v>1249</v>
      </c>
      <c r="B2026" s="203">
        <v>12100</v>
      </c>
      <c r="C2026" s="203">
        <v>0</v>
      </c>
      <c r="D2026" s="202" t="s">
        <v>442</v>
      </c>
      <c r="E2026" s="202" t="s">
        <v>638</v>
      </c>
      <c r="F2026" s="202" t="s">
        <v>396</v>
      </c>
      <c r="G2026" s="202" t="s">
        <v>688</v>
      </c>
    </row>
    <row r="2027" spans="1:7" hidden="1">
      <c r="A2027" s="202" t="s">
        <v>1250</v>
      </c>
      <c r="B2027" s="203">
        <v>42600</v>
      </c>
      <c r="C2027" s="203">
        <v>0</v>
      </c>
      <c r="D2027" s="202" t="s">
        <v>442</v>
      </c>
      <c r="E2027" s="202" t="s">
        <v>638</v>
      </c>
      <c r="F2027" s="202" t="s">
        <v>396</v>
      </c>
      <c r="G2027" s="202" t="s">
        <v>688</v>
      </c>
    </row>
    <row r="2028" spans="1:7" hidden="1">
      <c r="A2028" s="202" t="s">
        <v>1251</v>
      </c>
      <c r="B2028" s="203">
        <v>-8000</v>
      </c>
      <c r="C2028" s="203">
        <v>0</v>
      </c>
      <c r="D2028" s="202" t="s">
        <v>442</v>
      </c>
      <c r="E2028" s="202" t="s">
        <v>638</v>
      </c>
      <c r="F2028" s="202" t="s">
        <v>396</v>
      </c>
      <c r="G2028" s="202" t="s">
        <v>688</v>
      </c>
    </row>
    <row r="2029" spans="1:7" hidden="1">
      <c r="A2029" s="202" t="s">
        <v>1252</v>
      </c>
      <c r="B2029" s="203">
        <v>-5400</v>
      </c>
      <c r="C2029" s="203">
        <v>0</v>
      </c>
      <c r="D2029" s="202" t="s">
        <v>442</v>
      </c>
      <c r="E2029" s="202" t="s">
        <v>638</v>
      </c>
      <c r="F2029" s="202" t="s">
        <v>396</v>
      </c>
      <c r="G2029" s="202" t="s">
        <v>688</v>
      </c>
    </row>
    <row r="2030" spans="1:7" hidden="1">
      <c r="A2030" s="202" t="s">
        <v>1253</v>
      </c>
      <c r="B2030" s="203">
        <v>13500</v>
      </c>
      <c r="C2030" s="203">
        <v>0</v>
      </c>
      <c r="D2030" s="202" t="s">
        <v>440</v>
      </c>
      <c r="E2030" s="202" t="s">
        <v>638</v>
      </c>
      <c r="F2030" s="202" t="s">
        <v>652</v>
      </c>
      <c r="G2030" s="202" t="s">
        <v>688</v>
      </c>
    </row>
    <row r="2031" spans="1:7" hidden="1">
      <c r="A2031" s="202" t="s">
        <v>1254</v>
      </c>
      <c r="B2031" s="203">
        <v>30000</v>
      </c>
      <c r="C2031" s="203">
        <v>0</v>
      </c>
      <c r="D2031" s="202" t="s">
        <v>440</v>
      </c>
      <c r="E2031" s="202" t="s">
        <v>638</v>
      </c>
      <c r="F2031" s="202" t="s">
        <v>652</v>
      </c>
      <c r="G2031" s="202" t="s">
        <v>688</v>
      </c>
    </row>
    <row r="2032" spans="1:7" hidden="1">
      <c r="A2032" s="202" t="s">
        <v>1255</v>
      </c>
      <c r="B2032" s="203">
        <v>28900</v>
      </c>
      <c r="C2032" s="203">
        <v>0</v>
      </c>
      <c r="D2032" s="202" t="s">
        <v>440</v>
      </c>
      <c r="E2032" s="202" t="s">
        <v>638</v>
      </c>
      <c r="F2032" s="202" t="s">
        <v>652</v>
      </c>
      <c r="G2032" s="202" t="s">
        <v>688</v>
      </c>
    </row>
    <row r="2033" spans="1:7" hidden="1">
      <c r="A2033" s="202" t="s">
        <v>1256</v>
      </c>
      <c r="B2033" s="203">
        <v>-61800</v>
      </c>
      <c r="C2033" s="203">
        <v>0</v>
      </c>
      <c r="D2033" s="202" t="s">
        <v>440</v>
      </c>
      <c r="E2033" s="202" t="s">
        <v>638</v>
      </c>
      <c r="F2033" s="202" t="s">
        <v>409</v>
      </c>
      <c r="G2033" s="202" t="s">
        <v>688</v>
      </c>
    </row>
    <row r="2034" spans="1:7" hidden="1">
      <c r="A2034" s="202" t="s">
        <v>1257</v>
      </c>
      <c r="B2034" s="203">
        <v>-3300</v>
      </c>
      <c r="C2034" s="203">
        <v>0</v>
      </c>
      <c r="D2034" s="202" t="s">
        <v>442</v>
      </c>
      <c r="E2034" s="202" t="s">
        <v>638</v>
      </c>
      <c r="F2034" s="202" t="s">
        <v>396</v>
      </c>
      <c r="G2034" s="202" t="s">
        <v>688</v>
      </c>
    </row>
    <row r="2035" spans="1:7" hidden="1">
      <c r="A2035" s="202" t="s">
        <v>1258</v>
      </c>
      <c r="B2035" s="203">
        <v>-16400</v>
      </c>
      <c r="C2035" s="203">
        <v>0</v>
      </c>
      <c r="D2035" s="202" t="s">
        <v>440</v>
      </c>
      <c r="E2035" s="202" t="s">
        <v>638</v>
      </c>
      <c r="F2035" s="202" t="s">
        <v>652</v>
      </c>
      <c r="G2035" s="202" t="s">
        <v>688</v>
      </c>
    </row>
    <row r="2036" spans="1:7" hidden="1">
      <c r="A2036" s="202" t="s">
        <v>1259</v>
      </c>
      <c r="B2036" s="203">
        <v>-54900</v>
      </c>
      <c r="C2036" s="203">
        <v>0</v>
      </c>
      <c r="D2036" s="202" t="s">
        <v>442</v>
      </c>
      <c r="E2036" s="202" t="s">
        <v>638</v>
      </c>
      <c r="F2036" s="202" t="s">
        <v>396</v>
      </c>
      <c r="G2036" s="202" t="s">
        <v>688</v>
      </c>
    </row>
    <row r="2037" spans="1:7" hidden="1">
      <c r="A2037" s="202" t="s">
        <v>1259</v>
      </c>
      <c r="B2037" s="203">
        <v>-44500</v>
      </c>
      <c r="C2037" s="203">
        <v>0</v>
      </c>
      <c r="D2037" s="202" t="s">
        <v>474</v>
      </c>
      <c r="E2037" s="202" t="s">
        <v>638</v>
      </c>
      <c r="F2037" s="202" t="s">
        <v>396</v>
      </c>
      <c r="G2037" s="202" t="s">
        <v>688</v>
      </c>
    </row>
    <row r="2038" spans="1:7" hidden="1">
      <c r="A2038" s="202" t="s">
        <v>1260</v>
      </c>
      <c r="B2038" s="203">
        <v>-148400</v>
      </c>
      <c r="C2038" s="203">
        <v>0</v>
      </c>
      <c r="D2038" s="202" t="s">
        <v>440</v>
      </c>
      <c r="E2038" s="202" t="s">
        <v>638</v>
      </c>
      <c r="F2038" s="202" t="s">
        <v>409</v>
      </c>
      <c r="G2038" s="202" t="s">
        <v>688</v>
      </c>
    </row>
    <row r="2039" spans="1:7" hidden="1">
      <c r="A2039" s="202" t="s">
        <v>1261</v>
      </c>
      <c r="B2039" s="203">
        <v>3692</v>
      </c>
      <c r="C2039" s="203">
        <v>0</v>
      </c>
      <c r="D2039" s="202" t="s">
        <v>440</v>
      </c>
      <c r="E2039" s="202" t="s">
        <v>638</v>
      </c>
      <c r="F2039" s="202" t="s">
        <v>652</v>
      </c>
      <c r="G2039" s="202" t="s">
        <v>688</v>
      </c>
    </row>
    <row r="2040" spans="1:7" hidden="1">
      <c r="A2040" s="202" t="s">
        <v>1262</v>
      </c>
      <c r="B2040" s="203">
        <v>14800</v>
      </c>
      <c r="C2040" s="203">
        <v>0</v>
      </c>
      <c r="D2040" s="202" t="s">
        <v>440</v>
      </c>
      <c r="E2040" s="202" t="s">
        <v>638</v>
      </c>
      <c r="F2040" s="202" t="s">
        <v>652</v>
      </c>
      <c r="G2040" s="202" t="s">
        <v>688</v>
      </c>
    </row>
    <row r="2041" spans="1:7" hidden="1">
      <c r="A2041" s="202" t="s">
        <v>1263</v>
      </c>
      <c r="B2041" s="203">
        <v>36300</v>
      </c>
      <c r="C2041" s="203">
        <v>0</v>
      </c>
      <c r="D2041" s="202" t="s">
        <v>440</v>
      </c>
      <c r="E2041" s="202" t="s">
        <v>638</v>
      </c>
      <c r="F2041" s="202" t="s">
        <v>652</v>
      </c>
      <c r="G2041" s="202" t="s">
        <v>688</v>
      </c>
    </row>
    <row r="2042" spans="1:7" hidden="1">
      <c r="A2042" s="202" t="s">
        <v>1264</v>
      </c>
      <c r="B2042" s="203">
        <v>-40300</v>
      </c>
      <c r="C2042" s="203">
        <v>0</v>
      </c>
      <c r="D2042" s="202" t="s">
        <v>440</v>
      </c>
      <c r="E2042" s="202" t="s">
        <v>638</v>
      </c>
      <c r="F2042" s="202" t="s">
        <v>652</v>
      </c>
      <c r="G2042" s="202" t="s">
        <v>688</v>
      </c>
    </row>
    <row r="2043" spans="1:7" hidden="1">
      <c r="A2043" s="202" t="s">
        <v>1265</v>
      </c>
      <c r="B2043" s="203">
        <v>-6000</v>
      </c>
      <c r="C2043" s="203">
        <v>0</v>
      </c>
      <c r="D2043" s="202" t="s">
        <v>442</v>
      </c>
      <c r="E2043" s="202" t="s">
        <v>638</v>
      </c>
      <c r="F2043" s="202" t="s">
        <v>396</v>
      </c>
      <c r="G2043" s="202" t="s">
        <v>688</v>
      </c>
    </row>
    <row r="2044" spans="1:7" hidden="1">
      <c r="A2044" s="202" t="s">
        <v>370</v>
      </c>
      <c r="B2044" s="203">
        <v>7</v>
      </c>
      <c r="C2044" s="203">
        <v>0</v>
      </c>
      <c r="D2044" s="202" t="s">
        <v>283</v>
      </c>
      <c r="E2044" s="202" t="s">
        <v>639</v>
      </c>
      <c r="F2044" s="202" t="s">
        <v>652</v>
      </c>
      <c r="G2044" s="202" t="s">
        <v>688</v>
      </c>
    </row>
    <row r="2045" spans="1:7">
      <c r="A2045" s="202" t="s">
        <v>370</v>
      </c>
      <c r="B2045" s="203">
        <v>7</v>
      </c>
      <c r="C2045" s="203">
        <v>0</v>
      </c>
      <c r="D2045" s="202" t="s">
        <v>282</v>
      </c>
      <c r="E2045" s="202" t="s">
        <v>639</v>
      </c>
      <c r="F2045" s="202" t="s">
        <v>652</v>
      </c>
      <c r="G2045" s="202" t="s">
        <v>688</v>
      </c>
    </row>
    <row r="2046" spans="1:7" hidden="1">
      <c r="A2046" s="202" t="s">
        <v>374</v>
      </c>
      <c r="B2046" s="203">
        <v>14</v>
      </c>
      <c r="C2046" s="203">
        <v>0</v>
      </c>
      <c r="D2046" s="202" t="s">
        <v>283</v>
      </c>
      <c r="E2046" s="202" t="s">
        <v>639</v>
      </c>
      <c r="F2046" s="202" t="s">
        <v>652</v>
      </c>
      <c r="G2046" s="202" t="s">
        <v>688</v>
      </c>
    </row>
    <row r="2047" spans="1:7">
      <c r="A2047" s="202" t="s">
        <v>374</v>
      </c>
      <c r="B2047" s="203">
        <v>15</v>
      </c>
      <c r="C2047" s="203">
        <v>0</v>
      </c>
      <c r="D2047" s="202" t="s">
        <v>282</v>
      </c>
      <c r="E2047" s="202" t="s">
        <v>639</v>
      </c>
      <c r="F2047" s="202" t="s">
        <v>652</v>
      </c>
      <c r="G2047" s="202" t="s">
        <v>688</v>
      </c>
    </row>
    <row r="2048" spans="1:7" hidden="1">
      <c r="A2048" s="202" t="s">
        <v>372</v>
      </c>
      <c r="B2048" s="203">
        <v>182</v>
      </c>
      <c r="C2048" s="203">
        <v>0</v>
      </c>
      <c r="D2048" s="202" t="s">
        <v>283</v>
      </c>
      <c r="E2048" s="202" t="s">
        <v>639</v>
      </c>
      <c r="F2048" s="202" t="s">
        <v>652</v>
      </c>
      <c r="G2048" s="202" t="s">
        <v>688</v>
      </c>
    </row>
    <row r="2049" spans="1:7">
      <c r="A2049" s="202" t="s">
        <v>372</v>
      </c>
      <c r="B2049" s="203">
        <v>182</v>
      </c>
      <c r="C2049" s="203">
        <v>0</v>
      </c>
      <c r="D2049" s="202" t="s">
        <v>282</v>
      </c>
      <c r="E2049" s="202" t="s">
        <v>639</v>
      </c>
      <c r="F2049" s="202" t="s">
        <v>652</v>
      </c>
      <c r="G2049" s="202" t="s">
        <v>688</v>
      </c>
    </row>
    <row r="2050" spans="1:7" hidden="1">
      <c r="A2050" s="202" t="s">
        <v>375</v>
      </c>
      <c r="B2050" s="203">
        <v>89</v>
      </c>
      <c r="C2050" s="203">
        <v>0</v>
      </c>
      <c r="D2050" s="202" t="s">
        <v>283</v>
      </c>
      <c r="E2050" s="202" t="s">
        <v>639</v>
      </c>
      <c r="F2050" s="202" t="s">
        <v>652</v>
      </c>
      <c r="G2050" s="202" t="s">
        <v>688</v>
      </c>
    </row>
    <row r="2051" spans="1:7">
      <c r="A2051" s="202" t="s">
        <v>375</v>
      </c>
      <c r="B2051" s="203">
        <v>89</v>
      </c>
      <c r="C2051" s="203">
        <v>0</v>
      </c>
      <c r="D2051" s="202" t="s">
        <v>282</v>
      </c>
      <c r="E2051" s="202" t="s">
        <v>639</v>
      </c>
      <c r="F2051" s="202" t="s">
        <v>652</v>
      </c>
      <c r="G2051" s="202" t="s">
        <v>688</v>
      </c>
    </row>
    <row r="2052" spans="1:7" hidden="1">
      <c r="A2052" s="202" t="s">
        <v>653</v>
      </c>
      <c r="B2052" s="203">
        <v>-694</v>
      </c>
      <c r="C2052" s="203">
        <v>0</v>
      </c>
      <c r="D2052" s="202" t="s">
        <v>442</v>
      </c>
      <c r="E2052" s="202" t="s">
        <v>638</v>
      </c>
      <c r="F2052" s="202" t="s">
        <v>652</v>
      </c>
      <c r="G2052" s="202" t="s">
        <v>688</v>
      </c>
    </row>
    <row r="2053" spans="1:7" hidden="1">
      <c r="A2053" s="202" t="s">
        <v>654</v>
      </c>
      <c r="B2053" s="203">
        <v>-54407</v>
      </c>
      <c r="C2053" s="203">
        <v>0</v>
      </c>
      <c r="D2053" s="202" t="s">
        <v>442</v>
      </c>
      <c r="E2053" s="202" t="s">
        <v>638</v>
      </c>
      <c r="F2053" s="202" t="s">
        <v>652</v>
      </c>
      <c r="G2053" s="202" t="s">
        <v>688</v>
      </c>
    </row>
    <row r="2054" spans="1:7" hidden="1">
      <c r="A2054" s="202" t="s">
        <v>1266</v>
      </c>
      <c r="B2054" s="203">
        <v>7400</v>
      </c>
      <c r="C2054" s="203">
        <v>0</v>
      </c>
      <c r="D2054" s="202" t="s">
        <v>440</v>
      </c>
      <c r="E2054" s="202" t="s">
        <v>638</v>
      </c>
      <c r="F2054" s="202" t="s">
        <v>409</v>
      </c>
      <c r="G2054" s="202" t="s">
        <v>688</v>
      </c>
    </row>
    <row r="2055" spans="1:7" hidden="1">
      <c r="A2055" s="202" t="s">
        <v>1267</v>
      </c>
      <c r="B2055" s="203">
        <v>7400</v>
      </c>
      <c r="C2055" s="203">
        <v>0</v>
      </c>
      <c r="D2055" s="202" t="s">
        <v>442</v>
      </c>
      <c r="E2055" s="202" t="s">
        <v>638</v>
      </c>
      <c r="F2055" s="202" t="s">
        <v>396</v>
      </c>
      <c r="G2055" s="202" t="s">
        <v>688</v>
      </c>
    </row>
    <row r="2056" spans="1:7" hidden="1">
      <c r="A2056" s="202" t="s">
        <v>1268</v>
      </c>
      <c r="B2056" s="203">
        <v>3900</v>
      </c>
      <c r="C2056" s="203">
        <v>0</v>
      </c>
      <c r="D2056" s="202" t="s">
        <v>442</v>
      </c>
      <c r="E2056" s="202" t="s">
        <v>638</v>
      </c>
      <c r="F2056" s="202" t="s">
        <v>396</v>
      </c>
      <c r="G2056" s="202" t="s">
        <v>688</v>
      </c>
    </row>
    <row r="2057" spans="1:7" hidden="1">
      <c r="A2057" s="202" t="s">
        <v>1269</v>
      </c>
      <c r="B2057" s="203">
        <v>2300</v>
      </c>
      <c r="C2057" s="203">
        <v>0</v>
      </c>
      <c r="D2057" s="202" t="s">
        <v>442</v>
      </c>
      <c r="E2057" s="202" t="s">
        <v>638</v>
      </c>
      <c r="F2057" s="202" t="s">
        <v>396</v>
      </c>
      <c r="G2057" s="202" t="s">
        <v>688</v>
      </c>
    </row>
    <row r="2058" spans="1:7" hidden="1">
      <c r="A2058" s="202" t="s">
        <v>1270</v>
      </c>
      <c r="B2058" s="203">
        <v>5700</v>
      </c>
      <c r="C2058" s="203">
        <v>0</v>
      </c>
      <c r="D2058" s="202" t="s">
        <v>442</v>
      </c>
      <c r="E2058" s="202" t="s">
        <v>638</v>
      </c>
      <c r="F2058" s="202" t="s">
        <v>396</v>
      </c>
      <c r="G2058" s="202" t="s">
        <v>688</v>
      </c>
    </row>
    <row r="2059" spans="1:7" hidden="1">
      <c r="A2059" s="202" t="s">
        <v>1271</v>
      </c>
      <c r="B2059" s="203">
        <v>3100</v>
      </c>
      <c r="C2059" s="203">
        <v>0</v>
      </c>
      <c r="D2059" s="202" t="s">
        <v>442</v>
      </c>
      <c r="E2059" s="202" t="s">
        <v>638</v>
      </c>
      <c r="F2059" s="202" t="s">
        <v>396</v>
      </c>
      <c r="G2059" s="202" t="s">
        <v>688</v>
      </c>
    </row>
    <row r="2060" spans="1:7" hidden="1">
      <c r="A2060" s="202" t="s">
        <v>1272</v>
      </c>
      <c r="B2060" s="203">
        <v>23000</v>
      </c>
      <c r="C2060" s="203">
        <v>0</v>
      </c>
      <c r="D2060" s="202" t="s">
        <v>440</v>
      </c>
      <c r="E2060" s="202" t="s">
        <v>638</v>
      </c>
      <c r="F2060" s="202" t="s">
        <v>652</v>
      </c>
      <c r="G2060" s="202" t="s">
        <v>688</v>
      </c>
    </row>
    <row r="2061" spans="1:7" hidden="1">
      <c r="A2061" s="202" t="s">
        <v>1273</v>
      </c>
      <c r="B2061" s="203">
        <v>2800</v>
      </c>
      <c r="C2061" s="203">
        <v>0</v>
      </c>
      <c r="D2061" s="202" t="s">
        <v>442</v>
      </c>
      <c r="E2061" s="202" t="s">
        <v>638</v>
      </c>
      <c r="F2061" s="202" t="s">
        <v>396</v>
      </c>
      <c r="G2061" s="202" t="s">
        <v>688</v>
      </c>
    </row>
    <row r="2062" spans="1:7" hidden="1">
      <c r="A2062" s="202" t="s">
        <v>1274</v>
      </c>
      <c r="B2062" s="203">
        <v>3200</v>
      </c>
      <c r="C2062" s="203">
        <v>0</v>
      </c>
      <c r="D2062" s="202" t="s">
        <v>442</v>
      </c>
      <c r="E2062" s="202" t="s">
        <v>638</v>
      </c>
      <c r="F2062" s="202" t="s">
        <v>396</v>
      </c>
      <c r="G2062" s="202" t="s">
        <v>688</v>
      </c>
    </row>
    <row r="2063" spans="1:7" hidden="1">
      <c r="A2063" s="202" t="s">
        <v>1275</v>
      </c>
      <c r="B2063" s="203">
        <v>13300</v>
      </c>
      <c r="C2063" s="203">
        <v>0</v>
      </c>
      <c r="D2063" s="202" t="s">
        <v>440</v>
      </c>
      <c r="E2063" s="202" t="s">
        <v>638</v>
      </c>
      <c r="F2063" s="202" t="s">
        <v>652</v>
      </c>
      <c r="G2063" s="202" t="s">
        <v>688</v>
      </c>
    </row>
    <row r="2064" spans="1:7" hidden="1">
      <c r="A2064" s="202" t="s">
        <v>1276</v>
      </c>
      <c r="B2064" s="203">
        <v>36100</v>
      </c>
      <c r="C2064" s="203">
        <v>0</v>
      </c>
      <c r="D2064" s="202" t="s">
        <v>440</v>
      </c>
      <c r="E2064" s="202" t="s">
        <v>638</v>
      </c>
      <c r="F2064" s="202" t="s">
        <v>652</v>
      </c>
      <c r="G2064" s="202" t="s">
        <v>688</v>
      </c>
    </row>
    <row r="2065" spans="1:7" hidden="1">
      <c r="A2065" s="202" t="s">
        <v>1277</v>
      </c>
      <c r="B2065" s="203">
        <v>53200</v>
      </c>
      <c r="C2065" s="203">
        <v>0</v>
      </c>
      <c r="D2065" s="202" t="s">
        <v>440</v>
      </c>
      <c r="E2065" s="202" t="s">
        <v>638</v>
      </c>
      <c r="F2065" s="202" t="s">
        <v>652</v>
      </c>
      <c r="G2065" s="202" t="s">
        <v>688</v>
      </c>
    </row>
    <row r="2066" spans="1:7" hidden="1">
      <c r="A2066" s="202" t="s">
        <v>1278</v>
      </c>
      <c r="B2066" s="203">
        <v>2900</v>
      </c>
      <c r="C2066" s="203">
        <v>0</v>
      </c>
      <c r="D2066" s="202" t="s">
        <v>442</v>
      </c>
      <c r="E2066" s="202" t="s">
        <v>638</v>
      </c>
      <c r="F2066" s="202" t="s">
        <v>396</v>
      </c>
      <c r="G2066" s="202" t="s">
        <v>688</v>
      </c>
    </row>
    <row r="2067" spans="1:7" hidden="1">
      <c r="A2067" s="202" t="s">
        <v>1279</v>
      </c>
      <c r="B2067" s="203">
        <v>22200</v>
      </c>
      <c r="C2067" s="203">
        <v>0</v>
      </c>
      <c r="D2067" s="202" t="s">
        <v>440</v>
      </c>
      <c r="E2067" s="202" t="s">
        <v>638</v>
      </c>
      <c r="F2067" s="202" t="s">
        <v>652</v>
      </c>
      <c r="G2067" s="202" t="s">
        <v>688</v>
      </c>
    </row>
    <row r="2068" spans="1:7" hidden="1">
      <c r="A2068" s="202" t="s">
        <v>1280</v>
      </c>
      <c r="B2068" s="203">
        <v>14000</v>
      </c>
      <c r="C2068" s="203">
        <v>0</v>
      </c>
      <c r="D2068" s="202" t="s">
        <v>440</v>
      </c>
      <c r="E2068" s="202" t="s">
        <v>638</v>
      </c>
      <c r="F2068" s="202" t="s">
        <v>652</v>
      </c>
      <c r="G2068" s="202" t="s">
        <v>688</v>
      </c>
    </row>
    <row r="2069" spans="1:7" hidden="1">
      <c r="A2069" s="202" t="s">
        <v>1281</v>
      </c>
      <c r="B2069" s="203">
        <v>4000</v>
      </c>
      <c r="C2069" s="203">
        <v>0</v>
      </c>
      <c r="D2069" s="202" t="s">
        <v>442</v>
      </c>
      <c r="E2069" s="202" t="s">
        <v>638</v>
      </c>
      <c r="F2069" s="202" t="s">
        <v>396</v>
      </c>
      <c r="G2069" s="202" t="s">
        <v>688</v>
      </c>
    </row>
    <row r="2070" spans="1:7" hidden="1">
      <c r="A2070" s="202" t="s">
        <v>1282</v>
      </c>
      <c r="B2070" s="203">
        <v>16000</v>
      </c>
      <c r="C2070" s="203">
        <v>0</v>
      </c>
      <c r="D2070" s="202" t="s">
        <v>440</v>
      </c>
      <c r="E2070" s="202" t="s">
        <v>638</v>
      </c>
      <c r="F2070" s="202" t="s">
        <v>652</v>
      </c>
      <c r="G2070" s="202" t="s">
        <v>688</v>
      </c>
    </row>
    <row r="2071" spans="1:7" hidden="1">
      <c r="A2071" s="202" t="s">
        <v>1283</v>
      </c>
      <c r="B2071" s="203">
        <v>25000</v>
      </c>
      <c r="C2071" s="203">
        <v>0</v>
      </c>
      <c r="D2071" s="202" t="s">
        <v>440</v>
      </c>
      <c r="E2071" s="202" t="s">
        <v>638</v>
      </c>
      <c r="F2071" s="202" t="s">
        <v>409</v>
      </c>
      <c r="G2071" s="202" t="s">
        <v>688</v>
      </c>
    </row>
    <row r="2072" spans="1:7" hidden="1">
      <c r="A2072" s="202" t="s">
        <v>1284</v>
      </c>
      <c r="B2072" s="203">
        <v>10800</v>
      </c>
      <c r="C2072" s="203">
        <v>0</v>
      </c>
      <c r="D2072" s="202" t="s">
        <v>442</v>
      </c>
      <c r="E2072" s="202" t="s">
        <v>638</v>
      </c>
      <c r="F2072" s="202" t="s">
        <v>396</v>
      </c>
      <c r="G2072" s="202" t="s">
        <v>688</v>
      </c>
    </row>
    <row r="2073" spans="1:7" hidden="1">
      <c r="A2073" s="202" t="s">
        <v>1284</v>
      </c>
      <c r="B2073" s="203">
        <v>79600</v>
      </c>
      <c r="C2073" s="203">
        <v>0</v>
      </c>
      <c r="D2073" s="202" t="s">
        <v>474</v>
      </c>
      <c r="E2073" s="202" t="s">
        <v>638</v>
      </c>
      <c r="F2073" s="202" t="s">
        <v>396</v>
      </c>
      <c r="G2073" s="202" t="s">
        <v>688</v>
      </c>
    </row>
    <row r="2074" spans="1:7" hidden="1">
      <c r="A2074" s="202" t="s">
        <v>1285</v>
      </c>
      <c r="B2074" s="203">
        <v>6000</v>
      </c>
      <c r="C2074" s="203">
        <v>0</v>
      </c>
      <c r="D2074" s="202" t="s">
        <v>442</v>
      </c>
      <c r="E2074" s="202" t="s">
        <v>638</v>
      </c>
      <c r="F2074" s="202" t="s">
        <v>396</v>
      </c>
      <c r="G2074" s="202" t="s">
        <v>688</v>
      </c>
    </row>
    <row r="2075" spans="1:7" hidden="1">
      <c r="A2075" s="202" t="s">
        <v>1286</v>
      </c>
      <c r="B2075" s="203">
        <v>87000</v>
      </c>
      <c r="C2075" s="203">
        <v>0</v>
      </c>
      <c r="D2075" s="202" t="s">
        <v>440</v>
      </c>
      <c r="E2075" s="202" t="s">
        <v>638</v>
      </c>
      <c r="F2075" s="202" t="s">
        <v>652</v>
      </c>
      <c r="G2075" s="202" t="s">
        <v>688</v>
      </c>
    </row>
    <row r="2076" spans="1:7" hidden="1">
      <c r="A2076" s="202" t="s">
        <v>1287</v>
      </c>
      <c r="B2076" s="203">
        <v>3200</v>
      </c>
      <c r="C2076" s="203">
        <v>0</v>
      </c>
      <c r="D2076" s="202" t="s">
        <v>442</v>
      </c>
      <c r="E2076" s="202" t="s">
        <v>638</v>
      </c>
      <c r="F2076" s="202" t="s">
        <v>396</v>
      </c>
      <c r="G2076" s="202" t="s">
        <v>688</v>
      </c>
    </row>
    <row r="2077" spans="1:7" hidden="1">
      <c r="A2077" s="202" t="s">
        <v>1288</v>
      </c>
      <c r="B2077" s="203">
        <v>5100</v>
      </c>
      <c r="C2077" s="203">
        <v>0</v>
      </c>
      <c r="D2077" s="202" t="s">
        <v>442</v>
      </c>
      <c r="E2077" s="202" t="s">
        <v>638</v>
      </c>
      <c r="F2077" s="202" t="s">
        <v>396</v>
      </c>
      <c r="G2077" s="202" t="s">
        <v>688</v>
      </c>
    </row>
    <row r="2078" spans="1:7" hidden="1">
      <c r="A2078" s="202" t="s">
        <v>1289</v>
      </c>
      <c r="B2078" s="203">
        <v>7700</v>
      </c>
      <c r="C2078" s="203">
        <v>0</v>
      </c>
      <c r="D2078" s="202" t="s">
        <v>442</v>
      </c>
      <c r="E2078" s="202" t="s">
        <v>638</v>
      </c>
      <c r="F2078" s="202" t="s">
        <v>396</v>
      </c>
      <c r="G2078" s="202" t="s">
        <v>688</v>
      </c>
    </row>
    <row r="2079" spans="1:7" hidden="1">
      <c r="A2079" s="202" t="s">
        <v>1290</v>
      </c>
      <c r="B2079" s="203">
        <v>7300</v>
      </c>
      <c r="C2079" s="203">
        <v>0</v>
      </c>
      <c r="D2079" s="202" t="s">
        <v>442</v>
      </c>
      <c r="E2079" s="202" t="s">
        <v>638</v>
      </c>
      <c r="F2079" s="202" t="s">
        <v>396</v>
      </c>
      <c r="G2079" s="202" t="s">
        <v>688</v>
      </c>
    </row>
    <row r="2080" spans="1:7" hidden="1">
      <c r="A2080" s="202" t="s">
        <v>1291</v>
      </c>
      <c r="B2080" s="203">
        <v>22900</v>
      </c>
      <c r="C2080" s="203">
        <v>0</v>
      </c>
      <c r="D2080" s="202" t="s">
        <v>440</v>
      </c>
      <c r="E2080" s="202" t="s">
        <v>638</v>
      </c>
      <c r="F2080" s="202" t="s">
        <v>652</v>
      </c>
      <c r="G2080" s="202" t="s">
        <v>688</v>
      </c>
    </row>
    <row r="2081" spans="1:7" hidden="1">
      <c r="A2081" s="202" t="s">
        <v>1292</v>
      </c>
      <c r="B2081" s="203">
        <v>6000</v>
      </c>
      <c r="C2081" s="203">
        <v>0</v>
      </c>
      <c r="D2081" s="202" t="s">
        <v>442</v>
      </c>
      <c r="E2081" s="202" t="s">
        <v>638</v>
      </c>
      <c r="F2081" s="202" t="s">
        <v>396</v>
      </c>
      <c r="G2081" s="202" t="s">
        <v>688</v>
      </c>
    </row>
    <row r="2082" spans="1:7" hidden="1">
      <c r="A2082" s="202" t="s">
        <v>1293</v>
      </c>
      <c r="B2082" s="203">
        <v>6200</v>
      </c>
      <c r="C2082" s="203">
        <v>0</v>
      </c>
      <c r="D2082" s="202" t="s">
        <v>442</v>
      </c>
      <c r="E2082" s="202" t="s">
        <v>638</v>
      </c>
      <c r="F2082" s="202" t="s">
        <v>396</v>
      </c>
      <c r="G2082" s="202" t="s">
        <v>688</v>
      </c>
    </row>
    <row r="2083" spans="1:7" hidden="1">
      <c r="A2083" s="202" t="s">
        <v>1294</v>
      </c>
      <c r="B2083" s="203">
        <v>5100</v>
      </c>
      <c r="C2083" s="203">
        <v>0</v>
      </c>
      <c r="D2083" s="202" t="s">
        <v>442</v>
      </c>
      <c r="E2083" s="202" t="s">
        <v>638</v>
      </c>
      <c r="F2083" s="202" t="s">
        <v>396</v>
      </c>
      <c r="G2083" s="202" t="s">
        <v>688</v>
      </c>
    </row>
    <row r="2084" spans="1:7" hidden="1">
      <c r="A2084" s="202" t="s">
        <v>1295</v>
      </c>
      <c r="B2084" s="203">
        <v>6400</v>
      </c>
      <c r="C2084" s="203">
        <v>0</v>
      </c>
      <c r="D2084" s="202" t="s">
        <v>442</v>
      </c>
      <c r="E2084" s="202" t="s">
        <v>638</v>
      </c>
      <c r="F2084" s="202" t="s">
        <v>396</v>
      </c>
      <c r="G2084" s="202" t="s">
        <v>688</v>
      </c>
    </row>
    <row r="2085" spans="1:7" hidden="1">
      <c r="A2085" s="202" t="s">
        <v>1296</v>
      </c>
      <c r="B2085" s="203">
        <v>1127</v>
      </c>
      <c r="C2085" s="203">
        <v>0</v>
      </c>
      <c r="D2085" s="202" t="s">
        <v>440</v>
      </c>
      <c r="E2085" s="202" t="s">
        <v>638</v>
      </c>
      <c r="F2085" s="202" t="s">
        <v>652</v>
      </c>
      <c r="G2085" s="202" t="s">
        <v>688</v>
      </c>
    </row>
    <row r="2086" spans="1:7" hidden="1">
      <c r="A2086" s="202" t="s">
        <v>1297</v>
      </c>
      <c r="B2086" s="203">
        <v>23200</v>
      </c>
      <c r="C2086" s="203">
        <v>0</v>
      </c>
      <c r="D2086" s="202" t="s">
        <v>440</v>
      </c>
      <c r="E2086" s="202" t="s">
        <v>638</v>
      </c>
      <c r="F2086" s="202" t="s">
        <v>652</v>
      </c>
      <c r="G2086" s="202" t="s">
        <v>688</v>
      </c>
    </row>
    <row r="2087" spans="1:7" hidden="1">
      <c r="A2087" s="202" t="s">
        <v>1298</v>
      </c>
      <c r="B2087" s="203">
        <v>3800</v>
      </c>
      <c r="C2087" s="203">
        <v>0</v>
      </c>
      <c r="D2087" s="202" t="s">
        <v>442</v>
      </c>
      <c r="E2087" s="202" t="s">
        <v>638</v>
      </c>
      <c r="F2087" s="202" t="s">
        <v>396</v>
      </c>
      <c r="G2087" s="202" t="s">
        <v>688</v>
      </c>
    </row>
    <row r="2088" spans="1:7" hidden="1">
      <c r="A2088" s="202" t="s">
        <v>1299</v>
      </c>
      <c r="B2088" s="203">
        <v>6400</v>
      </c>
      <c r="C2088" s="203">
        <v>0</v>
      </c>
      <c r="D2088" s="202" t="s">
        <v>442</v>
      </c>
      <c r="E2088" s="202" t="s">
        <v>638</v>
      </c>
      <c r="F2088" s="202" t="s">
        <v>396</v>
      </c>
      <c r="G2088" s="202" t="s">
        <v>688</v>
      </c>
    </row>
    <row r="2089" spans="1:7" hidden="1">
      <c r="A2089" s="202" t="s">
        <v>1300</v>
      </c>
      <c r="B2089" s="203">
        <v>5000</v>
      </c>
      <c r="C2089" s="203">
        <v>0</v>
      </c>
      <c r="D2089" s="202" t="s">
        <v>442</v>
      </c>
      <c r="E2089" s="202" t="s">
        <v>638</v>
      </c>
      <c r="F2089" s="202" t="s">
        <v>396</v>
      </c>
      <c r="G2089" s="202" t="s">
        <v>688</v>
      </c>
    </row>
    <row r="2090" spans="1:7" hidden="1">
      <c r="A2090" s="202" t="s">
        <v>1301</v>
      </c>
      <c r="B2090" s="203">
        <v>9000</v>
      </c>
      <c r="C2090" s="203">
        <v>0</v>
      </c>
      <c r="D2090" s="202" t="s">
        <v>442</v>
      </c>
      <c r="E2090" s="202" t="s">
        <v>638</v>
      </c>
      <c r="F2090" s="202" t="s">
        <v>396</v>
      </c>
      <c r="G2090" s="202" t="s">
        <v>688</v>
      </c>
    </row>
    <row r="2091" spans="1:7" hidden="1">
      <c r="A2091" s="202" t="s">
        <v>1302</v>
      </c>
      <c r="B2091" s="203">
        <v>6300</v>
      </c>
      <c r="C2091" s="203">
        <v>0</v>
      </c>
      <c r="D2091" s="202" t="s">
        <v>442</v>
      </c>
      <c r="E2091" s="202" t="s">
        <v>638</v>
      </c>
      <c r="F2091" s="202" t="s">
        <v>396</v>
      </c>
      <c r="G2091" s="202" t="s">
        <v>688</v>
      </c>
    </row>
    <row r="2092" spans="1:7" hidden="1">
      <c r="A2092" s="202" t="s">
        <v>1303</v>
      </c>
      <c r="B2092" s="203">
        <v>100000</v>
      </c>
      <c r="C2092" s="203">
        <v>0</v>
      </c>
      <c r="D2092" s="202" t="s">
        <v>440</v>
      </c>
      <c r="E2092" s="202" t="s">
        <v>638</v>
      </c>
      <c r="F2092" s="202" t="s">
        <v>409</v>
      </c>
      <c r="G2092" s="202" t="s">
        <v>688</v>
      </c>
    </row>
    <row r="2093" spans="1:7" hidden="1">
      <c r="A2093" s="202" t="s">
        <v>1304</v>
      </c>
      <c r="B2093" s="203">
        <v>-16300</v>
      </c>
      <c r="C2093" s="203">
        <v>0</v>
      </c>
      <c r="D2093" s="202" t="s">
        <v>440</v>
      </c>
      <c r="E2093" s="202" t="s">
        <v>638</v>
      </c>
      <c r="F2093" s="202" t="s">
        <v>652</v>
      </c>
      <c r="G2093" s="202" t="s">
        <v>688</v>
      </c>
    </row>
    <row r="2094" spans="1:7" hidden="1">
      <c r="A2094" s="202" t="s">
        <v>1305</v>
      </c>
      <c r="B2094" s="203">
        <v>-16100</v>
      </c>
      <c r="C2094" s="203">
        <v>0</v>
      </c>
      <c r="D2094" s="202" t="s">
        <v>440</v>
      </c>
      <c r="E2094" s="202" t="s">
        <v>638</v>
      </c>
      <c r="F2094" s="202" t="s">
        <v>409</v>
      </c>
      <c r="G2094" s="202" t="s">
        <v>688</v>
      </c>
    </row>
    <row r="2095" spans="1:7" hidden="1">
      <c r="A2095" s="202" t="s">
        <v>1306</v>
      </c>
      <c r="B2095" s="203">
        <v>600</v>
      </c>
      <c r="C2095" s="203">
        <v>0</v>
      </c>
      <c r="D2095" s="202" t="s">
        <v>442</v>
      </c>
      <c r="E2095" s="202" t="s">
        <v>638</v>
      </c>
      <c r="F2095" s="202" t="s">
        <v>396</v>
      </c>
      <c r="G2095" s="202" t="s">
        <v>688</v>
      </c>
    </row>
    <row r="2096" spans="1:7" hidden="1">
      <c r="A2096" s="202" t="s">
        <v>1307</v>
      </c>
      <c r="B2096" s="203">
        <v>1900</v>
      </c>
      <c r="C2096" s="203">
        <v>0</v>
      </c>
      <c r="D2096" s="202" t="s">
        <v>442</v>
      </c>
      <c r="E2096" s="202" t="s">
        <v>638</v>
      </c>
      <c r="F2096" s="202" t="s">
        <v>396</v>
      </c>
      <c r="G2096" s="202" t="s">
        <v>688</v>
      </c>
    </row>
    <row r="2097" spans="1:7" hidden="1">
      <c r="A2097" s="202" t="s">
        <v>1308</v>
      </c>
      <c r="B2097" s="203">
        <v>48500</v>
      </c>
      <c r="C2097" s="203">
        <v>0</v>
      </c>
      <c r="D2097" s="202" t="s">
        <v>440</v>
      </c>
      <c r="E2097" s="202" t="s">
        <v>638</v>
      </c>
      <c r="F2097" s="202" t="s">
        <v>409</v>
      </c>
      <c r="G2097" s="202" t="s">
        <v>688</v>
      </c>
    </row>
    <row r="2098" spans="1:7" hidden="1">
      <c r="A2098" s="202" t="s">
        <v>1309</v>
      </c>
      <c r="B2098" s="203">
        <v>80900</v>
      </c>
      <c r="C2098" s="203">
        <v>0</v>
      </c>
      <c r="D2098" s="202" t="s">
        <v>440</v>
      </c>
      <c r="E2098" s="202" t="s">
        <v>638</v>
      </c>
      <c r="F2098" s="202" t="s">
        <v>652</v>
      </c>
      <c r="G2098" s="202" t="s">
        <v>688</v>
      </c>
    </row>
    <row r="2099" spans="1:7" hidden="1">
      <c r="A2099" s="202" t="s">
        <v>1310</v>
      </c>
      <c r="B2099" s="203">
        <v>154900</v>
      </c>
      <c r="C2099" s="203">
        <v>0</v>
      </c>
      <c r="D2099" s="202" t="s">
        <v>440</v>
      </c>
      <c r="E2099" s="202" t="s">
        <v>638</v>
      </c>
      <c r="F2099" s="202" t="s">
        <v>652</v>
      </c>
      <c r="G2099" s="202" t="s">
        <v>688</v>
      </c>
    </row>
    <row r="2100" spans="1:7" hidden="1">
      <c r="A2100" s="202" t="s">
        <v>1311</v>
      </c>
      <c r="B2100" s="203">
        <v>4000</v>
      </c>
      <c r="C2100" s="203">
        <v>0</v>
      </c>
      <c r="D2100" s="202" t="s">
        <v>442</v>
      </c>
      <c r="E2100" s="202" t="s">
        <v>638</v>
      </c>
      <c r="F2100" s="202" t="s">
        <v>396</v>
      </c>
      <c r="G2100" s="202" t="s">
        <v>688</v>
      </c>
    </row>
    <row r="2101" spans="1:7" hidden="1">
      <c r="A2101" s="202" t="s">
        <v>1312</v>
      </c>
      <c r="B2101" s="203">
        <v>59800</v>
      </c>
      <c r="C2101" s="203">
        <v>0</v>
      </c>
      <c r="D2101" s="202" t="s">
        <v>440</v>
      </c>
      <c r="E2101" s="202" t="s">
        <v>638</v>
      </c>
      <c r="F2101" s="202" t="s">
        <v>652</v>
      </c>
      <c r="G2101" s="202" t="s">
        <v>688</v>
      </c>
    </row>
    <row r="2102" spans="1:7" hidden="1">
      <c r="A2102" s="202" t="s">
        <v>1313</v>
      </c>
      <c r="B2102" s="203">
        <v>71500</v>
      </c>
      <c r="C2102" s="203">
        <v>0</v>
      </c>
      <c r="D2102" s="202" t="s">
        <v>440</v>
      </c>
      <c r="E2102" s="202" t="s">
        <v>638</v>
      </c>
      <c r="F2102" s="202" t="s">
        <v>652</v>
      </c>
      <c r="G2102" s="202" t="s">
        <v>688</v>
      </c>
    </row>
    <row r="2103" spans="1:7" hidden="1">
      <c r="A2103" s="202" t="s">
        <v>1314</v>
      </c>
      <c r="B2103" s="203">
        <v>4300</v>
      </c>
      <c r="C2103" s="203">
        <v>0</v>
      </c>
      <c r="D2103" s="202" t="s">
        <v>442</v>
      </c>
      <c r="E2103" s="202" t="s">
        <v>638</v>
      </c>
      <c r="F2103" s="202" t="s">
        <v>396</v>
      </c>
      <c r="G2103" s="202" t="s">
        <v>688</v>
      </c>
    </row>
    <row r="2104" spans="1:7" hidden="1">
      <c r="A2104" s="202" t="s">
        <v>1315</v>
      </c>
      <c r="B2104" s="203">
        <v>1200</v>
      </c>
      <c r="C2104" s="203">
        <v>0</v>
      </c>
      <c r="D2104" s="202" t="s">
        <v>440</v>
      </c>
      <c r="E2104" s="202" t="s">
        <v>638</v>
      </c>
      <c r="F2104" s="202" t="s">
        <v>652</v>
      </c>
      <c r="G2104" s="202" t="s">
        <v>688</v>
      </c>
    </row>
    <row r="2105" spans="1:7" hidden="1">
      <c r="A2105" s="202" t="s">
        <v>1316</v>
      </c>
      <c r="B2105" s="203">
        <v>4200</v>
      </c>
      <c r="C2105" s="203">
        <v>0</v>
      </c>
      <c r="D2105" s="202" t="s">
        <v>442</v>
      </c>
      <c r="E2105" s="202" t="s">
        <v>638</v>
      </c>
      <c r="F2105" s="202" t="s">
        <v>396</v>
      </c>
      <c r="G2105" s="202" t="s">
        <v>688</v>
      </c>
    </row>
    <row r="2106" spans="1:7" hidden="1">
      <c r="A2106" s="202" t="s">
        <v>1317</v>
      </c>
      <c r="B2106" s="203">
        <v>4200</v>
      </c>
      <c r="C2106" s="203">
        <v>0</v>
      </c>
      <c r="D2106" s="202" t="s">
        <v>442</v>
      </c>
      <c r="E2106" s="202" t="s">
        <v>638</v>
      </c>
      <c r="F2106" s="202" t="s">
        <v>396</v>
      </c>
      <c r="G2106" s="202" t="s">
        <v>688</v>
      </c>
    </row>
    <row r="2107" spans="1:7" hidden="1">
      <c r="A2107" s="202" t="s">
        <v>1318</v>
      </c>
      <c r="B2107" s="203">
        <v>105000</v>
      </c>
      <c r="C2107" s="203">
        <v>0</v>
      </c>
      <c r="D2107" s="202" t="s">
        <v>440</v>
      </c>
      <c r="E2107" s="202" t="s">
        <v>638</v>
      </c>
      <c r="F2107" s="202" t="s">
        <v>652</v>
      </c>
      <c r="G2107" s="202" t="s">
        <v>688</v>
      </c>
    </row>
    <row r="2108" spans="1:7" hidden="1">
      <c r="A2108" s="202" t="s">
        <v>1319</v>
      </c>
      <c r="B2108" s="203">
        <v>8200</v>
      </c>
      <c r="C2108" s="203">
        <v>0</v>
      </c>
      <c r="D2108" s="202" t="s">
        <v>442</v>
      </c>
      <c r="E2108" s="202" t="s">
        <v>638</v>
      </c>
      <c r="F2108" s="202" t="s">
        <v>396</v>
      </c>
      <c r="G2108" s="202" t="s">
        <v>688</v>
      </c>
    </row>
    <row r="2109" spans="1:7" hidden="1">
      <c r="A2109" s="202" t="s">
        <v>1320</v>
      </c>
      <c r="B2109" s="203">
        <v>-30700</v>
      </c>
      <c r="C2109" s="203">
        <v>0</v>
      </c>
      <c r="D2109" s="202" t="s">
        <v>440</v>
      </c>
      <c r="E2109" s="202" t="s">
        <v>638</v>
      </c>
      <c r="F2109" s="202" t="s">
        <v>409</v>
      </c>
      <c r="G2109" s="202" t="s">
        <v>688</v>
      </c>
    </row>
    <row r="2110" spans="1:7" hidden="1">
      <c r="A2110" s="202" t="s">
        <v>1321</v>
      </c>
      <c r="B2110" s="203">
        <v>43000</v>
      </c>
      <c r="C2110" s="203">
        <v>0</v>
      </c>
      <c r="D2110" s="202" t="s">
        <v>440</v>
      </c>
      <c r="E2110" s="202" t="s">
        <v>638</v>
      </c>
      <c r="F2110" s="202" t="s">
        <v>652</v>
      </c>
      <c r="G2110" s="202" t="s">
        <v>688</v>
      </c>
    </row>
    <row r="2111" spans="1:7" hidden="1">
      <c r="A2111" s="202" t="s">
        <v>1322</v>
      </c>
      <c r="B2111" s="203">
        <v>20000</v>
      </c>
      <c r="C2111" s="203">
        <v>0</v>
      </c>
      <c r="D2111" s="202" t="s">
        <v>440</v>
      </c>
      <c r="E2111" s="202" t="s">
        <v>638</v>
      </c>
      <c r="F2111" s="202" t="s">
        <v>652</v>
      </c>
      <c r="G2111" s="202" t="s">
        <v>688</v>
      </c>
    </row>
    <row r="2112" spans="1:7" hidden="1">
      <c r="A2112" s="202" t="s">
        <v>1323</v>
      </c>
      <c r="B2112" s="203">
        <v>4200</v>
      </c>
      <c r="C2112" s="203">
        <v>0</v>
      </c>
      <c r="D2112" s="202" t="s">
        <v>442</v>
      </c>
      <c r="E2112" s="202" t="s">
        <v>638</v>
      </c>
      <c r="F2112" s="202" t="s">
        <v>396</v>
      </c>
      <c r="G2112" s="202" t="s">
        <v>688</v>
      </c>
    </row>
    <row r="2113" spans="1:7" hidden="1">
      <c r="A2113" s="202" t="s">
        <v>1324</v>
      </c>
      <c r="B2113" s="203">
        <v>31400</v>
      </c>
      <c r="C2113" s="203">
        <v>0</v>
      </c>
      <c r="D2113" s="202" t="s">
        <v>440</v>
      </c>
      <c r="E2113" s="202" t="s">
        <v>638</v>
      </c>
      <c r="F2113" s="202" t="s">
        <v>652</v>
      </c>
      <c r="G2113" s="202" t="s">
        <v>688</v>
      </c>
    </row>
    <row r="2114" spans="1:7" hidden="1">
      <c r="A2114" s="202" t="s">
        <v>1325</v>
      </c>
      <c r="B2114" s="203">
        <v>4000</v>
      </c>
      <c r="C2114" s="203">
        <v>0</v>
      </c>
      <c r="D2114" s="202" t="s">
        <v>442</v>
      </c>
      <c r="E2114" s="202" t="s">
        <v>638</v>
      </c>
      <c r="F2114" s="202" t="s">
        <v>396</v>
      </c>
      <c r="G2114" s="202" t="s">
        <v>688</v>
      </c>
    </row>
    <row r="2115" spans="1:7" hidden="1">
      <c r="A2115" s="202" t="s">
        <v>1326</v>
      </c>
      <c r="B2115" s="203">
        <v>2700</v>
      </c>
      <c r="C2115" s="203">
        <v>0</v>
      </c>
      <c r="D2115" s="202" t="s">
        <v>442</v>
      </c>
      <c r="E2115" s="202" t="s">
        <v>638</v>
      </c>
      <c r="F2115" s="202" t="s">
        <v>396</v>
      </c>
      <c r="G2115" s="202" t="s">
        <v>688</v>
      </c>
    </row>
    <row r="2116" spans="1:7" hidden="1">
      <c r="A2116" s="202" t="s">
        <v>1327</v>
      </c>
      <c r="B2116" s="203">
        <v>2900</v>
      </c>
      <c r="C2116" s="203">
        <v>0</v>
      </c>
      <c r="D2116" s="202" t="s">
        <v>442</v>
      </c>
      <c r="E2116" s="202" t="s">
        <v>638</v>
      </c>
      <c r="F2116" s="202" t="s">
        <v>396</v>
      </c>
      <c r="G2116" s="202" t="s">
        <v>688</v>
      </c>
    </row>
    <row r="2117" spans="1:7" hidden="1">
      <c r="A2117" s="202" t="s">
        <v>1328</v>
      </c>
      <c r="B2117" s="203">
        <v>106400</v>
      </c>
      <c r="C2117" s="203">
        <v>0</v>
      </c>
      <c r="D2117" s="202" t="s">
        <v>440</v>
      </c>
      <c r="E2117" s="202" t="s">
        <v>638</v>
      </c>
      <c r="F2117" s="202" t="s">
        <v>652</v>
      </c>
      <c r="G2117" s="202" t="s">
        <v>688</v>
      </c>
    </row>
    <row r="2118" spans="1:7" hidden="1">
      <c r="A2118" s="202" t="s">
        <v>1329</v>
      </c>
      <c r="B2118" s="203">
        <v>6100</v>
      </c>
      <c r="C2118" s="203">
        <v>0</v>
      </c>
      <c r="D2118" s="202" t="s">
        <v>440</v>
      </c>
      <c r="E2118" s="202" t="s">
        <v>638</v>
      </c>
      <c r="F2118" s="202" t="s">
        <v>652</v>
      </c>
      <c r="G2118" s="202" t="s">
        <v>688</v>
      </c>
    </row>
    <row r="2119" spans="1:7" hidden="1">
      <c r="A2119" s="202" t="s">
        <v>1330</v>
      </c>
      <c r="B2119" s="203">
        <v>40600</v>
      </c>
      <c r="C2119" s="203">
        <v>0</v>
      </c>
      <c r="D2119" s="202" t="s">
        <v>440</v>
      </c>
      <c r="E2119" s="202" t="s">
        <v>638</v>
      </c>
      <c r="F2119" s="202" t="s">
        <v>652</v>
      </c>
      <c r="G2119" s="202" t="s">
        <v>688</v>
      </c>
    </row>
    <row r="2120" spans="1:7" hidden="1">
      <c r="A2120" s="202" t="s">
        <v>1331</v>
      </c>
      <c r="B2120" s="203">
        <v>100600</v>
      </c>
      <c r="C2120" s="203">
        <v>0</v>
      </c>
      <c r="D2120" s="202" t="s">
        <v>440</v>
      </c>
      <c r="E2120" s="202" t="s">
        <v>638</v>
      </c>
      <c r="F2120" s="202" t="s">
        <v>652</v>
      </c>
      <c r="G2120" s="202" t="s">
        <v>688</v>
      </c>
    </row>
    <row r="2121" spans="1:7" hidden="1">
      <c r="A2121" s="202" t="s">
        <v>1332</v>
      </c>
      <c r="B2121" s="203">
        <v>15000</v>
      </c>
      <c r="C2121" s="203">
        <v>0</v>
      </c>
      <c r="D2121" s="202" t="s">
        <v>440</v>
      </c>
      <c r="E2121" s="202" t="s">
        <v>638</v>
      </c>
      <c r="F2121" s="202" t="s">
        <v>652</v>
      </c>
      <c r="G2121" s="202" t="s">
        <v>688</v>
      </c>
    </row>
    <row r="2122" spans="1:7" hidden="1">
      <c r="A2122" s="202" t="s">
        <v>1333</v>
      </c>
      <c r="B2122" s="203">
        <v>92100</v>
      </c>
      <c r="C2122" s="203">
        <v>0</v>
      </c>
      <c r="D2122" s="202" t="s">
        <v>440</v>
      </c>
      <c r="E2122" s="202" t="s">
        <v>638</v>
      </c>
      <c r="F2122" s="202" t="s">
        <v>652</v>
      </c>
      <c r="G2122" s="202" t="s">
        <v>688</v>
      </c>
    </row>
    <row r="2123" spans="1:7" hidden="1">
      <c r="A2123" s="202" t="s">
        <v>1334</v>
      </c>
      <c r="B2123" s="203">
        <v>110000</v>
      </c>
      <c r="C2123" s="203">
        <v>0</v>
      </c>
      <c r="D2123" s="202" t="s">
        <v>440</v>
      </c>
      <c r="E2123" s="202" t="s">
        <v>638</v>
      </c>
      <c r="F2123" s="202" t="s">
        <v>652</v>
      </c>
      <c r="G2123" s="202" t="s">
        <v>688</v>
      </c>
    </row>
    <row r="2124" spans="1:7" hidden="1">
      <c r="A2124" s="202" t="s">
        <v>1335</v>
      </c>
      <c r="B2124" s="203">
        <v>33200</v>
      </c>
      <c r="C2124" s="203">
        <v>0</v>
      </c>
      <c r="D2124" s="202" t="s">
        <v>440</v>
      </c>
      <c r="E2124" s="202" t="s">
        <v>638</v>
      </c>
      <c r="F2124" s="202" t="s">
        <v>652</v>
      </c>
      <c r="G2124" s="202" t="s">
        <v>688</v>
      </c>
    </row>
    <row r="2125" spans="1:7" hidden="1">
      <c r="A2125" s="202" t="s">
        <v>1336</v>
      </c>
      <c r="B2125" s="203">
        <v>40000</v>
      </c>
      <c r="C2125" s="203">
        <v>0</v>
      </c>
      <c r="D2125" s="202" t="s">
        <v>440</v>
      </c>
      <c r="E2125" s="202" t="s">
        <v>638</v>
      </c>
      <c r="F2125" s="202" t="s">
        <v>652</v>
      </c>
      <c r="G2125" s="202" t="s">
        <v>688</v>
      </c>
    </row>
    <row r="2126" spans="1:7" hidden="1">
      <c r="A2126" s="202" t="s">
        <v>1337</v>
      </c>
      <c r="B2126" s="203">
        <v>112351</v>
      </c>
      <c r="C2126" s="203">
        <v>0</v>
      </c>
      <c r="D2126" s="202" t="s">
        <v>440</v>
      </c>
      <c r="E2126" s="202" t="s">
        <v>638</v>
      </c>
      <c r="F2126" s="202" t="s">
        <v>652</v>
      </c>
      <c r="G2126" s="202" t="s">
        <v>688</v>
      </c>
    </row>
    <row r="2127" spans="1:7" hidden="1">
      <c r="A2127" s="202" t="s">
        <v>1338</v>
      </c>
      <c r="B2127" s="203">
        <v>33100</v>
      </c>
      <c r="C2127" s="203">
        <v>0</v>
      </c>
      <c r="D2127" s="202" t="s">
        <v>440</v>
      </c>
      <c r="E2127" s="202" t="s">
        <v>638</v>
      </c>
      <c r="F2127" s="202" t="s">
        <v>652</v>
      </c>
      <c r="G2127" s="202" t="s">
        <v>688</v>
      </c>
    </row>
    <row r="2128" spans="1:7" hidden="1">
      <c r="A2128" s="202" t="s">
        <v>1339</v>
      </c>
      <c r="B2128" s="203">
        <v>11700</v>
      </c>
      <c r="C2128" s="203">
        <v>0</v>
      </c>
      <c r="D2128" s="202" t="s">
        <v>440</v>
      </c>
      <c r="E2128" s="202" t="s">
        <v>638</v>
      </c>
      <c r="F2128" s="202" t="s">
        <v>652</v>
      </c>
      <c r="G2128" s="202" t="s">
        <v>688</v>
      </c>
    </row>
    <row r="2129" spans="1:7" hidden="1">
      <c r="A2129" s="202" t="s">
        <v>1340</v>
      </c>
      <c r="B2129" s="203">
        <v>70000</v>
      </c>
      <c r="C2129" s="203">
        <v>0</v>
      </c>
      <c r="D2129" s="202" t="s">
        <v>440</v>
      </c>
      <c r="E2129" s="202" t="s">
        <v>638</v>
      </c>
      <c r="F2129" s="202" t="s">
        <v>652</v>
      </c>
      <c r="G2129" s="202" t="s">
        <v>688</v>
      </c>
    </row>
    <row r="2130" spans="1:7" hidden="1">
      <c r="A2130" s="202" t="s">
        <v>1341</v>
      </c>
      <c r="B2130" s="203">
        <v>55300</v>
      </c>
      <c r="C2130" s="203">
        <v>0</v>
      </c>
      <c r="D2130" s="202" t="s">
        <v>440</v>
      </c>
      <c r="E2130" s="202" t="s">
        <v>638</v>
      </c>
      <c r="F2130" s="202" t="s">
        <v>652</v>
      </c>
      <c r="G2130" s="202" t="s">
        <v>688</v>
      </c>
    </row>
    <row r="2131" spans="1:7" hidden="1">
      <c r="A2131" s="202" t="s">
        <v>1342</v>
      </c>
      <c r="B2131" s="203">
        <v>13900</v>
      </c>
      <c r="C2131" s="203">
        <v>0</v>
      </c>
      <c r="D2131" s="202" t="s">
        <v>442</v>
      </c>
      <c r="E2131" s="202" t="s">
        <v>638</v>
      </c>
      <c r="F2131" s="202" t="s">
        <v>396</v>
      </c>
      <c r="G2131" s="202" t="s">
        <v>688</v>
      </c>
    </row>
    <row r="2132" spans="1:7" hidden="1">
      <c r="A2132" s="202" t="s">
        <v>1343</v>
      </c>
      <c r="B2132" s="203">
        <v>10800</v>
      </c>
      <c r="C2132" s="203">
        <v>0</v>
      </c>
      <c r="D2132" s="202" t="s">
        <v>440</v>
      </c>
      <c r="E2132" s="202" t="s">
        <v>638</v>
      </c>
      <c r="F2132" s="202" t="s">
        <v>652</v>
      </c>
      <c r="G2132" s="202" t="s">
        <v>688</v>
      </c>
    </row>
    <row r="2133" spans="1:7" hidden="1">
      <c r="A2133" s="202" t="s">
        <v>1344</v>
      </c>
      <c r="B2133" s="203">
        <v>17898</v>
      </c>
      <c r="C2133" s="203">
        <v>0</v>
      </c>
      <c r="D2133" s="202" t="s">
        <v>440</v>
      </c>
      <c r="E2133" s="202" t="s">
        <v>638</v>
      </c>
      <c r="F2133" s="202" t="s">
        <v>652</v>
      </c>
      <c r="G2133" s="202" t="s">
        <v>688</v>
      </c>
    </row>
    <row r="2134" spans="1:7" hidden="1">
      <c r="A2134" s="202" t="s">
        <v>1345</v>
      </c>
      <c r="B2134" s="203">
        <v>4300</v>
      </c>
      <c r="C2134" s="203">
        <v>0</v>
      </c>
      <c r="D2134" s="202" t="s">
        <v>442</v>
      </c>
      <c r="E2134" s="202" t="s">
        <v>638</v>
      </c>
      <c r="F2134" s="202" t="s">
        <v>396</v>
      </c>
      <c r="G2134" s="202" t="s">
        <v>688</v>
      </c>
    </row>
    <row r="2135" spans="1:7" hidden="1">
      <c r="A2135" s="202" t="s">
        <v>1346</v>
      </c>
      <c r="B2135" s="203">
        <v>17800</v>
      </c>
      <c r="C2135" s="203">
        <v>0</v>
      </c>
      <c r="D2135" s="202" t="s">
        <v>440</v>
      </c>
      <c r="E2135" s="202" t="s">
        <v>638</v>
      </c>
      <c r="F2135" s="202" t="s">
        <v>652</v>
      </c>
      <c r="G2135" s="202" t="s">
        <v>688</v>
      </c>
    </row>
    <row r="2136" spans="1:7" hidden="1">
      <c r="A2136" s="202" t="s">
        <v>1347</v>
      </c>
      <c r="B2136" s="203">
        <v>-64000</v>
      </c>
      <c r="C2136" s="203">
        <v>0</v>
      </c>
      <c r="D2136" s="202" t="s">
        <v>440</v>
      </c>
      <c r="E2136" s="202" t="s">
        <v>638</v>
      </c>
      <c r="F2136" s="202" t="s">
        <v>652</v>
      </c>
      <c r="G2136" s="202" t="s">
        <v>688</v>
      </c>
    </row>
    <row r="2137" spans="1:7" hidden="1">
      <c r="A2137" s="202" t="s">
        <v>1348</v>
      </c>
      <c r="B2137" s="203">
        <v>-9900</v>
      </c>
      <c r="C2137" s="203">
        <v>0</v>
      </c>
      <c r="D2137" s="202" t="s">
        <v>442</v>
      </c>
      <c r="E2137" s="202" t="s">
        <v>638</v>
      </c>
      <c r="F2137" s="202" t="s">
        <v>396</v>
      </c>
      <c r="G2137" s="202" t="s">
        <v>688</v>
      </c>
    </row>
    <row r="2138" spans="1:7" hidden="1">
      <c r="A2138" s="202" t="s">
        <v>1349</v>
      </c>
      <c r="B2138" s="203">
        <v>-74000</v>
      </c>
      <c r="C2138" s="203">
        <v>0</v>
      </c>
      <c r="D2138" s="202" t="s">
        <v>440</v>
      </c>
      <c r="E2138" s="202" t="s">
        <v>638</v>
      </c>
      <c r="F2138" s="202" t="s">
        <v>409</v>
      </c>
      <c r="G2138" s="202" t="s">
        <v>688</v>
      </c>
    </row>
    <row r="2139" spans="1:7" hidden="1">
      <c r="A2139" s="202" t="s">
        <v>1350</v>
      </c>
      <c r="B2139" s="203">
        <v>4900</v>
      </c>
      <c r="C2139" s="203">
        <v>0</v>
      </c>
      <c r="D2139" s="202" t="s">
        <v>442</v>
      </c>
      <c r="E2139" s="202" t="s">
        <v>638</v>
      </c>
      <c r="F2139" s="202" t="s">
        <v>396</v>
      </c>
      <c r="G2139" s="202" t="s">
        <v>688</v>
      </c>
    </row>
    <row r="2140" spans="1:7" hidden="1">
      <c r="A2140" s="202" t="s">
        <v>1351</v>
      </c>
      <c r="B2140" s="203">
        <v>122000</v>
      </c>
      <c r="C2140" s="203">
        <v>0</v>
      </c>
      <c r="D2140" s="202" t="s">
        <v>440</v>
      </c>
      <c r="E2140" s="202" t="s">
        <v>638</v>
      </c>
      <c r="F2140" s="202" t="s">
        <v>652</v>
      </c>
      <c r="G2140" s="202" t="s">
        <v>688</v>
      </c>
    </row>
    <row r="2141" spans="1:7" hidden="1">
      <c r="A2141" s="202" t="s">
        <v>1352</v>
      </c>
      <c r="B2141" s="203">
        <v>10900</v>
      </c>
      <c r="C2141" s="203">
        <v>0</v>
      </c>
      <c r="D2141" s="202" t="s">
        <v>440</v>
      </c>
      <c r="E2141" s="202" t="s">
        <v>638</v>
      </c>
      <c r="F2141" s="202" t="s">
        <v>652</v>
      </c>
      <c r="G2141" s="202" t="s">
        <v>688</v>
      </c>
    </row>
    <row r="2142" spans="1:7" hidden="1">
      <c r="A2142" s="202" t="s">
        <v>1353</v>
      </c>
      <c r="B2142" s="203">
        <v>14800</v>
      </c>
      <c r="C2142" s="203">
        <v>0</v>
      </c>
      <c r="D2142" s="202" t="s">
        <v>440</v>
      </c>
      <c r="E2142" s="202" t="s">
        <v>638</v>
      </c>
      <c r="F2142" s="202" t="s">
        <v>652</v>
      </c>
      <c r="G2142" s="202" t="s">
        <v>688</v>
      </c>
    </row>
    <row r="2143" spans="1:7" hidden="1">
      <c r="A2143" s="202" t="s">
        <v>1354</v>
      </c>
      <c r="B2143" s="203">
        <v>27700</v>
      </c>
      <c r="C2143" s="203">
        <v>0</v>
      </c>
      <c r="D2143" s="202" t="s">
        <v>440</v>
      </c>
      <c r="E2143" s="202" t="s">
        <v>638</v>
      </c>
      <c r="F2143" s="202" t="s">
        <v>652</v>
      </c>
      <c r="G2143" s="202" t="s">
        <v>688</v>
      </c>
    </row>
    <row r="2144" spans="1:7" hidden="1">
      <c r="A2144" s="202" t="s">
        <v>1355</v>
      </c>
      <c r="B2144" s="203">
        <v>2600</v>
      </c>
      <c r="C2144" s="203">
        <v>0</v>
      </c>
      <c r="D2144" s="202" t="s">
        <v>440</v>
      </c>
      <c r="E2144" s="202" t="s">
        <v>638</v>
      </c>
      <c r="F2144" s="202" t="s">
        <v>652</v>
      </c>
      <c r="G2144" s="202" t="s">
        <v>688</v>
      </c>
    </row>
    <row r="2145" spans="1:7" hidden="1">
      <c r="A2145" s="202" t="s">
        <v>1356</v>
      </c>
      <c r="B2145" s="203">
        <v>92990</v>
      </c>
      <c r="C2145" s="203">
        <v>0</v>
      </c>
      <c r="D2145" s="202" t="s">
        <v>440</v>
      </c>
      <c r="E2145" s="202" t="s">
        <v>638</v>
      </c>
      <c r="F2145" s="202" t="s">
        <v>652</v>
      </c>
      <c r="G2145" s="202" t="s">
        <v>688</v>
      </c>
    </row>
    <row r="2146" spans="1:7" hidden="1">
      <c r="A2146" s="202" t="s">
        <v>1357</v>
      </c>
      <c r="B2146" s="203">
        <v>31200</v>
      </c>
      <c r="C2146" s="203">
        <v>0</v>
      </c>
      <c r="D2146" s="202" t="s">
        <v>440</v>
      </c>
      <c r="E2146" s="202" t="s">
        <v>638</v>
      </c>
      <c r="F2146" s="202" t="s">
        <v>409</v>
      </c>
      <c r="G2146" s="202" t="s">
        <v>688</v>
      </c>
    </row>
    <row r="2147" spans="1:7" hidden="1">
      <c r="A2147" s="202" t="s">
        <v>1358</v>
      </c>
      <c r="B2147" s="203">
        <v>11200</v>
      </c>
      <c r="C2147" s="203">
        <v>0</v>
      </c>
      <c r="D2147" s="202" t="s">
        <v>440</v>
      </c>
      <c r="E2147" s="202" t="s">
        <v>638</v>
      </c>
      <c r="F2147" s="202" t="s">
        <v>652</v>
      </c>
      <c r="G2147" s="202" t="s">
        <v>688</v>
      </c>
    </row>
    <row r="2148" spans="1:7" hidden="1">
      <c r="A2148" s="202" t="s">
        <v>1359</v>
      </c>
      <c r="B2148" s="203">
        <v>20400</v>
      </c>
      <c r="C2148" s="203">
        <v>0</v>
      </c>
      <c r="D2148" s="202" t="s">
        <v>440</v>
      </c>
      <c r="E2148" s="202" t="s">
        <v>638</v>
      </c>
      <c r="F2148" s="202" t="s">
        <v>652</v>
      </c>
      <c r="G2148" s="202" t="s">
        <v>688</v>
      </c>
    </row>
    <row r="2149" spans="1:7" hidden="1">
      <c r="A2149" s="202" t="s">
        <v>1360</v>
      </c>
      <c r="B2149" s="203">
        <v>23800</v>
      </c>
      <c r="C2149" s="203">
        <v>0</v>
      </c>
      <c r="D2149" s="202" t="s">
        <v>440</v>
      </c>
      <c r="E2149" s="202" t="s">
        <v>638</v>
      </c>
      <c r="F2149" s="202" t="s">
        <v>652</v>
      </c>
      <c r="G2149" s="202" t="s">
        <v>688</v>
      </c>
    </row>
    <row r="2150" spans="1:7" hidden="1">
      <c r="A2150" s="202" t="s">
        <v>1361</v>
      </c>
      <c r="B2150" s="203">
        <v>32800</v>
      </c>
      <c r="C2150" s="203">
        <v>0</v>
      </c>
      <c r="D2150" s="202" t="s">
        <v>440</v>
      </c>
      <c r="E2150" s="202" t="s">
        <v>638</v>
      </c>
      <c r="F2150" s="202" t="s">
        <v>652</v>
      </c>
      <c r="G2150" s="202" t="s">
        <v>688</v>
      </c>
    </row>
    <row r="2151" spans="1:7" hidden="1">
      <c r="A2151" s="202" t="s">
        <v>1362</v>
      </c>
      <c r="B2151" s="203">
        <v>15000</v>
      </c>
      <c r="C2151" s="203">
        <v>0</v>
      </c>
      <c r="D2151" s="202" t="s">
        <v>440</v>
      </c>
      <c r="E2151" s="202" t="s">
        <v>638</v>
      </c>
      <c r="F2151" s="202" t="s">
        <v>652</v>
      </c>
      <c r="G2151" s="202" t="s">
        <v>688</v>
      </c>
    </row>
    <row r="2152" spans="1:7" hidden="1">
      <c r="A2152" s="202" t="s">
        <v>1363</v>
      </c>
      <c r="B2152" s="203">
        <v>13400</v>
      </c>
      <c r="C2152" s="203">
        <v>0</v>
      </c>
      <c r="D2152" s="202" t="s">
        <v>440</v>
      </c>
      <c r="E2152" s="202" t="s">
        <v>638</v>
      </c>
      <c r="F2152" s="202" t="s">
        <v>409</v>
      </c>
      <c r="G2152" s="202" t="s">
        <v>688</v>
      </c>
    </row>
    <row r="2153" spans="1:7" hidden="1">
      <c r="A2153" s="202" t="s">
        <v>1364</v>
      </c>
      <c r="B2153" s="203">
        <v>8300</v>
      </c>
      <c r="C2153" s="203">
        <v>0</v>
      </c>
      <c r="D2153" s="202" t="s">
        <v>440</v>
      </c>
      <c r="E2153" s="202" t="s">
        <v>638</v>
      </c>
      <c r="F2153" s="202" t="s">
        <v>652</v>
      </c>
      <c r="G2153" s="202" t="s">
        <v>688</v>
      </c>
    </row>
    <row r="2154" spans="1:7" hidden="1">
      <c r="A2154" s="202" t="s">
        <v>1365</v>
      </c>
      <c r="B2154" s="203">
        <v>16500</v>
      </c>
      <c r="C2154" s="203">
        <v>0</v>
      </c>
      <c r="D2154" s="202" t="s">
        <v>440</v>
      </c>
      <c r="E2154" s="202" t="s">
        <v>638</v>
      </c>
      <c r="F2154" s="202" t="s">
        <v>652</v>
      </c>
      <c r="G2154" s="202" t="s">
        <v>688</v>
      </c>
    </row>
    <row r="2155" spans="1:7" hidden="1">
      <c r="A2155" s="202" t="s">
        <v>1366</v>
      </c>
      <c r="B2155" s="203">
        <v>5000</v>
      </c>
      <c r="C2155" s="203">
        <v>0</v>
      </c>
      <c r="D2155" s="202" t="s">
        <v>440</v>
      </c>
      <c r="E2155" s="202" t="s">
        <v>638</v>
      </c>
      <c r="F2155" s="202" t="s">
        <v>652</v>
      </c>
      <c r="G2155" s="202" t="s">
        <v>688</v>
      </c>
    </row>
    <row r="2156" spans="1:7" hidden="1">
      <c r="A2156" s="202" t="s">
        <v>1367</v>
      </c>
      <c r="B2156" s="203">
        <v>2800</v>
      </c>
      <c r="C2156" s="203">
        <v>0</v>
      </c>
      <c r="D2156" s="202" t="s">
        <v>442</v>
      </c>
      <c r="E2156" s="202" t="s">
        <v>638</v>
      </c>
      <c r="F2156" s="202" t="s">
        <v>396</v>
      </c>
      <c r="G2156" s="202" t="s">
        <v>688</v>
      </c>
    </row>
    <row r="2157" spans="1:7" hidden="1">
      <c r="A2157" s="202" t="s">
        <v>1368</v>
      </c>
      <c r="B2157" s="203">
        <v>29200</v>
      </c>
      <c r="C2157" s="203">
        <v>0</v>
      </c>
      <c r="D2157" s="202" t="s">
        <v>440</v>
      </c>
      <c r="E2157" s="202" t="s">
        <v>638</v>
      </c>
      <c r="F2157" s="202" t="s">
        <v>652</v>
      </c>
      <c r="G2157" s="202" t="s">
        <v>688</v>
      </c>
    </row>
    <row r="2158" spans="1:7" hidden="1">
      <c r="A2158" s="202" t="s">
        <v>1369</v>
      </c>
      <c r="B2158" s="203">
        <v>26900</v>
      </c>
      <c r="C2158" s="203">
        <v>0</v>
      </c>
      <c r="D2158" s="202" t="s">
        <v>440</v>
      </c>
      <c r="E2158" s="202" t="s">
        <v>638</v>
      </c>
      <c r="F2158" s="202" t="s">
        <v>652</v>
      </c>
      <c r="G2158" s="202" t="s">
        <v>688</v>
      </c>
    </row>
    <row r="2159" spans="1:7" hidden="1">
      <c r="A2159" s="202" t="s">
        <v>1370</v>
      </c>
      <c r="B2159" s="203">
        <v>85700</v>
      </c>
      <c r="C2159" s="203">
        <v>0</v>
      </c>
      <c r="D2159" s="202" t="s">
        <v>440</v>
      </c>
      <c r="E2159" s="202" t="s">
        <v>638</v>
      </c>
      <c r="F2159" s="202" t="s">
        <v>652</v>
      </c>
      <c r="G2159" s="202" t="s">
        <v>688</v>
      </c>
    </row>
    <row r="2160" spans="1:7" hidden="1">
      <c r="A2160" s="202" t="s">
        <v>1371</v>
      </c>
      <c r="B2160" s="203">
        <v>20000</v>
      </c>
      <c r="C2160" s="203">
        <v>0</v>
      </c>
      <c r="D2160" s="202" t="s">
        <v>440</v>
      </c>
      <c r="E2160" s="202" t="s">
        <v>638</v>
      </c>
      <c r="F2160" s="202" t="s">
        <v>652</v>
      </c>
      <c r="G2160" s="202" t="s">
        <v>688</v>
      </c>
    </row>
    <row r="2161" spans="1:7" hidden="1">
      <c r="A2161" s="202" t="s">
        <v>1372</v>
      </c>
      <c r="B2161" s="203">
        <v>10400</v>
      </c>
      <c r="C2161" s="203">
        <v>0</v>
      </c>
      <c r="D2161" s="202" t="s">
        <v>440</v>
      </c>
      <c r="E2161" s="202" t="s">
        <v>638</v>
      </c>
      <c r="F2161" s="202" t="s">
        <v>652</v>
      </c>
      <c r="G2161" s="202" t="s">
        <v>688</v>
      </c>
    </row>
    <row r="2162" spans="1:7" hidden="1">
      <c r="A2162" s="202" t="s">
        <v>1373</v>
      </c>
      <c r="B2162" s="203">
        <v>14700</v>
      </c>
      <c r="C2162" s="203">
        <v>0</v>
      </c>
      <c r="D2162" s="202" t="s">
        <v>440</v>
      </c>
      <c r="E2162" s="202" t="s">
        <v>638</v>
      </c>
      <c r="F2162" s="202" t="s">
        <v>652</v>
      </c>
      <c r="G2162" s="202" t="s">
        <v>688</v>
      </c>
    </row>
    <row r="2163" spans="1:7" hidden="1">
      <c r="A2163" s="202" t="s">
        <v>1374</v>
      </c>
      <c r="B2163" s="203">
        <v>1800</v>
      </c>
      <c r="C2163" s="203">
        <v>0</v>
      </c>
      <c r="D2163" s="202" t="s">
        <v>442</v>
      </c>
      <c r="E2163" s="202" t="s">
        <v>638</v>
      </c>
      <c r="F2163" s="202" t="s">
        <v>396</v>
      </c>
      <c r="G2163" s="202" t="s">
        <v>688</v>
      </c>
    </row>
    <row r="2164" spans="1:7" hidden="1">
      <c r="A2164" s="202" t="s">
        <v>1375</v>
      </c>
      <c r="B2164" s="203">
        <v>28200</v>
      </c>
      <c r="C2164" s="203">
        <v>0</v>
      </c>
      <c r="D2164" s="202" t="s">
        <v>440</v>
      </c>
      <c r="E2164" s="202" t="s">
        <v>638</v>
      </c>
      <c r="F2164" s="202" t="s">
        <v>652</v>
      </c>
      <c r="G2164" s="202" t="s">
        <v>688</v>
      </c>
    </row>
    <row r="2165" spans="1:7" hidden="1">
      <c r="A2165" s="202" t="s">
        <v>1376</v>
      </c>
      <c r="B2165" s="203">
        <v>14100</v>
      </c>
      <c r="C2165" s="203">
        <v>0</v>
      </c>
      <c r="D2165" s="202" t="s">
        <v>440</v>
      </c>
      <c r="E2165" s="202" t="s">
        <v>638</v>
      </c>
      <c r="F2165" s="202" t="s">
        <v>652</v>
      </c>
      <c r="G2165" s="202" t="s">
        <v>688</v>
      </c>
    </row>
    <row r="2166" spans="1:7" hidden="1">
      <c r="A2166" s="202" t="s">
        <v>1377</v>
      </c>
      <c r="B2166" s="203">
        <v>1300</v>
      </c>
      <c r="C2166" s="203">
        <v>0</v>
      </c>
      <c r="D2166" s="202" t="s">
        <v>442</v>
      </c>
      <c r="E2166" s="202" t="s">
        <v>638</v>
      </c>
      <c r="F2166" s="202" t="s">
        <v>396</v>
      </c>
      <c r="G2166" s="202" t="s">
        <v>688</v>
      </c>
    </row>
    <row r="2167" spans="1:7" hidden="1">
      <c r="A2167" s="202" t="s">
        <v>1378</v>
      </c>
      <c r="B2167" s="203">
        <v>13200</v>
      </c>
      <c r="C2167" s="203">
        <v>0</v>
      </c>
      <c r="D2167" s="202" t="s">
        <v>440</v>
      </c>
      <c r="E2167" s="202" t="s">
        <v>638</v>
      </c>
      <c r="F2167" s="202" t="s">
        <v>652</v>
      </c>
      <c r="G2167" s="202" t="s">
        <v>688</v>
      </c>
    </row>
    <row r="2168" spans="1:7" hidden="1">
      <c r="A2168" s="202" t="s">
        <v>1379</v>
      </c>
      <c r="B2168" s="203">
        <v>1300</v>
      </c>
      <c r="C2168" s="203">
        <v>0</v>
      </c>
      <c r="D2168" s="202" t="s">
        <v>442</v>
      </c>
      <c r="E2168" s="202" t="s">
        <v>638</v>
      </c>
      <c r="F2168" s="202" t="s">
        <v>396</v>
      </c>
      <c r="G2168" s="202" t="s">
        <v>688</v>
      </c>
    </row>
    <row r="2169" spans="1:7" hidden="1">
      <c r="A2169" s="202" t="s">
        <v>1380</v>
      </c>
      <c r="B2169" s="203">
        <v>6900</v>
      </c>
      <c r="C2169" s="203">
        <v>0</v>
      </c>
      <c r="D2169" s="202" t="s">
        <v>440</v>
      </c>
      <c r="E2169" s="202" t="s">
        <v>638</v>
      </c>
      <c r="F2169" s="202" t="s">
        <v>652</v>
      </c>
      <c r="G2169" s="202" t="s">
        <v>688</v>
      </c>
    </row>
    <row r="2170" spans="1:7" hidden="1">
      <c r="A2170" s="202" t="s">
        <v>1381</v>
      </c>
      <c r="B2170" s="203">
        <v>14500</v>
      </c>
      <c r="C2170" s="203">
        <v>0</v>
      </c>
      <c r="D2170" s="202" t="s">
        <v>442</v>
      </c>
      <c r="E2170" s="202" t="s">
        <v>638</v>
      </c>
      <c r="F2170" s="202" t="s">
        <v>396</v>
      </c>
      <c r="G2170" s="202" t="s">
        <v>688</v>
      </c>
    </row>
    <row r="2171" spans="1:7" hidden="1">
      <c r="A2171" s="202" t="s">
        <v>1382</v>
      </c>
      <c r="B2171" s="203">
        <v>5500</v>
      </c>
      <c r="C2171" s="203">
        <v>0</v>
      </c>
      <c r="D2171" s="202" t="s">
        <v>440</v>
      </c>
      <c r="E2171" s="202" t="s">
        <v>638</v>
      </c>
      <c r="F2171" s="202" t="s">
        <v>652</v>
      </c>
      <c r="G2171" s="202" t="s">
        <v>688</v>
      </c>
    </row>
    <row r="2172" spans="1:7" hidden="1">
      <c r="A2172" s="202" t="s">
        <v>1383</v>
      </c>
      <c r="B2172" s="203">
        <v>12300</v>
      </c>
      <c r="C2172" s="203">
        <v>0</v>
      </c>
      <c r="D2172" s="202" t="s">
        <v>440</v>
      </c>
      <c r="E2172" s="202" t="s">
        <v>638</v>
      </c>
      <c r="F2172" s="202" t="s">
        <v>652</v>
      </c>
      <c r="G2172" s="202" t="s">
        <v>688</v>
      </c>
    </row>
    <row r="2173" spans="1:7" hidden="1">
      <c r="A2173" s="202" t="s">
        <v>1384</v>
      </c>
      <c r="B2173" s="203">
        <v>8000</v>
      </c>
      <c r="C2173" s="203">
        <v>0</v>
      </c>
      <c r="D2173" s="202" t="s">
        <v>440</v>
      </c>
      <c r="E2173" s="202" t="s">
        <v>638</v>
      </c>
      <c r="F2173" s="202" t="s">
        <v>652</v>
      </c>
      <c r="G2173" s="202" t="s">
        <v>688</v>
      </c>
    </row>
    <row r="2174" spans="1:7" hidden="1">
      <c r="A2174" s="202" t="s">
        <v>1385</v>
      </c>
      <c r="B2174" s="203">
        <v>8500</v>
      </c>
      <c r="C2174" s="203">
        <v>0</v>
      </c>
      <c r="D2174" s="202" t="s">
        <v>440</v>
      </c>
      <c r="E2174" s="202" t="s">
        <v>638</v>
      </c>
      <c r="F2174" s="202" t="s">
        <v>652</v>
      </c>
      <c r="G2174" s="202" t="s">
        <v>688</v>
      </c>
    </row>
    <row r="2175" spans="1:7" hidden="1">
      <c r="A2175" s="202" t="s">
        <v>1386</v>
      </c>
      <c r="B2175" s="203">
        <v>8400</v>
      </c>
      <c r="C2175" s="203">
        <v>0</v>
      </c>
      <c r="D2175" s="202" t="s">
        <v>442</v>
      </c>
      <c r="E2175" s="202" t="s">
        <v>638</v>
      </c>
      <c r="F2175" s="202" t="s">
        <v>396</v>
      </c>
      <c r="G2175" s="202" t="s">
        <v>688</v>
      </c>
    </row>
    <row r="2176" spans="1:7" hidden="1">
      <c r="A2176" s="202" t="s">
        <v>1387</v>
      </c>
      <c r="B2176" s="203">
        <v>82700</v>
      </c>
      <c r="C2176" s="203">
        <v>0</v>
      </c>
      <c r="D2176" s="202" t="s">
        <v>440</v>
      </c>
      <c r="E2176" s="202" t="s">
        <v>638</v>
      </c>
      <c r="F2176" s="202" t="s">
        <v>409</v>
      </c>
      <c r="G2176" s="202" t="s">
        <v>688</v>
      </c>
    </row>
    <row r="2177" spans="1:7" hidden="1">
      <c r="A2177" s="202" t="s">
        <v>1388</v>
      </c>
      <c r="B2177" s="203">
        <v>16200</v>
      </c>
      <c r="C2177" s="203">
        <v>0</v>
      </c>
      <c r="D2177" s="202" t="s">
        <v>442</v>
      </c>
      <c r="E2177" s="202" t="s">
        <v>638</v>
      </c>
      <c r="F2177" s="202" t="s">
        <v>396</v>
      </c>
      <c r="G2177" s="202" t="s">
        <v>688</v>
      </c>
    </row>
    <row r="2178" spans="1:7" hidden="1">
      <c r="A2178" s="202" t="s">
        <v>1389</v>
      </c>
      <c r="B2178" s="203">
        <v>1600</v>
      </c>
      <c r="C2178" s="203">
        <v>0</v>
      </c>
      <c r="D2178" s="202" t="s">
        <v>442</v>
      </c>
      <c r="E2178" s="202" t="s">
        <v>638</v>
      </c>
      <c r="F2178" s="202" t="s">
        <v>396</v>
      </c>
      <c r="G2178" s="202" t="s">
        <v>688</v>
      </c>
    </row>
    <row r="2179" spans="1:7" hidden="1">
      <c r="A2179" s="202" t="s">
        <v>1390</v>
      </c>
      <c r="B2179" s="203">
        <v>1250</v>
      </c>
      <c r="C2179" s="203">
        <v>0</v>
      </c>
      <c r="D2179" s="202" t="s">
        <v>440</v>
      </c>
      <c r="E2179" s="202" t="s">
        <v>638</v>
      </c>
      <c r="F2179" s="202" t="s">
        <v>652</v>
      </c>
      <c r="G2179" s="202" t="s">
        <v>688</v>
      </c>
    </row>
    <row r="2180" spans="1:7" hidden="1">
      <c r="A2180" s="202" t="s">
        <v>1391</v>
      </c>
      <c r="B2180" s="203">
        <v>2513</v>
      </c>
      <c r="C2180" s="203">
        <v>0</v>
      </c>
      <c r="D2180" s="202" t="s">
        <v>440</v>
      </c>
      <c r="E2180" s="202" t="s">
        <v>638</v>
      </c>
      <c r="F2180" s="202" t="s">
        <v>652</v>
      </c>
      <c r="G2180" s="202" t="s">
        <v>688</v>
      </c>
    </row>
    <row r="2181" spans="1:7" hidden="1">
      <c r="A2181" s="202" t="s">
        <v>1392</v>
      </c>
      <c r="B2181" s="203">
        <v>16800</v>
      </c>
      <c r="C2181" s="203">
        <v>0</v>
      </c>
      <c r="D2181" s="202" t="s">
        <v>440</v>
      </c>
      <c r="E2181" s="202" t="s">
        <v>638</v>
      </c>
      <c r="F2181" s="202" t="s">
        <v>652</v>
      </c>
      <c r="G2181" s="202" t="s">
        <v>688</v>
      </c>
    </row>
    <row r="2182" spans="1:7" hidden="1">
      <c r="A2182" s="202" t="s">
        <v>1393</v>
      </c>
      <c r="B2182" s="203">
        <v>1600</v>
      </c>
      <c r="C2182" s="203">
        <v>0</v>
      </c>
      <c r="D2182" s="202" t="s">
        <v>442</v>
      </c>
      <c r="E2182" s="202" t="s">
        <v>638</v>
      </c>
      <c r="F2182" s="202" t="s">
        <v>396</v>
      </c>
      <c r="G2182" s="202" t="s">
        <v>688</v>
      </c>
    </row>
    <row r="2183" spans="1:7" hidden="1">
      <c r="A2183" s="202" t="s">
        <v>1394</v>
      </c>
      <c r="B2183" s="203">
        <v>21400</v>
      </c>
      <c r="C2183" s="203">
        <v>0</v>
      </c>
      <c r="D2183" s="202" t="s">
        <v>440</v>
      </c>
      <c r="E2183" s="202" t="s">
        <v>638</v>
      </c>
      <c r="F2183" s="202" t="s">
        <v>652</v>
      </c>
      <c r="G2183" s="202" t="s">
        <v>688</v>
      </c>
    </row>
    <row r="2184" spans="1:7" hidden="1">
      <c r="A2184" s="202" t="s">
        <v>1395</v>
      </c>
      <c r="B2184" s="203">
        <v>2500</v>
      </c>
      <c r="C2184" s="203">
        <v>0</v>
      </c>
      <c r="D2184" s="202" t="s">
        <v>442</v>
      </c>
      <c r="E2184" s="202" t="s">
        <v>638</v>
      </c>
      <c r="F2184" s="202" t="s">
        <v>396</v>
      </c>
      <c r="G2184" s="202" t="s">
        <v>688</v>
      </c>
    </row>
    <row r="2185" spans="1:7" hidden="1">
      <c r="A2185" s="202" t="s">
        <v>1396</v>
      </c>
      <c r="B2185" s="203">
        <v>2000</v>
      </c>
      <c r="C2185" s="203">
        <v>0</v>
      </c>
      <c r="D2185" s="202" t="s">
        <v>442</v>
      </c>
      <c r="E2185" s="202" t="s">
        <v>638</v>
      </c>
      <c r="F2185" s="202" t="s">
        <v>396</v>
      </c>
      <c r="G2185" s="202" t="s">
        <v>688</v>
      </c>
    </row>
    <row r="2186" spans="1:7" hidden="1">
      <c r="A2186" s="202" t="s">
        <v>1397</v>
      </c>
      <c r="B2186" s="203">
        <v>2000</v>
      </c>
      <c r="C2186" s="203">
        <v>0</v>
      </c>
      <c r="D2186" s="202" t="s">
        <v>442</v>
      </c>
      <c r="E2186" s="202" t="s">
        <v>638</v>
      </c>
      <c r="F2186" s="202" t="s">
        <v>396</v>
      </c>
      <c r="G2186" s="202" t="s">
        <v>688</v>
      </c>
    </row>
    <row r="2187" spans="1:7" hidden="1">
      <c r="A2187" s="202" t="s">
        <v>1398</v>
      </c>
      <c r="B2187" s="203">
        <v>-6300</v>
      </c>
      <c r="C2187" s="203">
        <v>0</v>
      </c>
      <c r="D2187" s="202" t="s">
        <v>440</v>
      </c>
      <c r="E2187" s="202" t="s">
        <v>638</v>
      </c>
      <c r="F2187" s="202" t="s">
        <v>409</v>
      </c>
      <c r="G2187" s="202" t="s">
        <v>688</v>
      </c>
    </row>
    <row r="2188" spans="1:7" hidden="1">
      <c r="A2188" s="202" t="s">
        <v>1399</v>
      </c>
      <c r="B2188" s="203">
        <v>-9100</v>
      </c>
      <c r="C2188" s="203">
        <v>0</v>
      </c>
      <c r="D2188" s="202" t="s">
        <v>440</v>
      </c>
      <c r="E2188" s="202" t="s">
        <v>638</v>
      </c>
      <c r="F2188" s="202" t="s">
        <v>652</v>
      </c>
      <c r="G2188" s="202" t="s">
        <v>688</v>
      </c>
    </row>
    <row r="2189" spans="1:7" hidden="1">
      <c r="A2189" s="202" t="s">
        <v>1400</v>
      </c>
      <c r="B2189" s="203">
        <v>-32000</v>
      </c>
      <c r="C2189" s="203">
        <v>0</v>
      </c>
      <c r="D2189" s="202" t="s">
        <v>440</v>
      </c>
      <c r="E2189" s="202" t="s">
        <v>638</v>
      </c>
      <c r="F2189" s="202" t="s">
        <v>652</v>
      </c>
      <c r="G2189" s="202" t="s">
        <v>688</v>
      </c>
    </row>
    <row r="2190" spans="1:7" hidden="1">
      <c r="A2190" s="202" t="s">
        <v>1401</v>
      </c>
      <c r="B2190" s="203">
        <v>-15800</v>
      </c>
      <c r="C2190" s="203">
        <v>0</v>
      </c>
      <c r="D2190" s="202" t="s">
        <v>442</v>
      </c>
      <c r="E2190" s="202" t="s">
        <v>638</v>
      </c>
      <c r="F2190" s="202" t="s">
        <v>396</v>
      </c>
      <c r="G2190" s="202" t="s">
        <v>688</v>
      </c>
    </row>
    <row r="2191" spans="1:7" hidden="1">
      <c r="A2191" s="202" t="s">
        <v>1401</v>
      </c>
      <c r="B2191" s="203">
        <v>-79600</v>
      </c>
      <c r="C2191" s="203">
        <v>0</v>
      </c>
      <c r="D2191" s="202" t="s">
        <v>474</v>
      </c>
      <c r="E2191" s="202" t="s">
        <v>638</v>
      </c>
      <c r="F2191" s="202" t="s">
        <v>396</v>
      </c>
      <c r="G2191" s="202" t="s">
        <v>688</v>
      </c>
    </row>
    <row r="2192" spans="1:7" hidden="1">
      <c r="A2192" s="202" t="s">
        <v>1402</v>
      </c>
      <c r="B2192" s="203">
        <v>-29500</v>
      </c>
      <c r="C2192" s="203">
        <v>0</v>
      </c>
      <c r="D2192" s="202" t="s">
        <v>440</v>
      </c>
      <c r="E2192" s="202" t="s">
        <v>638</v>
      </c>
      <c r="F2192" s="202" t="s">
        <v>652</v>
      </c>
      <c r="G2192" s="202" t="s">
        <v>688</v>
      </c>
    </row>
    <row r="2193" spans="1:7" hidden="1">
      <c r="A2193" s="202" t="s">
        <v>1403</v>
      </c>
      <c r="B2193" s="203">
        <v>50150</v>
      </c>
      <c r="C2193" s="203">
        <v>0</v>
      </c>
      <c r="D2193" s="202" t="s">
        <v>440</v>
      </c>
      <c r="E2193" s="202" t="s">
        <v>638</v>
      </c>
      <c r="F2193" s="202" t="s">
        <v>652</v>
      </c>
      <c r="G2193" s="202" t="s">
        <v>688</v>
      </c>
    </row>
    <row r="2194" spans="1:7" hidden="1">
      <c r="A2194" s="202" t="s">
        <v>1404</v>
      </c>
      <c r="B2194" s="203">
        <v>20500</v>
      </c>
      <c r="C2194" s="203">
        <v>0</v>
      </c>
      <c r="D2194" s="202" t="s">
        <v>440</v>
      </c>
      <c r="E2194" s="202" t="s">
        <v>638</v>
      </c>
      <c r="F2194" s="202" t="s">
        <v>652</v>
      </c>
      <c r="G2194" s="202" t="s">
        <v>688</v>
      </c>
    </row>
    <row r="2195" spans="1:7" hidden="1">
      <c r="A2195" s="202" t="s">
        <v>1405</v>
      </c>
      <c r="B2195" s="203">
        <v>3500</v>
      </c>
      <c r="C2195" s="203">
        <v>0</v>
      </c>
      <c r="D2195" s="202" t="s">
        <v>442</v>
      </c>
      <c r="E2195" s="202" t="s">
        <v>638</v>
      </c>
      <c r="F2195" s="202" t="s">
        <v>396</v>
      </c>
      <c r="G2195" s="202" t="s">
        <v>688</v>
      </c>
    </row>
    <row r="2196" spans="1:7" hidden="1">
      <c r="A2196" s="202" t="s">
        <v>1406</v>
      </c>
      <c r="B2196" s="203">
        <v>5000</v>
      </c>
      <c r="C2196" s="203">
        <v>0</v>
      </c>
      <c r="D2196" s="202" t="s">
        <v>442</v>
      </c>
      <c r="E2196" s="202" t="s">
        <v>638</v>
      </c>
      <c r="F2196" s="202" t="s">
        <v>396</v>
      </c>
      <c r="G2196" s="202" t="s">
        <v>688</v>
      </c>
    </row>
    <row r="2197" spans="1:7" hidden="1">
      <c r="A2197" s="202" t="s">
        <v>1407</v>
      </c>
      <c r="B2197" s="203">
        <v>4300</v>
      </c>
      <c r="C2197" s="203">
        <v>0</v>
      </c>
      <c r="D2197" s="202" t="s">
        <v>442</v>
      </c>
      <c r="E2197" s="202" t="s">
        <v>638</v>
      </c>
      <c r="F2197" s="202" t="s">
        <v>396</v>
      </c>
      <c r="G2197" s="202" t="s">
        <v>688</v>
      </c>
    </row>
    <row r="2198" spans="1:7" hidden="1">
      <c r="A2198" s="202" t="s">
        <v>1408</v>
      </c>
      <c r="B2198" s="203">
        <v>24600</v>
      </c>
      <c r="C2198" s="203">
        <v>0</v>
      </c>
      <c r="D2198" s="202" t="s">
        <v>440</v>
      </c>
      <c r="E2198" s="202" t="s">
        <v>638</v>
      </c>
      <c r="F2198" s="202" t="s">
        <v>652</v>
      </c>
      <c r="G2198" s="202" t="s">
        <v>688</v>
      </c>
    </row>
    <row r="2199" spans="1:7" hidden="1">
      <c r="A2199" s="202" t="s">
        <v>1409</v>
      </c>
      <c r="B2199" s="203">
        <v>8900</v>
      </c>
      <c r="C2199" s="203">
        <v>0</v>
      </c>
      <c r="D2199" s="202" t="s">
        <v>442</v>
      </c>
      <c r="E2199" s="202" t="s">
        <v>638</v>
      </c>
      <c r="F2199" s="202" t="s">
        <v>396</v>
      </c>
      <c r="G2199" s="202" t="s">
        <v>688</v>
      </c>
    </row>
    <row r="2200" spans="1:7" hidden="1">
      <c r="A2200" s="202" t="s">
        <v>1410</v>
      </c>
      <c r="B2200" s="203">
        <v>51800</v>
      </c>
      <c r="C2200" s="203">
        <v>0</v>
      </c>
      <c r="D2200" s="202" t="s">
        <v>440</v>
      </c>
      <c r="E2200" s="202" t="s">
        <v>638</v>
      </c>
      <c r="F2200" s="202" t="s">
        <v>652</v>
      </c>
      <c r="G2200" s="202" t="s">
        <v>688</v>
      </c>
    </row>
    <row r="2201" spans="1:7" hidden="1">
      <c r="A2201" s="202" t="s">
        <v>1411</v>
      </c>
      <c r="B2201" s="203">
        <v>-10000</v>
      </c>
      <c r="C2201" s="203">
        <v>0</v>
      </c>
      <c r="D2201" s="202" t="s">
        <v>440</v>
      </c>
      <c r="E2201" s="202" t="s">
        <v>638</v>
      </c>
      <c r="F2201" s="202" t="s">
        <v>652</v>
      </c>
      <c r="G2201" s="202" t="s">
        <v>688</v>
      </c>
    </row>
    <row r="2202" spans="1:7" hidden="1">
      <c r="A2202" s="202" t="s">
        <v>1412</v>
      </c>
      <c r="B2202" s="203">
        <v>29600</v>
      </c>
      <c r="C2202" s="203">
        <v>0</v>
      </c>
      <c r="D2202" s="202" t="s">
        <v>474</v>
      </c>
      <c r="E2202" s="202" t="s">
        <v>638</v>
      </c>
      <c r="F2202" s="202" t="s">
        <v>396</v>
      </c>
      <c r="G2202" s="202" t="s">
        <v>688</v>
      </c>
    </row>
    <row r="2203" spans="1:7" hidden="1">
      <c r="A2203" s="202" t="s">
        <v>1413</v>
      </c>
      <c r="B2203" s="203">
        <v>51000</v>
      </c>
      <c r="C2203" s="203">
        <v>0</v>
      </c>
      <c r="D2203" s="202" t="s">
        <v>440</v>
      </c>
      <c r="E2203" s="202" t="s">
        <v>638</v>
      </c>
      <c r="F2203" s="202" t="s">
        <v>652</v>
      </c>
      <c r="G2203" s="202" t="s">
        <v>688</v>
      </c>
    </row>
    <row r="2204" spans="1:7" hidden="1">
      <c r="A2204" s="202" t="s">
        <v>1414</v>
      </c>
      <c r="B2204" s="203">
        <v>3200</v>
      </c>
      <c r="C2204" s="203">
        <v>0</v>
      </c>
      <c r="D2204" s="202" t="s">
        <v>442</v>
      </c>
      <c r="E2204" s="202" t="s">
        <v>638</v>
      </c>
      <c r="F2204" s="202" t="s">
        <v>396</v>
      </c>
      <c r="G2204" s="202" t="s">
        <v>688</v>
      </c>
    </row>
    <row r="2205" spans="1:7" hidden="1">
      <c r="A2205" s="202" t="s">
        <v>1415</v>
      </c>
      <c r="B2205" s="203">
        <v>3100</v>
      </c>
      <c r="C2205" s="203">
        <v>0</v>
      </c>
      <c r="D2205" s="202" t="s">
        <v>442</v>
      </c>
      <c r="E2205" s="202" t="s">
        <v>638</v>
      </c>
      <c r="F2205" s="202" t="s">
        <v>396</v>
      </c>
      <c r="G2205" s="202" t="s">
        <v>688</v>
      </c>
    </row>
    <row r="2206" spans="1:7" hidden="1">
      <c r="A2206" s="202" t="s">
        <v>1416</v>
      </c>
      <c r="B2206" s="203">
        <v>-12400</v>
      </c>
      <c r="C2206" s="203">
        <v>0</v>
      </c>
      <c r="D2206" s="202" t="s">
        <v>440</v>
      </c>
      <c r="E2206" s="202" t="s">
        <v>638</v>
      </c>
      <c r="F2206" s="202" t="s">
        <v>652</v>
      </c>
      <c r="G2206" s="202" t="s">
        <v>688</v>
      </c>
    </row>
    <row r="2207" spans="1:7" hidden="1">
      <c r="A2207" s="202" t="s">
        <v>1417</v>
      </c>
      <c r="B2207" s="203">
        <v>100000</v>
      </c>
      <c r="C2207" s="203">
        <v>0</v>
      </c>
      <c r="D2207" s="202" t="s">
        <v>440</v>
      </c>
      <c r="E2207" s="202" t="s">
        <v>638</v>
      </c>
      <c r="F2207" s="202" t="s">
        <v>652</v>
      </c>
      <c r="G2207" s="202" t="s">
        <v>688</v>
      </c>
    </row>
    <row r="2208" spans="1:7" hidden="1">
      <c r="A2208" s="202" t="s">
        <v>1418</v>
      </c>
      <c r="B2208" s="203">
        <v>29900</v>
      </c>
      <c r="C2208" s="203">
        <v>0</v>
      </c>
      <c r="D2208" s="202" t="s">
        <v>440</v>
      </c>
      <c r="E2208" s="202" t="s">
        <v>638</v>
      </c>
      <c r="F2208" s="202" t="s">
        <v>652</v>
      </c>
      <c r="G2208" s="202" t="s">
        <v>688</v>
      </c>
    </row>
    <row r="2209" spans="1:7" hidden="1">
      <c r="A2209" s="202" t="s">
        <v>1419</v>
      </c>
      <c r="B2209" s="203">
        <v>47500</v>
      </c>
      <c r="C2209" s="203">
        <v>0</v>
      </c>
      <c r="D2209" s="202" t="s">
        <v>440</v>
      </c>
      <c r="E2209" s="202" t="s">
        <v>638</v>
      </c>
      <c r="F2209" s="202" t="s">
        <v>652</v>
      </c>
      <c r="G2209" s="202" t="s">
        <v>688</v>
      </c>
    </row>
    <row r="2210" spans="1:7" hidden="1">
      <c r="A2210" s="202" t="s">
        <v>1420</v>
      </c>
      <c r="B2210" s="203">
        <v>2200</v>
      </c>
      <c r="C2210" s="203">
        <v>0</v>
      </c>
      <c r="D2210" s="202" t="s">
        <v>442</v>
      </c>
      <c r="E2210" s="202" t="s">
        <v>638</v>
      </c>
      <c r="F2210" s="202" t="s">
        <v>396</v>
      </c>
      <c r="G2210" s="202" t="s">
        <v>688</v>
      </c>
    </row>
    <row r="2211" spans="1:7" hidden="1">
      <c r="A2211" s="202" t="s">
        <v>1421</v>
      </c>
      <c r="B2211" s="203">
        <v>1050</v>
      </c>
      <c r="C2211" s="203">
        <v>0</v>
      </c>
      <c r="D2211" s="202" t="s">
        <v>442</v>
      </c>
      <c r="E2211" s="202" t="s">
        <v>638</v>
      </c>
      <c r="F2211" s="202" t="s">
        <v>396</v>
      </c>
      <c r="G2211" s="202" t="s">
        <v>688</v>
      </c>
    </row>
    <row r="2212" spans="1:7" hidden="1">
      <c r="A2212" s="202" t="s">
        <v>1422</v>
      </c>
      <c r="B2212" s="203">
        <v>3000</v>
      </c>
      <c r="C2212" s="203">
        <v>0</v>
      </c>
      <c r="D2212" s="202" t="s">
        <v>442</v>
      </c>
      <c r="E2212" s="202" t="s">
        <v>638</v>
      </c>
      <c r="F2212" s="202" t="s">
        <v>396</v>
      </c>
      <c r="G2212" s="202" t="s">
        <v>688</v>
      </c>
    </row>
    <row r="2213" spans="1:7" hidden="1">
      <c r="A2213" s="202" t="s">
        <v>1423</v>
      </c>
      <c r="B2213" s="203">
        <v>16100</v>
      </c>
      <c r="C2213" s="203">
        <v>0</v>
      </c>
      <c r="D2213" s="202" t="s">
        <v>440</v>
      </c>
      <c r="E2213" s="202" t="s">
        <v>638</v>
      </c>
      <c r="F2213" s="202" t="s">
        <v>652</v>
      </c>
      <c r="G2213" s="202" t="s">
        <v>688</v>
      </c>
    </row>
    <row r="2214" spans="1:7" hidden="1">
      <c r="A2214" s="202" t="s">
        <v>1424</v>
      </c>
      <c r="B2214" s="203">
        <v>3200</v>
      </c>
      <c r="C2214" s="203">
        <v>0</v>
      </c>
      <c r="D2214" s="202" t="s">
        <v>442</v>
      </c>
      <c r="E2214" s="202" t="s">
        <v>638</v>
      </c>
      <c r="F2214" s="202" t="s">
        <v>396</v>
      </c>
      <c r="G2214" s="202" t="s">
        <v>688</v>
      </c>
    </row>
    <row r="2215" spans="1:7" hidden="1">
      <c r="A2215" s="202" t="s">
        <v>1425</v>
      </c>
      <c r="B2215" s="203">
        <v>2300</v>
      </c>
      <c r="C2215" s="203">
        <v>0</v>
      </c>
      <c r="D2215" s="202" t="s">
        <v>442</v>
      </c>
      <c r="E2215" s="202" t="s">
        <v>638</v>
      </c>
      <c r="F2215" s="202" t="s">
        <v>396</v>
      </c>
      <c r="G2215" s="202" t="s">
        <v>688</v>
      </c>
    </row>
    <row r="2216" spans="1:7" hidden="1">
      <c r="A2216" s="202" t="s">
        <v>1426</v>
      </c>
      <c r="B2216" s="203">
        <v>2500</v>
      </c>
      <c r="C2216" s="203">
        <v>0</v>
      </c>
      <c r="D2216" s="202" t="s">
        <v>442</v>
      </c>
      <c r="E2216" s="202" t="s">
        <v>638</v>
      </c>
      <c r="F2216" s="202" t="s">
        <v>396</v>
      </c>
      <c r="G2216" s="202" t="s">
        <v>688</v>
      </c>
    </row>
    <row r="2217" spans="1:7" hidden="1">
      <c r="A2217" s="202" t="s">
        <v>1427</v>
      </c>
      <c r="B2217" s="203">
        <v>3700</v>
      </c>
      <c r="C2217" s="203">
        <v>0</v>
      </c>
      <c r="D2217" s="202" t="s">
        <v>442</v>
      </c>
      <c r="E2217" s="202" t="s">
        <v>638</v>
      </c>
      <c r="F2217" s="202" t="s">
        <v>396</v>
      </c>
      <c r="G2217" s="202" t="s">
        <v>688</v>
      </c>
    </row>
    <row r="2218" spans="1:7" hidden="1">
      <c r="A2218" s="202" t="s">
        <v>1428</v>
      </c>
      <c r="B2218" s="203">
        <v>25400</v>
      </c>
      <c r="C2218" s="203">
        <v>0</v>
      </c>
      <c r="D2218" s="202" t="s">
        <v>440</v>
      </c>
      <c r="E2218" s="202" t="s">
        <v>638</v>
      </c>
      <c r="F2218" s="202" t="s">
        <v>652</v>
      </c>
      <c r="G2218" s="202" t="s">
        <v>688</v>
      </c>
    </row>
    <row r="2219" spans="1:7" hidden="1">
      <c r="A2219" s="202" t="s">
        <v>1429</v>
      </c>
      <c r="B2219" s="203">
        <v>54600</v>
      </c>
      <c r="C2219" s="203">
        <v>0</v>
      </c>
      <c r="D2219" s="202" t="s">
        <v>440</v>
      </c>
      <c r="E2219" s="202" t="s">
        <v>638</v>
      </c>
      <c r="F2219" s="202" t="s">
        <v>652</v>
      </c>
      <c r="G2219" s="202" t="s">
        <v>688</v>
      </c>
    </row>
    <row r="2220" spans="1:7" hidden="1">
      <c r="A2220" s="202" t="s">
        <v>1430</v>
      </c>
      <c r="B2220" s="203">
        <v>36000</v>
      </c>
      <c r="C2220" s="203">
        <v>0</v>
      </c>
      <c r="D2220" s="202" t="s">
        <v>440</v>
      </c>
      <c r="E2220" s="202" t="s">
        <v>638</v>
      </c>
      <c r="F2220" s="202" t="s">
        <v>652</v>
      </c>
      <c r="G2220" s="202" t="s">
        <v>688</v>
      </c>
    </row>
    <row r="2221" spans="1:7" hidden="1">
      <c r="A2221" s="202" t="s">
        <v>1431</v>
      </c>
      <c r="B2221" s="203">
        <v>126700</v>
      </c>
      <c r="C2221" s="203">
        <v>0</v>
      </c>
      <c r="D2221" s="202" t="s">
        <v>440</v>
      </c>
      <c r="E2221" s="202" t="s">
        <v>638</v>
      </c>
      <c r="F2221" s="202" t="s">
        <v>409</v>
      </c>
      <c r="G2221" s="202" t="s">
        <v>688</v>
      </c>
    </row>
    <row r="2222" spans="1:7" hidden="1">
      <c r="A2222" s="202" t="s">
        <v>1432</v>
      </c>
      <c r="B2222" s="203">
        <v>3600</v>
      </c>
      <c r="C2222" s="203">
        <v>0</v>
      </c>
      <c r="D2222" s="202" t="s">
        <v>440</v>
      </c>
      <c r="E2222" s="202" t="s">
        <v>638</v>
      </c>
      <c r="F2222" s="202" t="s">
        <v>652</v>
      </c>
      <c r="G2222" s="202" t="s">
        <v>688</v>
      </c>
    </row>
    <row r="2223" spans="1:7" hidden="1">
      <c r="A2223" s="202" t="s">
        <v>1433</v>
      </c>
      <c r="B2223" s="203">
        <v>20200</v>
      </c>
      <c r="C2223" s="203">
        <v>0</v>
      </c>
      <c r="D2223" s="202" t="s">
        <v>474</v>
      </c>
      <c r="E2223" s="202" t="s">
        <v>638</v>
      </c>
      <c r="F2223" s="202" t="s">
        <v>396</v>
      </c>
      <c r="G2223" s="202" t="s">
        <v>688</v>
      </c>
    </row>
    <row r="2224" spans="1:7" hidden="1">
      <c r="A2224" s="202" t="s">
        <v>1434</v>
      </c>
      <c r="B2224" s="203">
        <v>-129200</v>
      </c>
      <c r="C2224" s="203">
        <v>0</v>
      </c>
      <c r="D2224" s="202" t="s">
        <v>440</v>
      </c>
      <c r="E2224" s="202" t="s">
        <v>638</v>
      </c>
      <c r="F2224" s="202" t="s">
        <v>652</v>
      </c>
      <c r="G2224" s="202" t="s">
        <v>688</v>
      </c>
    </row>
    <row r="2225" spans="1:7" hidden="1">
      <c r="A2225" s="202" t="s">
        <v>1435</v>
      </c>
      <c r="B2225" s="203">
        <v>-3900</v>
      </c>
      <c r="C2225" s="203">
        <v>0</v>
      </c>
      <c r="D2225" s="202" t="s">
        <v>442</v>
      </c>
      <c r="E2225" s="202" t="s">
        <v>638</v>
      </c>
      <c r="F2225" s="202" t="s">
        <v>396</v>
      </c>
      <c r="G2225" s="202" t="s">
        <v>688</v>
      </c>
    </row>
    <row r="2226" spans="1:7" hidden="1">
      <c r="A2226" s="202" t="s">
        <v>1436</v>
      </c>
      <c r="B2226" s="203">
        <v>-5600</v>
      </c>
      <c r="C2226" s="203">
        <v>0</v>
      </c>
      <c r="D2226" s="202" t="s">
        <v>442</v>
      </c>
      <c r="E2226" s="202" t="s">
        <v>638</v>
      </c>
      <c r="F2226" s="202" t="s">
        <v>396</v>
      </c>
      <c r="G2226" s="202" t="s">
        <v>688</v>
      </c>
    </row>
    <row r="2227" spans="1:7" hidden="1">
      <c r="A2227" s="202" t="s">
        <v>1437</v>
      </c>
      <c r="B2227" s="203">
        <v>35900</v>
      </c>
      <c r="C2227" s="203">
        <v>0</v>
      </c>
      <c r="D2227" s="202" t="s">
        <v>440</v>
      </c>
      <c r="E2227" s="202" t="s">
        <v>638</v>
      </c>
      <c r="F2227" s="202" t="s">
        <v>652</v>
      </c>
      <c r="G2227" s="202" t="s">
        <v>688</v>
      </c>
    </row>
    <row r="2228" spans="1:7" hidden="1">
      <c r="A2228" s="202" t="s">
        <v>1438</v>
      </c>
      <c r="B2228" s="203">
        <v>6500</v>
      </c>
      <c r="C2228" s="203">
        <v>0</v>
      </c>
      <c r="D2228" s="202" t="s">
        <v>440</v>
      </c>
      <c r="E2228" s="202" t="s">
        <v>638</v>
      </c>
      <c r="F2228" s="202" t="s">
        <v>652</v>
      </c>
      <c r="G2228" s="202" t="s">
        <v>688</v>
      </c>
    </row>
    <row r="2229" spans="1:7" hidden="1">
      <c r="A2229" s="202" t="s">
        <v>1439</v>
      </c>
      <c r="B2229" s="203">
        <v>5400</v>
      </c>
      <c r="C2229" s="203">
        <v>0</v>
      </c>
      <c r="D2229" s="202" t="s">
        <v>442</v>
      </c>
      <c r="E2229" s="202" t="s">
        <v>638</v>
      </c>
      <c r="F2229" s="202" t="s">
        <v>396</v>
      </c>
      <c r="G2229" s="202" t="s">
        <v>688</v>
      </c>
    </row>
    <row r="2230" spans="1:7" hidden="1">
      <c r="A2230" s="202" t="s">
        <v>1440</v>
      </c>
      <c r="B2230" s="203">
        <v>2540</v>
      </c>
      <c r="C2230" s="203">
        <v>0</v>
      </c>
      <c r="D2230" s="202" t="s">
        <v>442</v>
      </c>
      <c r="E2230" s="202" t="s">
        <v>638</v>
      </c>
      <c r="F2230" s="202" t="s">
        <v>396</v>
      </c>
      <c r="G2230" s="202" t="s">
        <v>688</v>
      </c>
    </row>
    <row r="2231" spans="1:7" hidden="1">
      <c r="A2231" s="202" t="s">
        <v>1441</v>
      </c>
      <c r="B2231" s="203">
        <v>2000</v>
      </c>
      <c r="C2231" s="203">
        <v>0</v>
      </c>
      <c r="D2231" s="202" t="s">
        <v>442</v>
      </c>
      <c r="E2231" s="202" t="s">
        <v>638</v>
      </c>
      <c r="F2231" s="202" t="s">
        <v>396</v>
      </c>
      <c r="G2231" s="202" t="s">
        <v>688</v>
      </c>
    </row>
    <row r="2232" spans="1:7" hidden="1">
      <c r="A2232" s="202" t="s">
        <v>1442</v>
      </c>
      <c r="B2232" s="203">
        <v>3272</v>
      </c>
      <c r="C2232" s="203">
        <v>0</v>
      </c>
      <c r="D2232" s="202" t="s">
        <v>440</v>
      </c>
      <c r="E2232" s="202" t="s">
        <v>638</v>
      </c>
      <c r="F2232" s="202" t="s">
        <v>652</v>
      </c>
      <c r="G2232" s="202" t="s">
        <v>688</v>
      </c>
    </row>
    <row r="2233" spans="1:7" hidden="1">
      <c r="A2233" s="202" t="s">
        <v>1443</v>
      </c>
      <c r="B2233" s="203">
        <v>20000</v>
      </c>
      <c r="C2233" s="203">
        <v>0</v>
      </c>
      <c r="D2233" s="202" t="s">
        <v>440</v>
      </c>
      <c r="E2233" s="202" t="s">
        <v>638</v>
      </c>
      <c r="F2233" s="202" t="s">
        <v>652</v>
      </c>
      <c r="G2233" s="202" t="s">
        <v>688</v>
      </c>
    </row>
    <row r="2234" spans="1:7" hidden="1">
      <c r="A2234" s="202" t="s">
        <v>1444</v>
      </c>
      <c r="B2234" s="203">
        <v>17400</v>
      </c>
      <c r="C2234" s="203">
        <v>0</v>
      </c>
      <c r="D2234" s="202" t="s">
        <v>440</v>
      </c>
      <c r="E2234" s="202" t="s">
        <v>638</v>
      </c>
      <c r="F2234" s="202" t="s">
        <v>652</v>
      </c>
      <c r="G2234" s="202" t="s">
        <v>688</v>
      </c>
    </row>
    <row r="2235" spans="1:7" hidden="1">
      <c r="A2235" s="202" t="s">
        <v>1445</v>
      </c>
      <c r="B2235" s="203">
        <v>1700</v>
      </c>
      <c r="C2235" s="203">
        <v>0</v>
      </c>
      <c r="D2235" s="202" t="s">
        <v>442</v>
      </c>
      <c r="E2235" s="202" t="s">
        <v>638</v>
      </c>
      <c r="F2235" s="202" t="s">
        <v>396</v>
      </c>
      <c r="G2235" s="202" t="s">
        <v>688</v>
      </c>
    </row>
    <row r="2236" spans="1:7" hidden="1">
      <c r="A2236" s="202" t="s">
        <v>1446</v>
      </c>
      <c r="B2236" s="203">
        <v>-28000</v>
      </c>
      <c r="C2236" s="203">
        <v>0</v>
      </c>
      <c r="D2236" s="202" t="s">
        <v>440</v>
      </c>
      <c r="E2236" s="202" t="s">
        <v>638</v>
      </c>
      <c r="F2236" s="202" t="s">
        <v>409</v>
      </c>
      <c r="G2236" s="202" t="s">
        <v>688</v>
      </c>
    </row>
    <row r="2237" spans="1:7" hidden="1">
      <c r="A2237" s="202" t="s">
        <v>1447</v>
      </c>
      <c r="B2237" s="203">
        <v>3300</v>
      </c>
      <c r="C2237" s="203">
        <v>0</v>
      </c>
      <c r="D2237" s="202" t="s">
        <v>442</v>
      </c>
      <c r="E2237" s="202" t="s">
        <v>638</v>
      </c>
      <c r="F2237" s="202" t="s">
        <v>396</v>
      </c>
      <c r="G2237" s="202" t="s">
        <v>688</v>
      </c>
    </row>
    <row r="2238" spans="1:7" hidden="1">
      <c r="A2238" s="202" t="s">
        <v>1448</v>
      </c>
      <c r="B2238" s="203">
        <v>52800</v>
      </c>
      <c r="C2238" s="203">
        <v>0</v>
      </c>
      <c r="D2238" s="202" t="s">
        <v>440</v>
      </c>
      <c r="E2238" s="202" t="s">
        <v>638</v>
      </c>
      <c r="F2238" s="202" t="s">
        <v>652</v>
      </c>
      <c r="G2238" s="202" t="s">
        <v>688</v>
      </c>
    </row>
    <row r="2239" spans="1:7" hidden="1">
      <c r="A2239" s="202" t="s">
        <v>1449</v>
      </c>
      <c r="B2239" s="203">
        <v>2100</v>
      </c>
      <c r="C2239" s="203">
        <v>0</v>
      </c>
      <c r="D2239" s="202" t="s">
        <v>442</v>
      </c>
      <c r="E2239" s="202" t="s">
        <v>638</v>
      </c>
      <c r="F2239" s="202" t="s">
        <v>396</v>
      </c>
      <c r="G2239" s="202" t="s">
        <v>688</v>
      </c>
    </row>
    <row r="2240" spans="1:7" hidden="1">
      <c r="A2240" s="202" t="s">
        <v>1450</v>
      </c>
      <c r="B2240" s="203">
        <v>31500</v>
      </c>
      <c r="C2240" s="203">
        <v>0</v>
      </c>
      <c r="D2240" s="202" t="s">
        <v>440</v>
      </c>
      <c r="E2240" s="202" t="s">
        <v>638</v>
      </c>
      <c r="F2240" s="202" t="s">
        <v>652</v>
      </c>
      <c r="G2240" s="202" t="s">
        <v>688</v>
      </c>
    </row>
    <row r="2241" spans="1:7" hidden="1">
      <c r="A2241" s="202" t="s">
        <v>1451</v>
      </c>
      <c r="B2241" s="203">
        <v>21300</v>
      </c>
      <c r="C2241" s="203">
        <v>0</v>
      </c>
      <c r="D2241" s="202" t="s">
        <v>440</v>
      </c>
      <c r="E2241" s="202" t="s">
        <v>638</v>
      </c>
      <c r="F2241" s="202" t="s">
        <v>652</v>
      </c>
      <c r="G2241" s="202" t="s">
        <v>688</v>
      </c>
    </row>
    <row r="2242" spans="1:7" hidden="1">
      <c r="A2242" s="202" t="s">
        <v>1452</v>
      </c>
      <c r="B2242" s="203">
        <v>8300</v>
      </c>
      <c r="C2242" s="203">
        <v>0</v>
      </c>
      <c r="D2242" s="202" t="s">
        <v>440</v>
      </c>
      <c r="E2242" s="202" t="s">
        <v>638</v>
      </c>
      <c r="F2242" s="202" t="s">
        <v>652</v>
      </c>
      <c r="G2242" s="202" t="s">
        <v>688</v>
      </c>
    </row>
    <row r="2243" spans="1:7" hidden="1">
      <c r="A2243" s="202" t="s">
        <v>1453</v>
      </c>
      <c r="B2243" s="203">
        <v>19900</v>
      </c>
      <c r="C2243" s="203">
        <v>0</v>
      </c>
      <c r="D2243" s="202" t="s">
        <v>440</v>
      </c>
      <c r="E2243" s="202" t="s">
        <v>638</v>
      </c>
      <c r="F2243" s="202" t="s">
        <v>652</v>
      </c>
      <c r="G2243" s="202" t="s">
        <v>688</v>
      </c>
    </row>
    <row r="2244" spans="1:7" hidden="1">
      <c r="A2244" s="202" t="s">
        <v>1454</v>
      </c>
      <c r="B2244" s="203">
        <v>25600</v>
      </c>
      <c r="C2244" s="203">
        <v>0</v>
      </c>
      <c r="D2244" s="202" t="s">
        <v>440</v>
      </c>
      <c r="E2244" s="202" t="s">
        <v>638</v>
      </c>
      <c r="F2244" s="202" t="s">
        <v>652</v>
      </c>
      <c r="G2244" s="202" t="s">
        <v>688</v>
      </c>
    </row>
    <row r="2245" spans="1:7" hidden="1">
      <c r="A2245" s="202" t="s">
        <v>1455</v>
      </c>
      <c r="B2245" s="203">
        <v>7700</v>
      </c>
      <c r="C2245" s="203">
        <v>0</v>
      </c>
      <c r="D2245" s="202" t="s">
        <v>440</v>
      </c>
      <c r="E2245" s="202" t="s">
        <v>638</v>
      </c>
      <c r="F2245" s="202" t="s">
        <v>652</v>
      </c>
      <c r="G2245" s="202" t="s">
        <v>688</v>
      </c>
    </row>
    <row r="2246" spans="1:7" hidden="1">
      <c r="A2246" s="202" t="s">
        <v>1456</v>
      </c>
      <c r="B2246" s="203">
        <v>4000</v>
      </c>
      <c r="C2246" s="203">
        <v>0</v>
      </c>
      <c r="D2246" s="202" t="s">
        <v>440</v>
      </c>
      <c r="E2246" s="202" t="s">
        <v>638</v>
      </c>
      <c r="F2246" s="202" t="s">
        <v>652</v>
      </c>
      <c r="G2246" s="202" t="s">
        <v>688</v>
      </c>
    </row>
    <row r="2247" spans="1:7" hidden="1">
      <c r="A2247" s="202" t="s">
        <v>1457</v>
      </c>
      <c r="B2247" s="203">
        <v>10700</v>
      </c>
      <c r="C2247" s="203">
        <v>0</v>
      </c>
      <c r="D2247" s="202" t="s">
        <v>440</v>
      </c>
      <c r="E2247" s="202" t="s">
        <v>638</v>
      </c>
      <c r="F2247" s="202" t="s">
        <v>652</v>
      </c>
      <c r="G2247" s="202" t="s">
        <v>688</v>
      </c>
    </row>
    <row r="2248" spans="1:7" hidden="1">
      <c r="A2248" s="202" t="s">
        <v>1458</v>
      </c>
      <c r="B2248" s="203">
        <v>11900</v>
      </c>
      <c r="C2248" s="203">
        <v>0</v>
      </c>
      <c r="D2248" s="202" t="s">
        <v>442</v>
      </c>
      <c r="E2248" s="202" t="s">
        <v>638</v>
      </c>
      <c r="F2248" s="202" t="s">
        <v>396</v>
      </c>
      <c r="G2248" s="202" t="s">
        <v>688</v>
      </c>
    </row>
    <row r="2249" spans="1:7" hidden="1">
      <c r="A2249" s="202" t="s">
        <v>1459</v>
      </c>
      <c r="B2249" s="203">
        <v>38200</v>
      </c>
      <c r="C2249" s="203">
        <v>0</v>
      </c>
      <c r="D2249" s="202" t="s">
        <v>440</v>
      </c>
      <c r="E2249" s="202" t="s">
        <v>638</v>
      </c>
      <c r="F2249" s="202" t="s">
        <v>652</v>
      </c>
      <c r="G2249" s="202" t="s">
        <v>688</v>
      </c>
    </row>
    <row r="2250" spans="1:7" hidden="1">
      <c r="A2250" s="202" t="s">
        <v>1460</v>
      </c>
      <c r="B2250" s="203">
        <v>31000</v>
      </c>
      <c r="C2250" s="203">
        <v>0</v>
      </c>
      <c r="D2250" s="202" t="s">
        <v>440</v>
      </c>
      <c r="E2250" s="202" t="s">
        <v>638</v>
      </c>
      <c r="F2250" s="202" t="s">
        <v>652</v>
      </c>
      <c r="G2250" s="202" t="s">
        <v>688</v>
      </c>
    </row>
    <row r="2251" spans="1:7" hidden="1">
      <c r="A2251" s="202" t="s">
        <v>1461</v>
      </c>
      <c r="B2251" s="203">
        <v>5620</v>
      </c>
      <c r="C2251" s="203">
        <v>0</v>
      </c>
      <c r="D2251" s="202" t="s">
        <v>440</v>
      </c>
      <c r="E2251" s="202" t="s">
        <v>638</v>
      </c>
      <c r="F2251" s="202" t="s">
        <v>652</v>
      </c>
      <c r="G2251" s="202" t="s">
        <v>688</v>
      </c>
    </row>
    <row r="2252" spans="1:7" hidden="1">
      <c r="A2252" s="202" t="s">
        <v>1462</v>
      </c>
      <c r="B2252" s="203">
        <v>7300</v>
      </c>
      <c r="C2252" s="203">
        <v>0</v>
      </c>
      <c r="D2252" s="202" t="s">
        <v>440</v>
      </c>
      <c r="E2252" s="202" t="s">
        <v>638</v>
      </c>
      <c r="F2252" s="202" t="s">
        <v>652</v>
      </c>
      <c r="G2252" s="202" t="s">
        <v>688</v>
      </c>
    </row>
    <row r="2253" spans="1:7" hidden="1">
      <c r="A2253" s="202" t="s">
        <v>1463</v>
      </c>
      <c r="B2253" s="203">
        <v>5800</v>
      </c>
      <c r="C2253" s="203">
        <v>0</v>
      </c>
      <c r="D2253" s="202" t="s">
        <v>442</v>
      </c>
      <c r="E2253" s="202" t="s">
        <v>638</v>
      </c>
      <c r="F2253" s="202" t="s">
        <v>396</v>
      </c>
      <c r="G2253" s="202" t="s">
        <v>688</v>
      </c>
    </row>
    <row r="2254" spans="1:7" hidden="1">
      <c r="A2254" s="202" t="s">
        <v>1464</v>
      </c>
      <c r="B2254" s="203">
        <v>5700</v>
      </c>
      <c r="C2254" s="203">
        <v>0</v>
      </c>
      <c r="D2254" s="202" t="s">
        <v>442</v>
      </c>
      <c r="E2254" s="202" t="s">
        <v>638</v>
      </c>
      <c r="F2254" s="202" t="s">
        <v>396</v>
      </c>
      <c r="G2254" s="202" t="s">
        <v>688</v>
      </c>
    </row>
    <row r="2255" spans="1:7" hidden="1">
      <c r="A2255" s="202" t="s">
        <v>1465</v>
      </c>
      <c r="B2255" s="203">
        <v>3400</v>
      </c>
      <c r="C2255" s="203">
        <v>0</v>
      </c>
      <c r="D2255" s="202" t="s">
        <v>442</v>
      </c>
      <c r="E2255" s="202" t="s">
        <v>638</v>
      </c>
      <c r="F2255" s="202" t="s">
        <v>396</v>
      </c>
      <c r="G2255" s="202" t="s">
        <v>688</v>
      </c>
    </row>
    <row r="2256" spans="1:7" hidden="1">
      <c r="A2256" s="202" t="s">
        <v>1466</v>
      </c>
      <c r="B2256" s="203">
        <v>2200</v>
      </c>
      <c r="C2256" s="203">
        <v>0</v>
      </c>
      <c r="D2256" s="202" t="s">
        <v>442</v>
      </c>
      <c r="E2256" s="202" t="s">
        <v>638</v>
      </c>
      <c r="F2256" s="202" t="s">
        <v>396</v>
      </c>
      <c r="G2256" s="202" t="s">
        <v>688</v>
      </c>
    </row>
    <row r="2257" spans="1:7" hidden="1">
      <c r="A2257" s="202" t="s">
        <v>1467</v>
      </c>
      <c r="B2257" s="203">
        <v>32700</v>
      </c>
      <c r="C2257" s="203">
        <v>0</v>
      </c>
      <c r="D2257" s="202" t="s">
        <v>440</v>
      </c>
      <c r="E2257" s="202" t="s">
        <v>638</v>
      </c>
      <c r="F2257" s="202" t="s">
        <v>652</v>
      </c>
      <c r="G2257" s="202" t="s">
        <v>688</v>
      </c>
    </row>
    <row r="2258" spans="1:7" hidden="1">
      <c r="A2258" s="202" t="s">
        <v>1468</v>
      </c>
      <c r="B2258" s="203">
        <v>17100</v>
      </c>
      <c r="C2258" s="203">
        <v>0</v>
      </c>
      <c r="D2258" s="202" t="s">
        <v>440</v>
      </c>
      <c r="E2258" s="202" t="s">
        <v>638</v>
      </c>
      <c r="F2258" s="202" t="s">
        <v>652</v>
      </c>
      <c r="G2258" s="202" t="s">
        <v>688</v>
      </c>
    </row>
    <row r="2259" spans="1:7" hidden="1">
      <c r="A2259" s="202" t="s">
        <v>1469</v>
      </c>
      <c r="B2259" s="203">
        <v>9600</v>
      </c>
      <c r="C2259" s="203">
        <v>0</v>
      </c>
      <c r="D2259" s="202" t="s">
        <v>440</v>
      </c>
      <c r="E2259" s="202" t="s">
        <v>638</v>
      </c>
      <c r="F2259" s="202" t="s">
        <v>652</v>
      </c>
      <c r="G2259" s="202" t="s">
        <v>688</v>
      </c>
    </row>
    <row r="2260" spans="1:7" hidden="1">
      <c r="A2260" s="202" t="s">
        <v>1470</v>
      </c>
      <c r="B2260" s="203">
        <v>41500</v>
      </c>
      <c r="C2260" s="203">
        <v>0</v>
      </c>
      <c r="D2260" s="202" t="s">
        <v>440</v>
      </c>
      <c r="E2260" s="202" t="s">
        <v>638</v>
      </c>
      <c r="F2260" s="202" t="s">
        <v>652</v>
      </c>
      <c r="G2260" s="202" t="s">
        <v>688</v>
      </c>
    </row>
    <row r="2261" spans="1:7" hidden="1">
      <c r="A2261" s="202" t="s">
        <v>1471</v>
      </c>
      <c r="B2261" s="203">
        <v>3600</v>
      </c>
      <c r="C2261" s="203">
        <v>0</v>
      </c>
      <c r="D2261" s="202" t="s">
        <v>442</v>
      </c>
      <c r="E2261" s="202" t="s">
        <v>638</v>
      </c>
      <c r="F2261" s="202" t="s">
        <v>396</v>
      </c>
      <c r="G2261" s="202" t="s">
        <v>688</v>
      </c>
    </row>
    <row r="2262" spans="1:7" hidden="1">
      <c r="A2262" s="202" t="s">
        <v>1472</v>
      </c>
      <c r="B2262" s="203">
        <v>12300</v>
      </c>
      <c r="C2262" s="203">
        <v>0</v>
      </c>
      <c r="D2262" s="202" t="s">
        <v>440</v>
      </c>
      <c r="E2262" s="202" t="s">
        <v>638</v>
      </c>
      <c r="F2262" s="202" t="s">
        <v>652</v>
      </c>
      <c r="G2262" s="202" t="s">
        <v>688</v>
      </c>
    </row>
    <row r="2263" spans="1:7" hidden="1">
      <c r="A2263" s="202" t="s">
        <v>1473</v>
      </c>
      <c r="B2263" s="203">
        <v>1100</v>
      </c>
      <c r="C2263" s="203">
        <v>0</v>
      </c>
      <c r="D2263" s="202" t="s">
        <v>442</v>
      </c>
      <c r="E2263" s="202" t="s">
        <v>638</v>
      </c>
      <c r="F2263" s="202" t="s">
        <v>396</v>
      </c>
      <c r="G2263" s="202" t="s">
        <v>688</v>
      </c>
    </row>
    <row r="2264" spans="1:7" hidden="1">
      <c r="A2264" s="202" t="s">
        <v>1474</v>
      </c>
      <c r="B2264" s="203">
        <v>1000</v>
      </c>
      <c r="C2264" s="203">
        <v>0</v>
      </c>
      <c r="D2264" s="202" t="s">
        <v>442</v>
      </c>
      <c r="E2264" s="202" t="s">
        <v>638</v>
      </c>
      <c r="F2264" s="202" t="s">
        <v>396</v>
      </c>
      <c r="G2264" s="202" t="s">
        <v>688</v>
      </c>
    </row>
    <row r="2265" spans="1:7" hidden="1">
      <c r="A2265" s="202" t="s">
        <v>1475</v>
      </c>
      <c r="B2265" s="203">
        <v>4900</v>
      </c>
      <c r="C2265" s="203">
        <v>0</v>
      </c>
      <c r="D2265" s="202" t="s">
        <v>440</v>
      </c>
      <c r="E2265" s="202" t="s">
        <v>638</v>
      </c>
      <c r="F2265" s="202" t="s">
        <v>652</v>
      </c>
      <c r="G2265" s="202" t="s">
        <v>688</v>
      </c>
    </row>
    <row r="2266" spans="1:7" hidden="1">
      <c r="A2266" s="202" t="s">
        <v>1476</v>
      </c>
      <c r="B2266" s="203">
        <v>700</v>
      </c>
      <c r="C2266" s="203">
        <v>0</v>
      </c>
      <c r="D2266" s="202" t="s">
        <v>442</v>
      </c>
      <c r="E2266" s="202" t="s">
        <v>638</v>
      </c>
      <c r="F2266" s="202" t="s">
        <v>396</v>
      </c>
      <c r="G2266" s="202" t="s">
        <v>688</v>
      </c>
    </row>
    <row r="2267" spans="1:7" hidden="1">
      <c r="A2267" s="202" t="s">
        <v>1477</v>
      </c>
      <c r="B2267" s="203">
        <v>1000</v>
      </c>
      <c r="C2267" s="203">
        <v>0</v>
      </c>
      <c r="D2267" s="202" t="s">
        <v>442</v>
      </c>
      <c r="E2267" s="202" t="s">
        <v>638</v>
      </c>
      <c r="F2267" s="202" t="s">
        <v>396</v>
      </c>
      <c r="G2267" s="202" t="s">
        <v>688</v>
      </c>
    </row>
    <row r="2268" spans="1:7" hidden="1">
      <c r="A2268" s="202" t="s">
        <v>1478</v>
      </c>
      <c r="B2268" s="203">
        <v>700</v>
      </c>
      <c r="C2268" s="203">
        <v>0</v>
      </c>
      <c r="D2268" s="202" t="s">
        <v>442</v>
      </c>
      <c r="E2268" s="202" t="s">
        <v>638</v>
      </c>
      <c r="F2268" s="202" t="s">
        <v>396</v>
      </c>
      <c r="G2268" s="202" t="s">
        <v>688</v>
      </c>
    </row>
    <row r="2269" spans="1:7" hidden="1">
      <c r="A2269" s="202" t="s">
        <v>1479</v>
      </c>
      <c r="B2269" s="203">
        <v>1100</v>
      </c>
      <c r="C2269" s="203">
        <v>0</v>
      </c>
      <c r="D2269" s="202" t="s">
        <v>442</v>
      </c>
      <c r="E2269" s="202" t="s">
        <v>638</v>
      </c>
      <c r="F2269" s="202" t="s">
        <v>396</v>
      </c>
      <c r="G2269" s="202" t="s">
        <v>688</v>
      </c>
    </row>
    <row r="2270" spans="1:7" hidden="1">
      <c r="A2270" s="202" t="s">
        <v>1480</v>
      </c>
      <c r="B2270" s="203">
        <v>2300</v>
      </c>
      <c r="C2270" s="203">
        <v>0</v>
      </c>
      <c r="D2270" s="202" t="s">
        <v>440</v>
      </c>
      <c r="E2270" s="202" t="s">
        <v>638</v>
      </c>
      <c r="F2270" s="202" t="s">
        <v>652</v>
      </c>
      <c r="G2270" s="202" t="s">
        <v>688</v>
      </c>
    </row>
    <row r="2271" spans="1:7" hidden="1">
      <c r="A2271" s="202" t="s">
        <v>1481</v>
      </c>
      <c r="B2271" s="203">
        <v>13200</v>
      </c>
      <c r="C2271" s="203">
        <v>0</v>
      </c>
      <c r="D2271" s="202" t="s">
        <v>440</v>
      </c>
      <c r="E2271" s="202" t="s">
        <v>638</v>
      </c>
      <c r="F2271" s="202" t="s">
        <v>652</v>
      </c>
      <c r="G2271" s="202" t="s">
        <v>688</v>
      </c>
    </row>
    <row r="2272" spans="1:7" hidden="1">
      <c r="A2272" s="202" t="s">
        <v>1482</v>
      </c>
      <c r="B2272" s="203">
        <v>1000</v>
      </c>
      <c r="C2272" s="203">
        <v>0</v>
      </c>
      <c r="D2272" s="202" t="s">
        <v>442</v>
      </c>
      <c r="E2272" s="202" t="s">
        <v>638</v>
      </c>
      <c r="F2272" s="202" t="s">
        <v>396</v>
      </c>
      <c r="G2272" s="202" t="s">
        <v>688</v>
      </c>
    </row>
    <row r="2273" spans="1:7" hidden="1">
      <c r="A2273" s="202" t="s">
        <v>1483</v>
      </c>
      <c r="B2273" s="203">
        <v>7200</v>
      </c>
      <c r="C2273" s="203">
        <v>0</v>
      </c>
      <c r="D2273" s="202" t="s">
        <v>440</v>
      </c>
      <c r="E2273" s="202" t="s">
        <v>638</v>
      </c>
      <c r="F2273" s="202" t="s">
        <v>652</v>
      </c>
      <c r="G2273" s="202" t="s">
        <v>688</v>
      </c>
    </row>
    <row r="2274" spans="1:7" hidden="1">
      <c r="A2274" s="202" t="s">
        <v>1484</v>
      </c>
      <c r="B2274" s="203">
        <v>10300</v>
      </c>
      <c r="C2274" s="203">
        <v>0</v>
      </c>
      <c r="D2274" s="202" t="s">
        <v>440</v>
      </c>
      <c r="E2274" s="202" t="s">
        <v>638</v>
      </c>
      <c r="F2274" s="202" t="s">
        <v>652</v>
      </c>
      <c r="G2274" s="202" t="s">
        <v>688</v>
      </c>
    </row>
    <row r="2275" spans="1:7" hidden="1">
      <c r="A2275" s="202" t="s">
        <v>1485</v>
      </c>
      <c r="B2275" s="203">
        <v>5200</v>
      </c>
      <c r="C2275" s="203">
        <v>0</v>
      </c>
      <c r="D2275" s="202" t="s">
        <v>440</v>
      </c>
      <c r="E2275" s="202" t="s">
        <v>638</v>
      </c>
      <c r="F2275" s="202" t="s">
        <v>652</v>
      </c>
      <c r="G2275" s="202" t="s">
        <v>688</v>
      </c>
    </row>
    <row r="2276" spans="1:7" hidden="1">
      <c r="A2276" s="202" t="s">
        <v>1486</v>
      </c>
      <c r="B2276" s="203">
        <v>-1100</v>
      </c>
      <c r="C2276" s="203">
        <v>0</v>
      </c>
      <c r="D2276" s="202" t="s">
        <v>440</v>
      </c>
      <c r="E2276" s="202" t="s">
        <v>638</v>
      </c>
      <c r="F2276" s="202" t="s">
        <v>409</v>
      </c>
      <c r="G2276" s="202" t="s">
        <v>688</v>
      </c>
    </row>
    <row r="2277" spans="1:7" hidden="1">
      <c r="A2277" s="202" t="s">
        <v>1487</v>
      </c>
      <c r="B2277" s="203">
        <v>1700</v>
      </c>
      <c r="C2277" s="203">
        <v>0</v>
      </c>
      <c r="D2277" s="202" t="s">
        <v>440</v>
      </c>
      <c r="E2277" s="202" t="s">
        <v>638</v>
      </c>
      <c r="F2277" s="202" t="s">
        <v>652</v>
      </c>
      <c r="G2277" s="202" t="s">
        <v>688</v>
      </c>
    </row>
    <row r="2278" spans="1:7" hidden="1">
      <c r="A2278" s="202" t="s">
        <v>1488</v>
      </c>
      <c r="B2278" s="203">
        <v>32200</v>
      </c>
      <c r="C2278" s="203">
        <v>0</v>
      </c>
      <c r="D2278" s="202" t="s">
        <v>440</v>
      </c>
      <c r="E2278" s="202" t="s">
        <v>638</v>
      </c>
      <c r="F2278" s="202" t="s">
        <v>652</v>
      </c>
      <c r="G2278" s="202" t="s">
        <v>688</v>
      </c>
    </row>
    <row r="2279" spans="1:7" hidden="1">
      <c r="A2279" s="202" t="s">
        <v>1489</v>
      </c>
      <c r="B2279" s="203">
        <v>14600</v>
      </c>
      <c r="C2279" s="203">
        <v>0</v>
      </c>
      <c r="D2279" s="202" t="s">
        <v>440</v>
      </c>
      <c r="E2279" s="202" t="s">
        <v>638</v>
      </c>
      <c r="F2279" s="202" t="s">
        <v>652</v>
      </c>
      <c r="G2279" s="202" t="s">
        <v>688</v>
      </c>
    </row>
    <row r="2280" spans="1:7" hidden="1">
      <c r="A2280" s="202" t="s">
        <v>1490</v>
      </c>
      <c r="B2280" s="203">
        <v>5600</v>
      </c>
      <c r="C2280" s="203">
        <v>0</v>
      </c>
      <c r="D2280" s="202" t="s">
        <v>440</v>
      </c>
      <c r="E2280" s="202" t="s">
        <v>638</v>
      </c>
      <c r="F2280" s="202" t="s">
        <v>652</v>
      </c>
      <c r="G2280" s="202" t="s">
        <v>688</v>
      </c>
    </row>
    <row r="2281" spans="1:7" hidden="1">
      <c r="A2281" s="202" t="s">
        <v>1491</v>
      </c>
      <c r="B2281" s="203">
        <v>1900</v>
      </c>
      <c r="C2281" s="203">
        <v>0</v>
      </c>
      <c r="D2281" s="202" t="s">
        <v>442</v>
      </c>
      <c r="E2281" s="202" t="s">
        <v>638</v>
      </c>
      <c r="F2281" s="202" t="s">
        <v>396</v>
      </c>
      <c r="G2281" s="202" t="s">
        <v>688</v>
      </c>
    </row>
    <row r="2282" spans="1:7" hidden="1">
      <c r="A2282" s="202" t="s">
        <v>1492</v>
      </c>
      <c r="B2282" s="203">
        <v>700</v>
      </c>
      <c r="C2282" s="203">
        <v>0</v>
      </c>
      <c r="D2282" s="202" t="s">
        <v>442</v>
      </c>
      <c r="E2282" s="202" t="s">
        <v>638</v>
      </c>
      <c r="F2282" s="202" t="s">
        <v>396</v>
      </c>
      <c r="G2282" s="202" t="s">
        <v>688</v>
      </c>
    </row>
    <row r="2283" spans="1:7" hidden="1">
      <c r="A2283" s="202" t="s">
        <v>1493</v>
      </c>
      <c r="B2283" s="203">
        <v>800</v>
      </c>
      <c r="C2283" s="203">
        <v>0</v>
      </c>
      <c r="D2283" s="202" t="s">
        <v>442</v>
      </c>
      <c r="E2283" s="202" t="s">
        <v>638</v>
      </c>
      <c r="F2283" s="202" t="s">
        <v>396</v>
      </c>
      <c r="G2283" s="202" t="s">
        <v>688</v>
      </c>
    </row>
    <row r="2284" spans="1:7" hidden="1">
      <c r="A2284" s="202" t="s">
        <v>1494</v>
      </c>
      <c r="B2284" s="203">
        <v>800</v>
      </c>
      <c r="C2284" s="203">
        <v>0</v>
      </c>
      <c r="D2284" s="202" t="s">
        <v>442</v>
      </c>
      <c r="E2284" s="202" t="s">
        <v>638</v>
      </c>
      <c r="F2284" s="202" t="s">
        <v>396</v>
      </c>
      <c r="G2284" s="202" t="s">
        <v>688</v>
      </c>
    </row>
    <row r="2285" spans="1:7" hidden="1">
      <c r="A2285" s="202" t="s">
        <v>1495</v>
      </c>
      <c r="B2285" s="203">
        <v>21500</v>
      </c>
      <c r="C2285" s="203">
        <v>0</v>
      </c>
      <c r="D2285" s="202" t="s">
        <v>440</v>
      </c>
      <c r="E2285" s="202" t="s">
        <v>638</v>
      </c>
      <c r="F2285" s="202" t="s">
        <v>652</v>
      </c>
      <c r="G2285" s="202" t="s">
        <v>688</v>
      </c>
    </row>
    <row r="2286" spans="1:7" hidden="1">
      <c r="A2286" s="202" t="s">
        <v>1496</v>
      </c>
      <c r="B2286" s="203">
        <v>600</v>
      </c>
      <c r="C2286" s="203">
        <v>0</v>
      </c>
      <c r="D2286" s="202" t="s">
        <v>442</v>
      </c>
      <c r="E2286" s="202" t="s">
        <v>638</v>
      </c>
      <c r="F2286" s="202" t="s">
        <v>396</v>
      </c>
      <c r="G2286" s="202" t="s">
        <v>688</v>
      </c>
    </row>
    <row r="2287" spans="1:7" hidden="1">
      <c r="A2287" s="202" t="s">
        <v>1497</v>
      </c>
      <c r="B2287" s="203">
        <v>1000</v>
      </c>
      <c r="C2287" s="203">
        <v>0</v>
      </c>
      <c r="D2287" s="202" t="s">
        <v>442</v>
      </c>
      <c r="E2287" s="202" t="s">
        <v>638</v>
      </c>
      <c r="F2287" s="202" t="s">
        <v>396</v>
      </c>
      <c r="G2287" s="202" t="s">
        <v>688</v>
      </c>
    </row>
    <row r="2288" spans="1:7" hidden="1">
      <c r="A2288" s="202" t="s">
        <v>1498</v>
      </c>
      <c r="B2288" s="203">
        <v>4500</v>
      </c>
      <c r="C2288" s="203">
        <v>0</v>
      </c>
      <c r="D2288" s="202" t="s">
        <v>440</v>
      </c>
      <c r="E2288" s="202" t="s">
        <v>638</v>
      </c>
      <c r="F2288" s="202" t="s">
        <v>652</v>
      </c>
      <c r="G2288" s="202" t="s">
        <v>688</v>
      </c>
    </row>
    <row r="2289" spans="1:7" hidden="1">
      <c r="A2289" s="202" t="s">
        <v>1499</v>
      </c>
      <c r="B2289" s="203">
        <v>-123400</v>
      </c>
      <c r="C2289" s="203">
        <v>0</v>
      </c>
      <c r="D2289" s="202" t="s">
        <v>440</v>
      </c>
      <c r="E2289" s="202" t="s">
        <v>638</v>
      </c>
      <c r="F2289" s="202" t="s">
        <v>652</v>
      </c>
      <c r="G2289" s="202" t="s">
        <v>688</v>
      </c>
    </row>
    <row r="2290" spans="1:7" hidden="1">
      <c r="A2290" s="202" t="s">
        <v>1500</v>
      </c>
      <c r="B2290" s="203">
        <v>-39300</v>
      </c>
      <c r="C2290" s="203">
        <v>0</v>
      </c>
      <c r="D2290" s="202" t="s">
        <v>442</v>
      </c>
      <c r="E2290" s="202" t="s">
        <v>638</v>
      </c>
      <c r="F2290" s="202" t="s">
        <v>396</v>
      </c>
      <c r="G2290" s="202" t="s">
        <v>688</v>
      </c>
    </row>
    <row r="2291" spans="1:7" hidden="1">
      <c r="A2291" s="202" t="s">
        <v>1501</v>
      </c>
      <c r="B2291" s="203">
        <v>9180</v>
      </c>
      <c r="C2291" s="203">
        <v>0</v>
      </c>
      <c r="D2291" s="202" t="s">
        <v>440</v>
      </c>
      <c r="E2291" s="202" t="s">
        <v>638</v>
      </c>
      <c r="F2291" s="202" t="s">
        <v>652</v>
      </c>
      <c r="G2291" s="202" t="s">
        <v>688</v>
      </c>
    </row>
    <row r="2292" spans="1:7" hidden="1">
      <c r="A2292" s="202" t="s">
        <v>1502</v>
      </c>
      <c r="B2292" s="203">
        <v>30000</v>
      </c>
      <c r="C2292" s="203">
        <v>0</v>
      </c>
      <c r="D2292" s="202" t="s">
        <v>440</v>
      </c>
      <c r="E2292" s="202" t="s">
        <v>638</v>
      </c>
      <c r="F2292" s="202" t="s">
        <v>652</v>
      </c>
      <c r="G2292" s="202" t="s">
        <v>688</v>
      </c>
    </row>
    <row r="2293" spans="1:7" hidden="1">
      <c r="A2293" s="202" t="s">
        <v>1503</v>
      </c>
      <c r="B2293" s="203">
        <v>8900</v>
      </c>
      <c r="C2293" s="203">
        <v>0</v>
      </c>
      <c r="D2293" s="202" t="s">
        <v>442</v>
      </c>
      <c r="E2293" s="202" t="s">
        <v>638</v>
      </c>
      <c r="F2293" s="202" t="s">
        <v>396</v>
      </c>
      <c r="G2293" s="202" t="s">
        <v>688</v>
      </c>
    </row>
    <row r="2294" spans="1:7" hidden="1">
      <c r="A2294" s="202" t="s">
        <v>1504</v>
      </c>
      <c r="B2294" s="203">
        <v>5100</v>
      </c>
      <c r="C2294" s="203">
        <v>0</v>
      </c>
      <c r="D2294" s="202" t="s">
        <v>442</v>
      </c>
      <c r="E2294" s="202" t="s">
        <v>638</v>
      </c>
      <c r="F2294" s="202" t="s">
        <v>396</v>
      </c>
      <c r="G2294" s="202" t="s">
        <v>688</v>
      </c>
    </row>
    <row r="2295" spans="1:7" hidden="1">
      <c r="A2295" s="202" t="s">
        <v>1505</v>
      </c>
      <c r="B2295" s="203">
        <v>500</v>
      </c>
      <c r="C2295" s="203">
        <v>0</v>
      </c>
      <c r="D2295" s="202" t="s">
        <v>442</v>
      </c>
      <c r="E2295" s="202" t="s">
        <v>638</v>
      </c>
      <c r="F2295" s="202" t="s">
        <v>396</v>
      </c>
      <c r="G2295" s="202" t="s">
        <v>688</v>
      </c>
    </row>
    <row r="2296" spans="1:7" hidden="1">
      <c r="A2296" s="202" t="s">
        <v>1506</v>
      </c>
      <c r="B2296" s="203">
        <v>-26515</v>
      </c>
      <c r="C2296" s="203">
        <v>0</v>
      </c>
      <c r="D2296" s="202" t="s">
        <v>442</v>
      </c>
      <c r="E2296" s="202" t="s">
        <v>638</v>
      </c>
      <c r="F2296" s="202" t="s">
        <v>396</v>
      </c>
      <c r="G2296" s="202" t="s">
        <v>688</v>
      </c>
    </row>
    <row r="2297" spans="1:7" hidden="1">
      <c r="A2297" s="202" t="s">
        <v>1506</v>
      </c>
      <c r="B2297" s="203">
        <v>-6100</v>
      </c>
      <c r="C2297" s="203">
        <v>0</v>
      </c>
      <c r="D2297" s="202" t="s">
        <v>474</v>
      </c>
      <c r="E2297" s="202" t="s">
        <v>638</v>
      </c>
      <c r="F2297" s="202" t="s">
        <v>396</v>
      </c>
      <c r="G2297" s="202" t="s">
        <v>688</v>
      </c>
    </row>
    <row r="2298" spans="1:7" hidden="1">
      <c r="A2298" s="202" t="s">
        <v>1507</v>
      </c>
      <c r="B2298" s="203">
        <v>-11517</v>
      </c>
      <c r="C2298" s="203">
        <v>0</v>
      </c>
      <c r="D2298" s="202" t="s">
        <v>440</v>
      </c>
      <c r="E2298" s="202" t="s">
        <v>638</v>
      </c>
      <c r="F2298" s="202" t="s">
        <v>409</v>
      </c>
      <c r="G2298" s="202" t="s">
        <v>688</v>
      </c>
    </row>
    <row r="2299" spans="1:7" hidden="1">
      <c r="A2299" s="202" t="s">
        <v>1508</v>
      </c>
      <c r="B2299" s="203">
        <v>17400</v>
      </c>
      <c r="C2299" s="203">
        <v>0</v>
      </c>
      <c r="D2299" s="202" t="s">
        <v>440</v>
      </c>
      <c r="E2299" s="202" t="s">
        <v>638</v>
      </c>
      <c r="F2299" s="202" t="s">
        <v>652</v>
      </c>
      <c r="G2299" s="202" t="s">
        <v>688</v>
      </c>
    </row>
    <row r="2300" spans="1:7" hidden="1">
      <c r="A2300" s="202" t="s">
        <v>1509</v>
      </c>
      <c r="B2300" s="203">
        <v>27900</v>
      </c>
      <c r="C2300" s="203">
        <v>0</v>
      </c>
      <c r="D2300" s="202" t="s">
        <v>474</v>
      </c>
      <c r="E2300" s="202" t="s">
        <v>638</v>
      </c>
      <c r="F2300" s="202" t="s">
        <v>396</v>
      </c>
      <c r="G2300" s="202" t="s">
        <v>688</v>
      </c>
    </row>
    <row r="2301" spans="1:7" hidden="1">
      <c r="A2301" s="202" t="s">
        <v>1510</v>
      </c>
      <c r="B2301" s="203">
        <v>45000</v>
      </c>
      <c r="C2301" s="203">
        <v>0</v>
      </c>
      <c r="D2301" s="202" t="s">
        <v>440</v>
      </c>
      <c r="E2301" s="202" t="s">
        <v>638</v>
      </c>
      <c r="F2301" s="202" t="s">
        <v>652</v>
      </c>
      <c r="G2301" s="202" t="s">
        <v>688</v>
      </c>
    </row>
    <row r="2302" spans="1:7" hidden="1">
      <c r="A2302" s="202" t="s">
        <v>1511</v>
      </c>
      <c r="B2302" s="203">
        <v>62300</v>
      </c>
      <c r="C2302" s="203">
        <v>0</v>
      </c>
      <c r="D2302" s="202" t="s">
        <v>440</v>
      </c>
      <c r="E2302" s="202" t="s">
        <v>638</v>
      </c>
      <c r="F2302" s="202" t="s">
        <v>652</v>
      </c>
      <c r="G2302" s="202" t="s">
        <v>688</v>
      </c>
    </row>
    <row r="2303" spans="1:7" hidden="1">
      <c r="A2303" s="202" t="s">
        <v>1512</v>
      </c>
      <c r="B2303" s="203">
        <v>31400</v>
      </c>
      <c r="C2303" s="203">
        <v>0</v>
      </c>
      <c r="D2303" s="202" t="s">
        <v>440</v>
      </c>
      <c r="E2303" s="202" t="s">
        <v>638</v>
      </c>
      <c r="F2303" s="202" t="s">
        <v>652</v>
      </c>
      <c r="G2303" s="202" t="s">
        <v>688</v>
      </c>
    </row>
    <row r="2304" spans="1:7" hidden="1">
      <c r="A2304" s="202" t="s">
        <v>1513</v>
      </c>
      <c r="B2304" s="203">
        <v>21000</v>
      </c>
      <c r="C2304" s="203">
        <v>0</v>
      </c>
      <c r="D2304" s="202" t="s">
        <v>440</v>
      </c>
      <c r="E2304" s="202" t="s">
        <v>638</v>
      </c>
      <c r="F2304" s="202" t="s">
        <v>652</v>
      </c>
      <c r="G2304" s="202" t="s">
        <v>688</v>
      </c>
    </row>
    <row r="2305" spans="1:7" hidden="1">
      <c r="A2305" s="202" t="s">
        <v>1514</v>
      </c>
      <c r="B2305" s="203">
        <v>13000</v>
      </c>
      <c r="C2305" s="203">
        <v>0</v>
      </c>
      <c r="D2305" s="202" t="s">
        <v>442</v>
      </c>
      <c r="E2305" s="202" t="s">
        <v>638</v>
      </c>
      <c r="F2305" s="202" t="s">
        <v>396</v>
      </c>
      <c r="G2305" s="202" t="s">
        <v>688</v>
      </c>
    </row>
    <row r="2306" spans="1:7" hidden="1">
      <c r="A2306" s="202" t="s">
        <v>1515</v>
      </c>
      <c r="B2306" s="203">
        <v>18700</v>
      </c>
      <c r="C2306" s="203">
        <v>0</v>
      </c>
      <c r="D2306" s="202" t="s">
        <v>440</v>
      </c>
      <c r="E2306" s="202" t="s">
        <v>638</v>
      </c>
      <c r="F2306" s="202" t="s">
        <v>652</v>
      </c>
      <c r="G2306" s="202" t="s">
        <v>688</v>
      </c>
    </row>
    <row r="2307" spans="1:7" hidden="1">
      <c r="A2307" s="202" t="s">
        <v>1516</v>
      </c>
      <c r="B2307" s="203">
        <v>27000</v>
      </c>
      <c r="C2307" s="203">
        <v>0</v>
      </c>
      <c r="D2307" s="202" t="s">
        <v>440</v>
      </c>
      <c r="E2307" s="202" t="s">
        <v>638</v>
      </c>
      <c r="F2307" s="202" t="s">
        <v>652</v>
      </c>
      <c r="G2307" s="202" t="s">
        <v>688</v>
      </c>
    </row>
    <row r="2308" spans="1:7" hidden="1">
      <c r="A2308" s="202" t="s">
        <v>1517</v>
      </c>
      <c r="B2308" s="203">
        <v>19600</v>
      </c>
      <c r="C2308" s="203">
        <v>0</v>
      </c>
      <c r="D2308" s="202" t="s">
        <v>440</v>
      </c>
      <c r="E2308" s="202" t="s">
        <v>638</v>
      </c>
      <c r="F2308" s="202" t="s">
        <v>652</v>
      </c>
      <c r="G2308" s="202" t="s">
        <v>688</v>
      </c>
    </row>
    <row r="2309" spans="1:7" hidden="1">
      <c r="A2309" s="202" t="s">
        <v>1518</v>
      </c>
      <c r="B2309" s="203">
        <v>18300</v>
      </c>
      <c r="C2309" s="203">
        <v>0</v>
      </c>
      <c r="D2309" s="202" t="s">
        <v>440</v>
      </c>
      <c r="E2309" s="202" t="s">
        <v>638</v>
      </c>
      <c r="F2309" s="202" t="s">
        <v>652</v>
      </c>
      <c r="G2309" s="202" t="s">
        <v>688</v>
      </c>
    </row>
    <row r="2310" spans="1:7" hidden="1">
      <c r="A2310" s="202" t="s">
        <v>1519</v>
      </c>
      <c r="B2310" s="203">
        <v>64200</v>
      </c>
      <c r="C2310" s="203">
        <v>0</v>
      </c>
      <c r="D2310" s="202" t="s">
        <v>440</v>
      </c>
      <c r="E2310" s="202" t="s">
        <v>638</v>
      </c>
      <c r="F2310" s="202" t="s">
        <v>652</v>
      </c>
      <c r="G2310" s="202" t="s">
        <v>688</v>
      </c>
    </row>
    <row r="2311" spans="1:7" hidden="1">
      <c r="A2311" s="202" t="s">
        <v>1520</v>
      </c>
      <c r="B2311" s="203">
        <v>35000</v>
      </c>
      <c r="C2311" s="203">
        <v>0</v>
      </c>
      <c r="D2311" s="202" t="s">
        <v>440</v>
      </c>
      <c r="E2311" s="202" t="s">
        <v>638</v>
      </c>
      <c r="F2311" s="202" t="s">
        <v>652</v>
      </c>
      <c r="G2311" s="202" t="s">
        <v>688</v>
      </c>
    </row>
    <row r="2312" spans="1:7" hidden="1">
      <c r="A2312" s="202" t="s">
        <v>1521</v>
      </c>
      <c r="B2312" s="203">
        <v>77900</v>
      </c>
      <c r="C2312" s="203">
        <v>0</v>
      </c>
      <c r="D2312" s="202" t="s">
        <v>440</v>
      </c>
      <c r="E2312" s="202" t="s">
        <v>638</v>
      </c>
      <c r="F2312" s="202" t="s">
        <v>409</v>
      </c>
      <c r="G2312" s="202" t="s">
        <v>688</v>
      </c>
    </row>
    <row r="2313" spans="1:7" hidden="1">
      <c r="A2313" s="202" t="s">
        <v>1522</v>
      </c>
      <c r="B2313" s="203">
        <v>14600</v>
      </c>
      <c r="C2313" s="203">
        <v>0</v>
      </c>
      <c r="D2313" s="202" t="s">
        <v>442</v>
      </c>
      <c r="E2313" s="202" t="s">
        <v>638</v>
      </c>
      <c r="F2313" s="202" t="s">
        <v>396</v>
      </c>
      <c r="G2313" s="202" t="s">
        <v>688</v>
      </c>
    </row>
    <row r="2314" spans="1:7" hidden="1">
      <c r="A2314" s="202" t="s">
        <v>1523</v>
      </c>
      <c r="B2314" s="203">
        <v>24000</v>
      </c>
      <c r="C2314" s="203">
        <v>0</v>
      </c>
      <c r="D2314" s="202" t="s">
        <v>440</v>
      </c>
      <c r="E2314" s="202" t="s">
        <v>638</v>
      </c>
      <c r="F2314" s="202" t="s">
        <v>652</v>
      </c>
      <c r="G2314" s="202" t="s">
        <v>688</v>
      </c>
    </row>
    <row r="2315" spans="1:7" hidden="1">
      <c r="A2315" s="202" t="s">
        <v>1524</v>
      </c>
      <c r="B2315" s="203">
        <v>28000</v>
      </c>
      <c r="C2315" s="203">
        <v>0</v>
      </c>
      <c r="D2315" s="202" t="s">
        <v>440</v>
      </c>
      <c r="E2315" s="202" t="s">
        <v>638</v>
      </c>
      <c r="F2315" s="202" t="s">
        <v>652</v>
      </c>
      <c r="G2315" s="202" t="s">
        <v>688</v>
      </c>
    </row>
    <row r="2316" spans="1:7" hidden="1">
      <c r="A2316" s="202" t="s">
        <v>1525</v>
      </c>
      <c r="B2316" s="203">
        <v>22300</v>
      </c>
      <c r="C2316" s="203">
        <v>0</v>
      </c>
      <c r="D2316" s="202" t="s">
        <v>440</v>
      </c>
      <c r="E2316" s="202" t="s">
        <v>638</v>
      </c>
      <c r="F2316" s="202" t="s">
        <v>652</v>
      </c>
      <c r="G2316" s="202" t="s">
        <v>688</v>
      </c>
    </row>
    <row r="2317" spans="1:7" hidden="1">
      <c r="A2317" s="202" t="s">
        <v>1526</v>
      </c>
      <c r="B2317" s="203">
        <v>52600</v>
      </c>
      <c r="C2317" s="203">
        <v>0</v>
      </c>
      <c r="D2317" s="202" t="s">
        <v>442</v>
      </c>
      <c r="E2317" s="202" t="s">
        <v>638</v>
      </c>
      <c r="F2317" s="202" t="s">
        <v>396</v>
      </c>
      <c r="G2317" s="202" t="s">
        <v>688</v>
      </c>
    </row>
    <row r="2318" spans="1:7" hidden="1">
      <c r="A2318" s="202" t="s">
        <v>1527</v>
      </c>
      <c r="B2318" s="203">
        <v>36800</v>
      </c>
      <c r="C2318" s="203">
        <v>0</v>
      </c>
      <c r="D2318" s="202" t="s">
        <v>440</v>
      </c>
      <c r="E2318" s="202" t="s">
        <v>638</v>
      </c>
      <c r="F2318" s="202" t="s">
        <v>652</v>
      </c>
      <c r="G2318" s="202" t="s">
        <v>688</v>
      </c>
    </row>
    <row r="2319" spans="1:7" hidden="1">
      <c r="A2319" s="202" t="s">
        <v>1528</v>
      </c>
      <c r="B2319" s="203">
        <v>23900</v>
      </c>
      <c r="C2319" s="203">
        <v>0</v>
      </c>
      <c r="D2319" s="202" t="s">
        <v>442</v>
      </c>
      <c r="E2319" s="202" t="s">
        <v>638</v>
      </c>
      <c r="F2319" s="202" t="s">
        <v>396</v>
      </c>
      <c r="G2319" s="202" t="s">
        <v>688</v>
      </c>
    </row>
    <row r="2320" spans="1:7" hidden="1">
      <c r="A2320" s="202" t="s">
        <v>1529</v>
      </c>
      <c r="B2320" s="203">
        <v>17100</v>
      </c>
      <c r="C2320" s="203">
        <v>0</v>
      </c>
      <c r="D2320" s="202" t="s">
        <v>440</v>
      </c>
      <c r="E2320" s="202" t="s">
        <v>638</v>
      </c>
      <c r="F2320" s="202" t="s">
        <v>652</v>
      </c>
      <c r="G2320" s="202" t="s">
        <v>688</v>
      </c>
    </row>
    <row r="2321" spans="1:7" hidden="1">
      <c r="A2321" s="202" t="s">
        <v>1530</v>
      </c>
      <c r="B2321" s="203">
        <v>14100</v>
      </c>
      <c r="C2321" s="203">
        <v>0</v>
      </c>
      <c r="D2321" s="202" t="s">
        <v>440</v>
      </c>
      <c r="E2321" s="202" t="s">
        <v>638</v>
      </c>
      <c r="F2321" s="202" t="s">
        <v>652</v>
      </c>
      <c r="G2321" s="202" t="s">
        <v>688</v>
      </c>
    </row>
    <row r="2322" spans="1:7" hidden="1">
      <c r="A2322" s="202" t="s">
        <v>1531</v>
      </c>
      <c r="B2322" s="203">
        <v>8100</v>
      </c>
      <c r="C2322" s="203">
        <v>0</v>
      </c>
      <c r="D2322" s="202" t="s">
        <v>442</v>
      </c>
      <c r="E2322" s="202" t="s">
        <v>638</v>
      </c>
      <c r="F2322" s="202" t="s">
        <v>396</v>
      </c>
      <c r="G2322" s="202" t="s">
        <v>688</v>
      </c>
    </row>
    <row r="2323" spans="1:7" hidden="1">
      <c r="A2323" s="202" t="s">
        <v>1532</v>
      </c>
      <c r="B2323" s="203">
        <v>59800</v>
      </c>
      <c r="C2323" s="203">
        <v>0</v>
      </c>
      <c r="D2323" s="202" t="s">
        <v>440</v>
      </c>
      <c r="E2323" s="202" t="s">
        <v>638</v>
      </c>
      <c r="F2323" s="202" t="s">
        <v>652</v>
      </c>
      <c r="G2323" s="202" t="s">
        <v>688</v>
      </c>
    </row>
    <row r="2324" spans="1:7" hidden="1">
      <c r="A2324" s="202" t="s">
        <v>1533</v>
      </c>
      <c r="B2324" s="203">
        <v>4900</v>
      </c>
      <c r="C2324" s="203">
        <v>0</v>
      </c>
      <c r="D2324" s="202" t="s">
        <v>440</v>
      </c>
      <c r="E2324" s="202" t="s">
        <v>638</v>
      </c>
      <c r="F2324" s="202" t="s">
        <v>652</v>
      </c>
      <c r="G2324" s="202" t="s">
        <v>688</v>
      </c>
    </row>
    <row r="2325" spans="1:7" hidden="1">
      <c r="A2325" s="202" t="s">
        <v>1534</v>
      </c>
      <c r="B2325" s="203">
        <v>7500</v>
      </c>
      <c r="C2325" s="203">
        <v>0</v>
      </c>
      <c r="D2325" s="202" t="s">
        <v>442</v>
      </c>
      <c r="E2325" s="202" t="s">
        <v>638</v>
      </c>
      <c r="F2325" s="202" t="s">
        <v>396</v>
      </c>
      <c r="G2325" s="202" t="s">
        <v>688</v>
      </c>
    </row>
    <row r="2326" spans="1:7" hidden="1">
      <c r="A2326" s="202" t="s">
        <v>1535</v>
      </c>
      <c r="B2326" s="203">
        <v>156400</v>
      </c>
      <c r="C2326" s="203">
        <v>0</v>
      </c>
      <c r="D2326" s="202" t="s">
        <v>440</v>
      </c>
      <c r="E2326" s="202" t="s">
        <v>638</v>
      </c>
      <c r="F2326" s="202" t="s">
        <v>652</v>
      </c>
      <c r="G2326" s="202" t="s">
        <v>688</v>
      </c>
    </row>
    <row r="2327" spans="1:7" hidden="1">
      <c r="A2327" s="202" t="s">
        <v>1536</v>
      </c>
      <c r="B2327" s="203">
        <v>7500</v>
      </c>
      <c r="C2327" s="203">
        <v>0</v>
      </c>
      <c r="D2327" s="202" t="s">
        <v>440</v>
      </c>
      <c r="E2327" s="202" t="s">
        <v>638</v>
      </c>
      <c r="F2327" s="202" t="s">
        <v>652</v>
      </c>
      <c r="G2327" s="202" t="s">
        <v>688</v>
      </c>
    </row>
    <row r="2328" spans="1:7" hidden="1">
      <c r="A2328" s="202" t="s">
        <v>1537</v>
      </c>
      <c r="B2328" s="203">
        <v>1500</v>
      </c>
      <c r="C2328" s="203">
        <v>0</v>
      </c>
      <c r="D2328" s="202" t="s">
        <v>442</v>
      </c>
      <c r="E2328" s="202" t="s">
        <v>638</v>
      </c>
      <c r="F2328" s="202" t="s">
        <v>396</v>
      </c>
      <c r="G2328" s="202" t="s">
        <v>688</v>
      </c>
    </row>
    <row r="2329" spans="1:7" hidden="1">
      <c r="A2329" s="202" t="s">
        <v>1538</v>
      </c>
      <c r="B2329" s="203">
        <v>8000</v>
      </c>
      <c r="C2329" s="203">
        <v>0</v>
      </c>
      <c r="D2329" s="202" t="s">
        <v>440</v>
      </c>
      <c r="E2329" s="202" t="s">
        <v>638</v>
      </c>
      <c r="F2329" s="202" t="s">
        <v>652</v>
      </c>
      <c r="G2329" s="202" t="s">
        <v>688</v>
      </c>
    </row>
    <row r="2330" spans="1:7" hidden="1">
      <c r="A2330" s="202" t="s">
        <v>1539</v>
      </c>
      <c r="B2330" s="203">
        <v>21100</v>
      </c>
      <c r="C2330" s="203">
        <v>0</v>
      </c>
      <c r="D2330" s="202" t="s">
        <v>440</v>
      </c>
      <c r="E2330" s="202" t="s">
        <v>638</v>
      </c>
      <c r="F2330" s="202" t="s">
        <v>652</v>
      </c>
      <c r="G2330" s="202" t="s">
        <v>688</v>
      </c>
    </row>
    <row r="2331" spans="1:7" hidden="1">
      <c r="A2331" s="202" t="s">
        <v>1540</v>
      </c>
      <c r="B2331" s="203">
        <v>1200</v>
      </c>
      <c r="C2331" s="203">
        <v>0</v>
      </c>
      <c r="D2331" s="202" t="s">
        <v>442</v>
      </c>
      <c r="E2331" s="202" t="s">
        <v>638</v>
      </c>
      <c r="F2331" s="202" t="s">
        <v>396</v>
      </c>
      <c r="G2331" s="202" t="s">
        <v>688</v>
      </c>
    </row>
    <row r="2332" spans="1:7" hidden="1">
      <c r="A2332" s="202" t="s">
        <v>1541</v>
      </c>
      <c r="B2332" s="203">
        <v>14700</v>
      </c>
      <c r="C2332" s="203">
        <v>0</v>
      </c>
      <c r="D2332" s="202" t="s">
        <v>440</v>
      </c>
      <c r="E2332" s="202" t="s">
        <v>638</v>
      </c>
      <c r="F2332" s="202" t="s">
        <v>652</v>
      </c>
      <c r="G2332" s="202" t="s">
        <v>688</v>
      </c>
    </row>
    <row r="2333" spans="1:7" hidden="1">
      <c r="A2333" s="202" t="s">
        <v>1542</v>
      </c>
      <c r="B2333" s="203">
        <v>1500</v>
      </c>
      <c r="C2333" s="203">
        <v>0</v>
      </c>
      <c r="D2333" s="202" t="s">
        <v>442</v>
      </c>
      <c r="E2333" s="202" t="s">
        <v>638</v>
      </c>
      <c r="F2333" s="202" t="s">
        <v>396</v>
      </c>
      <c r="G2333" s="202" t="s">
        <v>688</v>
      </c>
    </row>
    <row r="2334" spans="1:7" hidden="1">
      <c r="A2334" s="202" t="s">
        <v>1543</v>
      </c>
      <c r="B2334" s="203">
        <v>-32300</v>
      </c>
      <c r="C2334" s="203">
        <v>0</v>
      </c>
      <c r="D2334" s="202" t="s">
        <v>440</v>
      </c>
      <c r="E2334" s="202" t="s">
        <v>638</v>
      </c>
      <c r="F2334" s="202" t="s">
        <v>409</v>
      </c>
      <c r="G2334" s="202" t="s">
        <v>688</v>
      </c>
    </row>
    <row r="2335" spans="1:7" hidden="1">
      <c r="A2335" s="202" t="s">
        <v>1544</v>
      </c>
      <c r="B2335" s="203">
        <v>1400</v>
      </c>
      <c r="C2335" s="203">
        <v>0</v>
      </c>
      <c r="D2335" s="202" t="s">
        <v>442</v>
      </c>
      <c r="E2335" s="202" t="s">
        <v>638</v>
      </c>
      <c r="F2335" s="202" t="s">
        <v>396</v>
      </c>
      <c r="G2335" s="202" t="s">
        <v>688</v>
      </c>
    </row>
    <row r="2336" spans="1:7" hidden="1">
      <c r="A2336" s="202" t="s">
        <v>1545</v>
      </c>
      <c r="B2336" s="203">
        <v>34600</v>
      </c>
      <c r="C2336" s="203">
        <v>0</v>
      </c>
      <c r="D2336" s="202" t="s">
        <v>440</v>
      </c>
      <c r="E2336" s="202" t="s">
        <v>638</v>
      </c>
      <c r="F2336" s="202" t="s">
        <v>652</v>
      </c>
      <c r="G2336" s="202" t="s">
        <v>688</v>
      </c>
    </row>
    <row r="2337" spans="1:7" hidden="1">
      <c r="A2337" s="202" t="s">
        <v>1546</v>
      </c>
      <c r="B2337" s="203">
        <v>1300</v>
      </c>
      <c r="C2337" s="203">
        <v>0</v>
      </c>
      <c r="D2337" s="202" t="s">
        <v>442</v>
      </c>
      <c r="E2337" s="202" t="s">
        <v>638</v>
      </c>
      <c r="F2337" s="202" t="s">
        <v>396</v>
      </c>
      <c r="G2337" s="202" t="s">
        <v>688</v>
      </c>
    </row>
    <row r="2338" spans="1:7" hidden="1">
      <c r="A2338" s="202" t="s">
        <v>1547</v>
      </c>
      <c r="B2338" s="203">
        <v>9300</v>
      </c>
      <c r="C2338" s="203">
        <v>0</v>
      </c>
      <c r="D2338" s="202" t="s">
        <v>440</v>
      </c>
      <c r="E2338" s="202" t="s">
        <v>638</v>
      </c>
      <c r="F2338" s="202" t="s">
        <v>652</v>
      </c>
      <c r="G2338" s="202" t="s">
        <v>688</v>
      </c>
    </row>
    <row r="2339" spans="1:7" hidden="1">
      <c r="A2339" s="202" t="s">
        <v>1548</v>
      </c>
      <c r="B2339" s="203">
        <v>2600</v>
      </c>
      <c r="C2339" s="203">
        <v>0</v>
      </c>
      <c r="D2339" s="202" t="s">
        <v>442</v>
      </c>
      <c r="E2339" s="202" t="s">
        <v>638</v>
      </c>
      <c r="F2339" s="202" t="s">
        <v>396</v>
      </c>
      <c r="G2339" s="202" t="s">
        <v>688</v>
      </c>
    </row>
    <row r="2340" spans="1:7" hidden="1">
      <c r="A2340" s="202" t="s">
        <v>1549</v>
      </c>
      <c r="B2340" s="203">
        <v>7600</v>
      </c>
      <c r="C2340" s="203">
        <v>0</v>
      </c>
      <c r="D2340" s="202" t="s">
        <v>440</v>
      </c>
      <c r="E2340" s="202" t="s">
        <v>638</v>
      </c>
      <c r="F2340" s="202" t="s">
        <v>652</v>
      </c>
      <c r="G2340" s="202" t="s">
        <v>688</v>
      </c>
    </row>
    <row r="2341" spans="1:7" hidden="1">
      <c r="A2341" s="202" t="s">
        <v>1550</v>
      </c>
      <c r="B2341" s="203">
        <v>42000</v>
      </c>
      <c r="C2341" s="203">
        <v>0</v>
      </c>
      <c r="D2341" s="202" t="s">
        <v>440</v>
      </c>
      <c r="E2341" s="202" t="s">
        <v>638</v>
      </c>
      <c r="F2341" s="202" t="s">
        <v>652</v>
      </c>
      <c r="G2341" s="202" t="s">
        <v>688</v>
      </c>
    </row>
    <row r="2342" spans="1:7" hidden="1">
      <c r="A2342" s="202" t="s">
        <v>1551</v>
      </c>
      <c r="B2342" s="203">
        <v>29500</v>
      </c>
      <c r="C2342" s="203">
        <v>0</v>
      </c>
      <c r="D2342" s="202" t="s">
        <v>440</v>
      </c>
      <c r="E2342" s="202" t="s">
        <v>638</v>
      </c>
      <c r="F2342" s="202" t="s">
        <v>652</v>
      </c>
      <c r="G2342" s="202" t="s">
        <v>688</v>
      </c>
    </row>
    <row r="2343" spans="1:7" hidden="1">
      <c r="A2343" s="202" t="s">
        <v>1552</v>
      </c>
      <c r="B2343" s="203">
        <v>15000</v>
      </c>
      <c r="C2343" s="203">
        <v>0</v>
      </c>
      <c r="D2343" s="202" t="s">
        <v>440</v>
      </c>
      <c r="E2343" s="202" t="s">
        <v>638</v>
      </c>
      <c r="F2343" s="202" t="s">
        <v>652</v>
      </c>
      <c r="G2343" s="202" t="s">
        <v>688</v>
      </c>
    </row>
    <row r="2344" spans="1:7" hidden="1">
      <c r="A2344" s="202" t="s">
        <v>1553</v>
      </c>
      <c r="B2344" s="203">
        <v>14200</v>
      </c>
      <c r="C2344" s="203">
        <v>0</v>
      </c>
      <c r="D2344" s="202" t="s">
        <v>442</v>
      </c>
      <c r="E2344" s="202" t="s">
        <v>638</v>
      </c>
      <c r="F2344" s="202" t="s">
        <v>396</v>
      </c>
      <c r="G2344" s="202" t="s">
        <v>688</v>
      </c>
    </row>
    <row r="2345" spans="1:7" hidden="1">
      <c r="A2345" s="202" t="s">
        <v>1554</v>
      </c>
      <c r="B2345" s="203">
        <v>5000</v>
      </c>
      <c r="C2345" s="203">
        <v>0</v>
      </c>
      <c r="D2345" s="202" t="s">
        <v>440</v>
      </c>
      <c r="E2345" s="202" t="s">
        <v>638</v>
      </c>
      <c r="F2345" s="202" t="s">
        <v>652</v>
      </c>
      <c r="G2345" s="202" t="s">
        <v>688</v>
      </c>
    </row>
    <row r="2346" spans="1:7" hidden="1">
      <c r="A2346" s="202" t="s">
        <v>1555</v>
      </c>
      <c r="B2346" s="203">
        <v>47100</v>
      </c>
      <c r="C2346" s="203">
        <v>0</v>
      </c>
      <c r="D2346" s="202" t="s">
        <v>440</v>
      </c>
      <c r="E2346" s="202" t="s">
        <v>638</v>
      </c>
      <c r="F2346" s="202" t="s">
        <v>652</v>
      </c>
      <c r="G2346" s="202" t="s">
        <v>688</v>
      </c>
    </row>
    <row r="2347" spans="1:7" hidden="1">
      <c r="A2347" s="202" t="s">
        <v>1556</v>
      </c>
      <c r="B2347" s="203">
        <v>22500</v>
      </c>
      <c r="C2347" s="203">
        <v>0</v>
      </c>
      <c r="D2347" s="202" t="s">
        <v>440</v>
      </c>
      <c r="E2347" s="202" t="s">
        <v>638</v>
      </c>
      <c r="F2347" s="202" t="s">
        <v>652</v>
      </c>
      <c r="G2347" s="202" t="s">
        <v>688</v>
      </c>
    </row>
    <row r="2348" spans="1:7" hidden="1">
      <c r="A2348" s="202" t="s">
        <v>655</v>
      </c>
      <c r="B2348" s="203">
        <v>-247</v>
      </c>
      <c r="C2348" s="203">
        <v>0</v>
      </c>
      <c r="D2348" s="202" t="s">
        <v>440</v>
      </c>
      <c r="E2348" s="202" t="s">
        <v>639</v>
      </c>
      <c r="F2348" s="202" t="s">
        <v>393</v>
      </c>
      <c r="G2348" s="202" t="s">
        <v>688</v>
      </c>
    </row>
    <row r="2349" spans="1:7" hidden="1">
      <c r="A2349" s="202" t="s">
        <v>656</v>
      </c>
      <c r="B2349" s="203">
        <v>-472</v>
      </c>
      <c r="C2349" s="203">
        <v>0</v>
      </c>
      <c r="D2349" s="202" t="s">
        <v>440</v>
      </c>
      <c r="E2349" s="202" t="s">
        <v>639</v>
      </c>
      <c r="F2349" s="202" t="s">
        <v>393</v>
      </c>
      <c r="G2349" s="202" t="s">
        <v>688</v>
      </c>
    </row>
    <row r="2350" spans="1:7" hidden="1">
      <c r="A2350" s="202" t="s">
        <v>1557</v>
      </c>
      <c r="B2350" s="203">
        <v>-103800</v>
      </c>
      <c r="C2350" s="203">
        <v>0</v>
      </c>
      <c r="D2350" s="202" t="s">
        <v>440</v>
      </c>
      <c r="E2350" s="202" t="s">
        <v>638</v>
      </c>
      <c r="F2350" s="202" t="s">
        <v>652</v>
      </c>
      <c r="G2350" s="202" t="s">
        <v>688</v>
      </c>
    </row>
    <row r="2351" spans="1:7" hidden="1">
      <c r="A2351" s="202" t="s">
        <v>1558</v>
      </c>
      <c r="B2351" s="203">
        <v>7300</v>
      </c>
      <c r="C2351" s="203">
        <v>0</v>
      </c>
      <c r="D2351" s="202" t="s">
        <v>442</v>
      </c>
      <c r="E2351" s="202" t="s">
        <v>638</v>
      </c>
      <c r="F2351" s="202" t="s">
        <v>396</v>
      </c>
      <c r="G2351" s="202" t="s">
        <v>688</v>
      </c>
    </row>
    <row r="2352" spans="1:7" hidden="1">
      <c r="A2352" s="202" t="s">
        <v>1559</v>
      </c>
      <c r="B2352" s="203">
        <v>-37600</v>
      </c>
      <c r="C2352" s="203">
        <v>0</v>
      </c>
      <c r="D2352" s="202" t="s">
        <v>440</v>
      </c>
      <c r="E2352" s="202" t="s">
        <v>638</v>
      </c>
      <c r="F2352" s="202" t="s">
        <v>652</v>
      </c>
      <c r="G2352" s="202" t="s">
        <v>688</v>
      </c>
    </row>
    <row r="2353" spans="1:7" hidden="1">
      <c r="A2353" s="202" t="s">
        <v>1560</v>
      </c>
      <c r="B2353" s="203">
        <v>-14900</v>
      </c>
      <c r="C2353" s="203">
        <v>0</v>
      </c>
      <c r="D2353" s="202" t="s">
        <v>442</v>
      </c>
      <c r="E2353" s="202" t="s">
        <v>638</v>
      </c>
      <c r="F2353" s="202" t="s">
        <v>396</v>
      </c>
      <c r="G2353" s="202" t="s">
        <v>688</v>
      </c>
    </row>
    <row r="2354" spans="1:7" hidden="1">
      <c r="A2354" s="202" t="s">
        <v>1561</v>
      </c>
      <c r="B2354" s="203">
        <v>1400</v>
      </c>
      <c r="C2354" s="203">
        <v>0</v>
      </c>
      <c r="D2354" s="202" t="s">
        <v>440</v>
      </c>
      <c r="E2354" s="202" t="s">
        <v>638</v>
      </c>
      <c r="F2354" s="202" t="s">
        <v>652</v>
      </c>
      <c r="G2354" s="202" t="s">
        <v>688</v>
      </c>
    </row>
    <row r="2355" spans="1:7" hidden="1">
      <c r="A2355" s="202" t="s">
        <v>1562</v>
      </c>
      <c r="B2355" s="203">
        <v>-3200</v>
      </c>
      <c r="C2355" s="203">
        <v>0</v>
      </c>
      <c r="D2355" s="202" t="s">
        <v>442</v>
      </c>
      <c r="E2355" s="202" t="s">
        <v>638</v>
      </c>
      <c r="F2355" s="202" t="s">
        <v>396</v>
      </c>
      <c r="G2355" s="202" t="s">
        <v>688</v>
      </c>
    </row>
    <row r="2356" spans="1:7" hidden="1">
      <c r="A2356" s="202" t="s">
        <v>1563</v>
      </c>
      <c r="B2356" s="203">
        <v>10800</v>
      </c>
      <c r="C2356" s="203">
        <v>0</v>
      </c>
      <c r="D2356" s="202" t="s">
        <v>440</v>
      </c>
      <c r="E2356" s="202" t="s">
        <v>638</v>
      </c>
      <c r="F2356" s="202" t="s">
        <v>652</v>
      </c>
      <c r="G2356" s="202" t="s">
        <v>688</v>
      </c>
    </row>
    <row r="2357" spans="1:7" hidden="1">
      <c r="A2357" s="202" t="s">
        <v>1564</v>
      </c>
      <c r="B2357" s="203">
        <v>25000</v>
      </c>
      <c r="C2357" s="203">
        <v>0</v>
      </c>
      <c r="D2357" s="202" t="s">
        <v>440</v>
      </c>
      <c r="E2357" s="202" t="s">
        <v>638</v>
      </c>
      <c r="F2357" s="202" t="s">
        <v>652</v>
      </c>
      <c r="G2357" s="202" t="s">
        <v>688</v>
      </c>
    </row>
    <row r="2358" spans="1:7" hidden="1">
      <c r="A2358" s="202" t="s">
        <v>1565</v>
      </c>
      <c r="B2358" s="203">
        <v>1400</v>
      </c>
      <c r="C2358" s="203">
        <v>0</v>
      </c>
      <c r="D2358" s="202" t="s">
        <v>440</v>
      </c>
      <c r="E2358" s="202" t="s">
        <v>638</v>
      </c>
      <c r="F2358" s="202" t="s">
        <v>409</v>
      </c>
      <c r="G2358" s="202" t="s">
        <v>688</v>
      </c>
    </row>
    <row r="2359" spans="1:7" hidden="1">
      <c r="A2359" s="202" t="s">
        <v>1566</v>
      </c>
      <c r="B2359" s="203">
        <v>7700</v>
      </c>
      <c r="C2359" s="203">
        <v>0</v>
      </c>
      <c r="D2359" s="202" t="s">
        <v>440</v>
      </c>
      <c r="E2359" s="202" t="s">
        <v>638</v>
      </c>
      <c r="F2359" s="202" t="s">
        <v>652</v>
      </c>
      <c r="G2359" s="202" t="s">
        <v>688</v>
      </c>
    </row>
    <row r="2360" spans="1:7" hidden="1">
      <c r="A2360" s="202" t="s">
        <v>1567</v>
      </c>
      <c r="B2360" s="203">
        <v>19300</v>
      </c>
      <c r="C2360" s="203">
        <v>0</v>
      </c>
      <c r="D2360" s="202" t="s">
        <v>440</v>
      </c>
      <c r="E2360" s="202" t="s">
        <v>638</v>
      </c>
      <c r="F2360" s="202" t="s">
        <v>652</v>
      </c>
      <c r="G2360" s="202" t="s">
        <v>688</v>
      </c>
    </row>
    <row r="2361" spans="1:7" hidden="1">
      <c r="A2361" s="202" t="s">
        <v>1568</v>
      </c>
      <c r="B2361" s="203">
        <v>4500</v>
      </c>
      <c r="C2361" s="203">
        <v>0</v>
      </c>
      <c r="D2361" s="202" t="s">
        <v>440</v>
      </c>
      <c r="E2361" s="202" t="s">
        <v>638</v>
      </c>
      <c r="F2361" s="202" t="s">
        <v>652</v>
      </c>
      <c r="G2361" s="202" t="s">
        <v>688</v>
      </c>
    </row>
    <row r="2362" spans="1:7" hidden="1">
      <c r="A2362" s="202" t="s">
        <v>1569</v>
      </c>
      <c r="B2362" s="203">
        <v>-26800</v>
      </c>
      <c r="C2362" s="203">
        <v>0</v>
      </c>
      <c r="D2362" s="202" t="s">
        <v>442</v>
      </c>
      <c r="E2362" s="202" t="s">
        <v>638</v>
      </c>
      <c r="F2362" s="202" t="s">
        <v>396</v>
      </c>
      <c r="G2362" s="202" t="s">
        <v>688</v>
      </c>
    </row>
    <row r="2363" spans="1:7" hidden="1">
      <c r="A2363" s="202" t="s">
        <v>1570</v>
      </c>
      <c r="B2363" s="203">
        <v>16400</v>
      </c>
      <c r="C2363" s="203">
        <v>0</v>
      </c>
      <c r="D2363" s="202" t="s">
        <v>440</v>
      </c>
      <c r="E2363" s="202" t="s">
        <v>638</v>
      </c>
      <c r="F2363" s="202" t="s">
        <v>652</v>
      </c>
      <c r="G2363" s="202" t="s">
        <v>688</v>
      </c>
    </row>
    <row r="2364" spans="1:7" hidden="1">
      <c r="A2364" s="202" t="s">
        <v>1571</v>
      </c>
      <c r="B2364" s="203">
        <v>16000</v>
      </c>
      <c r="C2364" s="203">
        <v>0</v>
      </c>
      <c r="D2364" s="202" t="s">
        <v>440</v>
      </c>
      <c r="E2364" s="202" t="s">
        <v>638</v>
      </c>
      <c r="F2364" s="202" t="s">
        <v>652</v>
      </c>
      <c r="G2364" s="202" t="s">
        <v>688</v>
      </c>
    </row>
    <row r="2365" spans="1:7" hidden="1">
      <c r="A2365" s="202" t="s">
        <v>1572</v>
      </c>
      <c r="B2365" s="203">
        <v>21600</v>
      </c>
      <c r="C2365" s="203">
        <v>0</v>
      </c>
      <c r="D2365" s="202" t="s">
        <v>440</v>
      </c>
      <c r="E2365" s="202" t="s">
        <v>638</v>
      </c>
      <c r="F2365" s="202" t="s">
        <v>652</v>
      </c>
      <c r="G2365" s="202" t="s">
        <v>688</v>
      </c>
    </row>
    <row r="2366" spans="1:7" hidden="1">
      <c r="A2366" s="202" t="s">
        <v>1573</v>
      </c>
      <c r="B2366" s="203">
        <v>8000</v>
      </c>
      <c r="C2366" s="203">
        <v>0</v>
      </c>
      <c r="D2366" s="202" t="s">
        <v>440</v>
      </c>
      <c r="E2366" s="202" t="s">
        <v>638</v>
      </c>
      <c r="F2366" s="202" t="s">
        <v>652</v>
      </c>
      <c r="G2366" s="202" t="s">
        <v>688</v>
      </c>
    </row>
    <row r="2367" spans="1:7" hidden="1">
      <c r="A2367" s="202" t="s">
        <v>1574</v>
      </c>
      <c r="B2367" s="203">
        <v>37000</v>
      </c>
      <c r="C2367" s="203">
        <v>0</v>
      </c>
      <c r="D2367" s="202" t="s">
        <v>440</v>
      </c>
      <c r="E2367" s="202" t="s">
        <v>638</v>
      </c>
      <c r="F2367" s="202" t="s">
        <v>652</v>
      </c>
      <c r="G2367" s="202" t="s">
        <v>688</v>
      </c>
    </row>
    <row r="2368" spans="1:7" hidden="1">
      <c r="A2368" s="202" t="s">
        <v>1575</v>
      </c>
      <c r="B2368" s="203">
        <v>30800</v>
      </c>
      <c r="C2368" s="203">
        <v>0</v>
      </c>
      <c r="D2368" s="202" t="s">
        <v>440</v>
      </c>
      <c r="E2368" s="202" t="s">
        <v>638</v>
      </c>
      <c r="F2368" s="202" t="s">
        <v>652</v>
      </c>
      <c r="G2368" s="202" t="s">
        <v>688</v>
      </c>
    </row>
    <row r="2369" spans="1:7" hidden="1">
      <c r="A2369" s="202" t="s">
        <v>1576</v>
      </c>
      <c r="B2369" s="203">
        <v>18200</v>
      </c>
      <c r="C2369" s="203">
        <v>0</v>
      </c>
      <c r="D2369" s="202" t="s">
        <v>440</v>
      </c>
      <c r="E2369" s="202" t="s">
        <v>638</v>
      </c>
      <c r="F2369" s="202" t="s">
        <v>652</v>
      </c>
      <c r="G2369" s="202" t="s">
        <v>688</v>
      </c>
    </row>
    <row r="2370" spans="1:7" hidden="1">
      <c r="A2370" s="202" t="s">
        <v>1577</v>
      </c>
      <c r="B2370" s="203">
        <v>14746</v>
      </c>
      <c r="C2370" s="203">
        <v>0</v>
      </c>
      <c r="D2370" s="202" t="s">
        <v>440</v>
      </c>
      <c r="E2370" s="202" t="s">
        <v>638</v>
      </c>
      <c r="F2370" s="202" t="s">
        <v>652</v>
      </c>
      <c r="G2370" s="202" t="s">
        <v>688</v>
      </c>
    </row>
    <row r="2371" spans="1:7" hidden="1">
      <c r="A2371" s="202" t="s">
        <v>1578</v>
      </c>
      <c r="B2371" s="203">
        <v>14746</v>
      </c>
      <c r="C2371" s="203">
        <v>0</v>
      </c>
      <c r="D2371" s="202" t="s">
        <v>440</v>
      </c>
      <c r="E2371" s="202" t="s">
        <v>638</v>
      </c>
      <c r="F2371" s="202" t="s">
        <v>652</v>
      </c>
      <c r="G2371" s="202" t="s">
        <v>688</v>
      </c>
    </row>
    <row r="2372" spans="1:7" hidden="1">
      <c r="A2372" s="202" t="s">
        <v>1579</v>
      </c>
      <c r="B2372" s="203">
        <v>16600</v>
      </c>
      <c r="C2372" s="203">
        <v>0</v>
      </c>
      <c r="D2372" s="202" t="s">
        <v>440</v>
      </c>
      <c r="E2372" s="202" t="s">
        <v>638</v>
      </c>
      <c r="F2372" s="202" t="s">
        <v>652</v>
      </c>
      <c r="G2372" s="202" t="s">
        <v>688</v>
      </c>
    </row>
    <row r="2373" spans="1:7" hidden="1">
      <c r="A2373" s="202" t="s">
        <v>1580</v>
      </c>
      <c r="B2373" s="203">
        <v>63900</v>
      </c>
      <c r="C2373" s="203">
        <v>0</v>
      </c>
      <c r="D2373" s="202" t="s">
        <v>440</v>
      </c>
      <c r="E2373" s="202" t="s">
        <v>638</v>
      </c>
      <c r="F2373" s="202" t="s">
        <v>652</v>
      </c>
      <c r="G2373" s="202" t="s">
        <v>688</v>
      </c>
    </row>
    <row r="2374" spans="1:7" hidden="1">
      <c r="A2374" s="202" t="s">
        <v>1581</v>
      </c>
      <c r="B2374" s="203">
        <v>47400</v>
      </c>
      <c r="C2374" s="203">
        <v>0</v>
      </c>
      <c r="D2374" s="202" t="s">
        <v>440</v>
      </c>
      <c r="E2374" s="202" t="s">
        <v>638</v>
      </c>
      <c r="F2374" s="202" t="s">
        <v>652</v>
      </c>
      <c r="G2374" s="202" t="s">
        <v>688</v>
      </c>
    </row>
    <row r="2375" spans="1:7" hidden="1">
      <c r="A2375" s="202" t="s">
        <v>1582</v>
      </c>
      <c r="B2375" s="203">
        <v>34600</v>
      </c>
      <c r="C2375" s="203">
        <v>0</v>
      </c>
      <c r="D2375" s="202" t="s">
        <v>440</v>
      </c>
      <c r="E2375" s="202" t="s">
        <v>638</v>
      </c>
      <c r="F2375" s="202" t="s">
        <v>652</v>
      </c>
      <c r="G2375" s="202" t="s">
        <v>688</v>
      </c>
    </row>
    <row r="2376" spans="1:7" hidden="1">
      <c r="A2376" s="202" t="s">
        <v>1583</v>
      </c>
      <c r="B2376" s="203">
        <v>96200</v>
      </c>
      <c r="C2376" s="203">
        <v>0</v>
      </c>
      <c r="D2376" s="202" t="s">
        <v>440</v>
      </c>
      <c r="E2376" s="202" t="s">
        <v>638</v>
      </c>
      <c r="F2376" s="202" t="s">
        <v>652</v>
      </c>
      <c r="G2376" s="202" t="s">
        <v>688</v>
      </c>
    </row>
    <row r="2377" spans="1:7" hidden="1">
      <c r="A2377" s="202" t="s">
        <v>1584</v>
      </c>
      <c r="B2377" s="203">
        <v>400</v>
      </c>
      <c r="C2377" s="203">
        <v>0</v>
      </c>
      <c r="D2377" s="202" t="s">
        <v>442</v>
      </c>
      <c r="E2377" s="202" t="s">
        <v>638</v>
      </c>
      <c r="F2377" s="202" t="s">
        <v>396</v>
      </c>
      <c r="G2377" s="202" t="s">
        <v>688</v>
      </c>
    </row>
    <row r="2378" spans="1:7" hidden="1">
      <c r="A2378" s="202" t="s">
        <v>1585</v>
      </c>
      <c r="B2378" s="203">
        <v>1900</v>
      </c>
      <c r="C2378" s="203">
        <v>0</v>
      </c>
      <c r="D2378" s="202" t="s">
        <v>442</v>
      </c>
      <c r="E2378" s="202" t="s">
        <v>638</v>
      </c>
      <c r="F2378" s="202" t="s">
        <v>396</v>
      </c>
      <c r="G2378" s="202" t="s">
        <v>688</v>
      </c>
    </row>
    <row r="2379" spans="1:7" hidden="1">
      <c r="A2379" s="202" t="s">
        <v>1586</v>
      </c>
      <c r="B2379" s="203">
        <v>21300</v>
      </c>
      <c r="C2379" s="203">
        <v>0</v>
      </c>
      <c r="D2379" s="202" t="s">
        <v>440</v>
      </c>
      <c r="E2379" s="202" t="s">
        <v>638</v>
      </c>
      <c r="F2379" s="202" t="s">
        <v>652</v>
      </c>
      <c r="G2379" s="202" t="s">
        <v>688</v>
      </c>
    </row>
    <row r="2380" spans="1:7" hidden="1">
      <c r="A2380" s="202" t="s">
        <v>1587</v>
      </c>
      <c r="B2380" s="203">
        <v>19800</v>
      </c>
      <c r="C2380" s="203">
        <v>0</v>
      </c>
      <c r="D2380" s="202" t="s">
        <v>440</v>
      </c>
      <c r="E2380" s="202" t="s">
        <v>638</v>
      </c>
      <c r="F2380" s="202" t="s">
        <v>652</v>
      </c>
      <c r="G2380" s="202" t="s">
        <v>688</v>
      </c>
    </row>
    <row r="2381" spans="1:7" hidden="1">
      <c r="A2381" s="202" t="s">
        <v>1588</v>
      </c>
      <c r="B2381" s="203">
        <v>11600</v>
      </c>
      <c r="C2381" s="203">
        <v>0</v>
      </c>
      <c r="D2381" s="202" t="s">
        <v>440</v>
      </c>
      <c r="E2381" s="202" t="s">
        <v>638</v>
      </c>
      <c r="F2381" s="202" t="s">
        <v>652</v>
      </c>
      <c r="G2381" s="202" t="s">
        <v>688</v>
      </c>
    </row>
    <row r="2382" spans="1:7" hidden="1">
      <c r="A2382" s="202" t="s">
        <v>1589</v>
      </c>
      <c r="B2382" s="203">
        <v>2900</v>
      </c>
      <c r="C2382" s="203">
        <v>0</v>
      </c>
      <c r="D2382" s="202" t="s">
        <v>442</v>
      </c>
      <c r="E2382" s="202" t="s">
        <v>638</v>
      </c>
      <c r="F2382" s="202" t="s">
        <v>396</v>
      </c>
      <c r="G2382" s="202" t="s">
        <v>688</v>
      </c>
    </row>
    <row r="2383" spans="1:7" hidden="1">
      <c r="A2383" s="202" t="s">
        <v>1590</v>
      </c>
      <c r="B2383" s="203">
        <v>22000</v>
      </c>
      <c r="C2383" s="203">
        <v>0</v>
      </c>
      <c r="D2383" s="202" t="s">
        <v>440</v>
      </c>
      <c r="E2383" s="202" t="s">
        <v>638</v>
      </c>
      <c r="F2383" s="202" t="s">
        <v>409</v>
      </c>
      <c r="G2383" s="202" t="s">
        <v>688</v>
      </c>
    </row>
    <row r="2384" spans="1:7" hidden="1">
      <c r="A2384" s="202" t="s">
        <v>1591</v>
      </c>
      <c r="B2384" s="203">
        <v>54700</v>
      </c>
      <c r="C2384" s="203">
        <v>0</v>
      </c>
      <c r="D2384" s="202" t="s">
        <v>440</v>
      </c>
      <c r="E2384" s="202" t="s">
        <v>638</v>
      </c>
      <c r="F2384" s="202" t="s">
        <v>652</v>
      </c>
      <c r="G2384" s="202" t="s">
        <v>688</v>
      </c>
    </row>
    <row r="2385" spans="1:7" hidden="1">
      <c r="A2385" s="202" t="s">
        <v>1592</v>
      </c>
      <c r="B2385" s="203">
        <v>10500</v>
      </c>
      <c r="C2385" s="203">
        <v>0</v>
      </c>
      <c r="D2385" s="202" t="s">
        <v>440</v>
      </c>
      <c r="E2385" s="202" t="s">
        <v>638</v>
      </c>
      <c r="F2385" s="202" t="s">
        <v>652</v>
      </c>
      <c r="G2385" s="202" t="s">
        <v>688</v>
      </c>
    </row>
    <row r="2386" spans="1:7" hidden="1">
      <c r="A2386" s="202" t="s">
        <v>1593</v>
      </c>
      <c r="B2386" s="203">
        <v>18500</v>
      </c>
      <c r="C2386" s="203">
        <v>0</v>
      </c>
      <c r="D2386" s="202" t="s">
        <v>440</v>
      </c>
      <c r="E2386" s="202" t="s">
        <v>638</v>
      </c>
      <c r="F2386" s="202" t="s">
        <v>652</v>
      </c>
      <c r="G2386" s="202" t="s">
        <v>688</v>
      </c>
    </row>
    <row r="2387" spans="1:7" hidden="1">
      <c r="A2387" s="202" t="s">
        <v>1594</v>
      </c>
      <c r="B2387" s="203">
        <v>800</v>
      </c>
      <c r="C2387" s="203">
        <v>0</v>
      </c>
      <c r="D2387" s="202" t="s">
        <v>442</v>
      </c>
      <c r="E2387" s="202" t="s">
        <v>638</v>
      </c>
      <c r="F2387" s="202" t="s">
        <v>396</v>
      </c>
      <c r="G2387" s="202" t="s">
        <v>688</v>
      </c>
    </row>
    <row r="2388" spans="1:7" hidden="1">
      <c r="A2388" s="202" t="s">
        <v>1595</v>
      </c>
      <c r="B2388" s="203">
        <v>7200</v>
      </c>
      <c r="C2388" s="203">
        <v>0</v>
      </c>
      <c r="D2388" s="202" t="s">
        <v>442</v>
      </c>
      <c r="E2388" s="202" t="s">
        <v>638</v>
      </c>
      <c r="F2388" s="202" t="s">
        <v>396</v>
      </c>
      <c r="G2388" s="202" t="s">
        <v>688</v>
      </c>
    </row>
    <row r="2389" spans="1:7" hidden="1">
      <c r="A2389" s="202" t="s">
        <v>1596</v>
      </c>
      <c r="B2389" s="203">
        <v>18100</v>
      </c>
      <c r="C2389" s="203">
        <v>0</v>
      </c>
      <c r="D2389" s="202" t="s">
        <v>440</v>
      </c>
      <c r="E2389" s="202" t="s">
        <v>638</v>
      </c>
      <c r="F2389" s="202" t="s">
        <v>652</v>
      </c>
      <c r="G2389" s="202" t="s">
        <v>688</v>
      </c>
    </row>
    <row r="2390" spans="1:7" hidden="1">
      <c r="A2390" s="202" t="s">
        <v>1597</v>
      </c>
      <c r="B2390" s="203">
        <v>19400</v>
      </c>
      <c r="C2390" s="203">
        <v>0</v>
      </c>
      <c r="D2390" s="202" t="s">
        <v>440</v>
      </c>
      <c r="E2390" s="202" t="s">
        <v>638</v>
      </c>
      <c r="F2390" s="202" t="s">
        <v>652</v>
      </c>
      <c r="G2390" s="202" t="s">
        <v>688</v>
      </c>
    </row>
    <row r="2391" spans="1:7" hidden="1">
      <c r="A2391" s="202" t="s">
        <v>1598</v>
      </c>
      <c r="B2391" s="203">
        <v>5500</v>
      </c>
      <c r="C2391" s="203">
        <v>0</v>
      </c>
      <c r="D2391" s="202" t="s">
        <v>442</v>
      </c>
      <c r="E2391" s="202" t="s">
        <v>638</v>
      </c>
      <c r="F2391" s="202" t="s">
        <v>396</v>
      </c>
      <c r="G2391" s="202" t="s">
        <v>688</v>
      </c>
    </row>
    <row r="2392" spans="1:7" hidden="1">
      <c r="A2392" s="202" t="s">
        <v>1599</v>
      </c>
      <c r="B2392" s="203">
        <v>126900</v>
      </c>
      <c r="C2392" s="203">
        <v>0</v>
      </c>
      <c r="D2392" s="202" t="s">
        <v>440</v>
      </c>
      <c r="E2392" s="202" t="s">
        <v>638</v>
      </c>
      <c r="F2392" s="202" t="s">
        <v>409</v>
      </c>
      <c r="G2392" s="202" t="s">
        <v>688</v>
      </c>
    </row>
    <row r="2393" spans="1:7" hidden="1">
      <c r="A2393" s="202" t="s">
        <v>1600</v>
      </c>
      <c r="B2393" s="203">
        <v>6500</v>
      </c>
      <c r="C2393" s="203">
        <v>0</v>
      </c>
      <c r="D2393" s="202" t="s">
        <v>440</v>
      </c>
      <c r="E2393" s="202" t="s">
        <v>638</v>
      </c>
      <c r="F2393" s="202" t="s">
        <v>652</v>
      </c>
      <c r="G2393" s="202" t="s">
        <v>688</v>
      </c>
    </row>
    <row r="2394" spans="1:7" hidden="1">
      <c r="A2394" s="202" t="s">
        <v>1601</v>
      </c>
      <c r="B2394" s="203">
        <v>163400</v>
      </c>
      <c r="C2394" s="203">
        <v>0</v>
      </c>
      <c r="D2394" s="202" t="s">
        <v>440</v>
      </c>
      <c r="E2394" s="202" t="s">
        <v>638</v>
      </c>
      <c r="F2394" s="202" t="s">
        <v>652</v>
      </c>
      <c r="G2394" s="202" t="s">
        <v>688</v>
      </c>
    </row>
    <row r="2395" spans="1:7" hidden="1">
      <c r="A2395" s="202" t="s">
        <v>1602</v>
      </c>
      <c r="B2395" s="203">
        <v>-233376</v>
      </c>
      <c r="C2395" s="203">
        <v>0</v>
      </c>
      <c r="D2395" s="202" t="s">
        <v>440</v>
      </c>
      <c r="E2395" s="202" t="s">
        <v>638</v>
      </c>
      <c r="F2395" s="202" t="s">
        <v>652</v>
      </c>
      <c r="G2395" s="202" t="s">
        <v>688</v>
      </c>
    </row>
    <row r="2396" spans="1:7" hidden="1">
      <c r="A2396" s="202" t="s">
        <v>1603</v>
      </c>
      <c r="B2396" s="203">
        <v>-64600</v>
      </c>
      <c r="C2396" s="203">
        <v>0</v>
      </c>
      <c r="D2396" s="202" t="s">
        <v>442</v>
      </c>
      <c r="E2396" s="202" t="s">
        <v>638</v>
      </c>
      <c r="F2396" s="202" t="s">
        <v>396</v>
      </c>
      <c r="G2396" s="202" t="s">
        <v>688</v>
      </c>
    </row>
    <row r="2397" spans="1:7" hidden="1">
      <c r="A2397" s="202" t="s">
        <v>1604</v>
      </c>
      <c r="B2397" s="203">
        <v>58900</v>
      </c>
      <c r="C2397" s="203">
        <v>0</v>
      </c>
      <c r="D2397" s="202" t="s">
        <v>440</v>
      </c>
      <c r="E2397" s="202" t="s">
        <v>638</v>
      </c>
      <c r="F2397" s="202" t="s">
        <v>652</v>
      </c>
      <c r="G2397" s="202" t="s">
        <v>688</v>
      </c>
    </row>
    <row r="2398" spans="1:7" hidden="1">
      <c r="A2398" s="202" t="s">
        <v>1605</v>
      </c>
      <c r="B2398" s="203">
        <v>3500</v>
      </c>
      <c r="C2398" s="203">
        <v>0</v>
      </c>
      <c r="D2398" s="202" t="s">
        <v>442</v>
      </c>
      <c r="E2398" s="202" t="s">
        <v>638</v>
      </c>
      <c r="F2398" s="202" t="s">
        <v>396</v>
      </c>
      <c r="G2398" s="202" t="s">
        <v>688</v>
      </c>
    </row>
    <row r="2399" spans="1:7" hidden="1">
      <c r="A2399" s="202" t="s">
        <v>1606</v>
      </c>
      <c r="B2399" s="203">
        <v>3500</v>
      </c>
      <c r="C2399" s="203">
        <v>0</v>
      </c>
      <c r="D2399" s="202" t="s">
        <v>442</v>
      </c>
      <c r="E2399" s="202" t="s">
        <v>638</v>
      </c>
      <c r="F2399" s="202" t="s">
        <v>396</v>
      </c>
      <c r="G2399" s="202" t="s">
        <v>688</v>
      </c>
    </row>
    <row r="2400" spans="1:7" hidden="1">
      <c r="A2400" s="202" t="s">
        <v>1607</v>
      </c>
      <c r="B2400" s="203">
        <v>13900</v>
      </c>
      <c r="C2400" s="203">
        <v>0</v>
      </c>
      <c r="D2400" s="202" t="s">
        <v>442</v>
      </c>
      <c r="E2400" s="202" t="s">
        <v>638</v>
      </c>
      <c r="F2400" s="202" t="s">
        <v>396</v>
      </c>
      <c r="G2400" s="202" t="s">
        <v>688</v>
      </c>
    </row>
    <row r="2401" spans="1:7" hidden="1">
      <c r="A2401" s="202" t="s">
        <v>1608</v>
      </c>
      <c r="B2401" s="203">
        <v>3700</v>
      </c>
      <c r="C2401" s="203">
        <v>0</v>
      </c>
      <c r="D2401" s="202" t="s">
        <v>442</v>
      </c>
      <c r="E2401" s="202" t="s">
        <v>638</v>
      </c>
      <c r="F2401" s="202" t="s">
        <v>396</v>
      </c>
      <c r="G2401" s="202" t="s">
        <v>688</v>
      </c>
    </row>
    <row r="2402" spans="1:7" hidden="1">
      <c r="A2402" s="202" t="s">
        <v>1609</v>
      </c>
      <c r="B2402" s="203">
        <v>56800</v>
      </c>
      <c r="C2402" s="203">
        <v>0</v>
      </c>
      <c r="D2402" s="202" t="s">
        <v>440</v>
      </c>
      <c r="E2402" s="202" t="s">
        <v>638</v>
      </c>
      <c r="F2402" s="202" t="s">
        <v>652</v>
      </c>
      <c r="G2402" s="202" t="s">
        <v>688</v>
      </c>
    </row>
    <row r="2403" spans="1:7" hidden="1">
      <c r="A2403" s="202" t="s">
        <v>1610</v>
      </c>
      <c r="B2403" s="203">
        <v>4000</v>
      </c>
      <c r="C2403" s="203">
        <v>0</v>
      </c>
      <c r="D2403" s="202" t="s">
        <v>442</v>
      </c>
      <c r="E2403" s="202" t="s">
        <v>638</v>
      </c>
      <c r="F2403" s="202" t="s">
        <v>396</v>
      </c>
      <c r="G2403" s="202" t="s">
        <v>688</v>
      </c>
    </row>
    <row r="2404" spans="1:7" hidden="1">
      <c r="A2404" s="202" t="s">
        <v>1611</v>
      </c>
      <c r="B2404" s="203">
        <v>114200</v>
      </c>
      <c r="C2404" s="203">
        <v>0</v>
      </c>
      <c r="D2404" s="202" t="s">
        <v>440</v>
      </c>
      <c r="E2404" s="202" t="s">
        <v>638</v>
      </c>
      <c r="F2404" s="202" t="s">
        <v>652</v>
      </c>
      <c r="G2404" s="202" t="s">
        <v>688</v>
      </c>
    </row>
    <row r="2405" spans="1:7" hidden="1">
      <c r="A2405" s="202" t="s">
        <v>1612</v>
      </c>
      <c r="B2405" s="203">
        <v>30000</v>
      </c>
      <c r="C2405" s="203">
        <v>0</v>
      </c>
      <c r="D2405" s="202" t="s">
        <v>440</v>
      </c>
      <c r="E2405" s="202" t="s">
        <v>638</v>
      </c>
      <c r="F2405" s="202" t="s">
        <v>652</v>
      </c>
      <c r="G2405" s="202" t="s">
        <v>688</v>
      </c>
    </row>
    <row r="2406" spans="1:7" hidden="1">
      <c r="A2406" s="202" t="s">
        <v>1613</v>
      </c>
      <c r="B2406" s="203">
        <v>3500</v>
      </c>
      <c r="C2406" s="203">
        <v>0</v>
      </c>
      <c r="D2406" s="202" t="s">
        <v>442</v>
      </c>
      <c r="E2406" s="202" t="s">
        <v>638</v>
      </c>
      <c r="F2406" s="202" t="s">
        <v>396</v>
      </c>
      <c r="G2406" s="202" t="s">
        <v>688</v>
      </c>
    </row>
    <row r="2407" spans="1:7" hidden="1">
      <c r="A2407" s="202" t="s">
        <v>1614</v>
      </c>
      <c r="B2407" s="203">
        <v>26200</v>
      </c>
      <c r="C2407" s="203">
        <v>0</v>
      </c>
      <c r="D2407" s="202" t="s">
        <v>440</v>
      </c>
      <c r="E2407" s="202" t="s">
        <v>638</v>
      </c>
      <c r="F2407" s="202" t="s">
        <v>652</v>
      </c>
      <c r="G2407" s="202" t="s">
        <v>688</v>
      </c>
    </row>
    <row r="2408" spans="1:7" hidden="1">
      <c r="A2408" s="202" t="s">
        <v>1615</v>
      </c>
      <c r="B2408" s="203">
        <v>15600</v>
      </c>
      <c r="C2408" s="203">
        <v>0</v>
      </c>
      <c r="D2408" s="202" t="s">
        <v>440</v>
      </c>
      <c r="E2408" s="202" t="s">
        <v>638</v>
      </c>
      <c r="F2408" s="202" t="s">
        <v>652</v>
      </c>
      <c r="G2408" s="202" t="s">
        <v>688</v>
      </c>
    </row>
    <row r="2409" spans="1:7" hidden="1">
      <c r="A2409" s="202" t="s">
        <v>1616</v>
      </c>
      <c r="B2409" s="203">
        <v>3400</v>
      </c>
      <c r="C2409" s="203">
        <v>0</v>
      </c>
      <c r="D2409" s="202" t="s">
        <v>442</v>
      </c>
      <c r="E2409" s="202" t="s">
        <v>638</v>
      </c>
      <c r="F2409" s="202" t="s">
        <v>396</v>
      </c>
      <c r="G2409" s="202" t="s">
        <v>688</v>
      </c>
    </row>
    <row r="2410" spans="1:7" hidden="1">
      <c r="A2410" s="202" t="s">
        <v>1617</v>
      </c>
      <c r="B2410" s="203">
        <v>17000</v>
      </c>
      <c r="C2410" s="203">
        <v>0</v>
      </c>
      <c r="D2410" s="202" t="s">
        <v>440</v>
      </c>
      <c r="E2410" s="202" t="s">
        <v>638</v>
      </c>
      <c r="F2410" s="202" t="s">
        <v>652</v>
      </c>
      <c r="G2410" s="202" t="s">
        <v>688</v>
      </c>
    </row>
    <row r="2411" spans="1:7" hidden="1">
      <c r="A2411" s="202" t="s">
        <v>1618</v>
      </c>
      <c r="B2411" s="203">
        <v>7200</v>
      </c>
      <c r="C2411" s="203">
        <v>0</v>
      </c>
      <c r="D2411" s="202" t="s">
        <v>442</v>
      </c>
      <c r="E2411" s="202" t="s">
        <v>638</v>
      </c>
      <c r="F2411" s="202" t="s">
        <v>396</v>
      </c>
      <c r="G2411" s="202" t="s">
        <v>688</v>
      </c>
    </row>
    <row r="2412" spans="1:7" hidden="1">
      <c r="A2412" s="202" t="s">
        <v>1619</v>
      </c>
      <c r="B2412" s="203">
        <v>7400</v>
      </c>
      <c r="C2412" s="203">
        <v>0</v>
      </c>
      <c r="D2412" s="202" t="s">
        <v>442</v>
      </c>
      <c r="E2412" s="202" t="s">
        <v>638</v>
      </c>
      <c r="F2412" s="202" t="s">
        <v>396</v>
      </c>
      <c r="G2412" s="202" t="s">
        <v>688</v>
      </c>
    </row>
    <row r="2413" spans="1:7" hidden="1">
      <c r="A2413" s="202" t="s">
        <v>1620</v>
      </c>
      <c r="B2413" s="203">
        <v>28800</v>
      </c>
      <c r="C2413" s="203">
        <v>0</v>
      </c>
      <c r="D2413" s="202" t="s">
        <v>440</v>
      </c>
      <c r="E2413" s="202" t="s">
        <v>638</v>
      </c>
      <c r="F2413" s="202" t="s">
        <v>652</v>
      </c>
      <c r="G2413" s="202" t="s">
        <v>688</v>
      </c>
    </row>
    <row r="2414" spans="1:7" hidden="1">
      <c r="A2414" s="202" t="s">
        <v>1621</v>
      </c>
      <c r="B2414" s="203">
        <v>15200</v>
      </c>
      <c r="C2414" s="203">
        <v>0</v>
      </c>
      <c r="D2414" s="202" t="s">
        <v>442</v>
      </c>
      <c r="E2414" s="202" t="s">
        <v>638</v>
      </c>
      <c r="F2414" s="202" t="s">
        <v>396</v>
      </c>
      <c r="G2414" s="202" t="s">
        <v>688</v>
      </c>
    </row>
    <row r="2415" spans="1:7" hidden="1">
      <c r="A2415" s="202" t="s">
        <v>1622</v>
      </c>
      <c r="B2415" s="203">
        <v>5000</v>
      </c>
      <c r="C2415" s="203">
        <v>0</v>
      </c>
      <c r="D2415" s="202" t="s">
        <v>442</v>
      </c>
      <c r="E2415" s="202" t="s">
        <v>638</v>
      </c>
      <c r="F2415" s="202" t="s">
        <v>396</v>
      </c>
      <c r="G2415" s="202" t="s">
        <v>688</v>
      </c>
    </row>
    <row r="2416" spans="1:7" hidden="1">
      <c r="A2416" s="202" t="s">
        <v>1623</v>
      </c>
      <c r="B2416" s="203">
        <v>42000</v>
      </c>
      <c r="C2416" s="203">
        <v>0</v>
      </c>
      <c r="D2416" s="202" t="s">
        <v>440</v>
      </c>
      <c r="E2416" s="202" t="s">
        <v>638</v>
      </c>
      <c r="F2416" s="202" t="s">
        <v>652</v>
      </c>
      <c r="G2416" s="202" t="s">
        <v>688</v>
      </c>
    </row>
    <row r="2417" spans="1:7" hidden="1">
      <c r="A2417" s="202" t="s">
        <v>1624</v>
      </c>
      <c r="B2417" s="203">
        <v>136900</v>
      </c>
      <c r="C2417" s="203">
        <v>0</v>
      </c>
      <c r="D2417" s="202" t="s">
        <v>440</v>
      </c>
      <c r="E2417" s="202" t="s">
        <v>638</v>
      </c>
      <c r="F2417" s="202" t="s">
        <v>652</v>
      </c>
      <c r="G2417" s="202" t="s">
        <v>688</v>
      </c>
    </row>
    <row r="2418" spans="1:7" hidden="1">
      <c r="A2418" s="202" t="s">
        <v>1625</v>
      </c>
      <c r="B2418" s="203">
        <v>10034</v>
      </c>
      <c r="C2418" s="203">
        <v>0</v>
      </c>
      <c r="D2418" s="202" t="s">
        <v>442</v>
      </c>
      <c r="E2418" s="202" t="s">
        <v>638</v>
      </c>
      <c r="F2418" s="202" t="s">
        <v>396</v>
      </c>
      <c r="G2418" s="202" t="s">
        <v>688</v>
      </c>
    </row>
    <row r="2419" spans="1:7" hidden="1">
      <c r="A2419" s="202" t="s">
        <v>1626</v>
      </c>
      <c r="B2419" s="203">
        <v>4300</v>
      </c>
      <c r="C2419" s="203">
        <v>0</v>
      </c>
      <c r="D2419" s="202" t="s">
        <v>442</v>
      </c>
      <c r="E2419" s="202" t="s">
        <v>638</v>
      </c>
      <c r="F2419" s="202" t="s">
        <v>396</v>
      </c>
      <c r="G2419" s="202" t="s">
        <v>688</v>
      </c>
    </row>
    <row r="2420" spans="1:7" hidden="1">
      <c r="A2420" s="202" t="s">
        <v>1627</v>
      </c>
      <c r="B2420" s="203">
        <v>3600</v>
      </c>
      <c r="C2420" s="203">
        <v>0</v>
      </c>
      <c r="D2420" s="202" t="s">
        <v>442</v>
      </c>
      <c r="E2420" s="202" t="s">
        <v>638</v>
      </c>
      <c r="F2420" s="202" t="s">
        <v>396</v>
      </c>
      <c r="G2420" s="202" t="s">
        <v>688</v>
      </c>
    </row>
    <row r="2421" spans="1:7" hidden="1">
      <c r="A2421" s="202" t="s">
        <v>1627</v>
      </c>
      <c r="B2421" s="203">
        <v>16600</v>
      </c>
      <c r="C2421" s="203">
        <v>0</v>
      </c>
      <c r="D2421" s="202" t="s">
        <v>474</v>
      </c>
      <c r="E2421" s="202" t="s">
        <v>638</v>
      </c>
      <c r="F2421" s="202" t="s">
        <v>396</v>
      </c>
      <c r="G2421" s="202" t="s">
        <v>688</v>
      </c>
    </row>
    <row r="2422" spans="1:7" hidden="1">
      <c r="A2422" s="202" t="s">
        <v>1628</v>
      </c>
      <c r="B2422" s="203">
        <v>3000</v>
      </c>
      <c r="C2422" s="203">
        <v>0</v>
      </c>
      <c r="D2422" s="202" t="s">
        <v>442</v>
      </c>
      <c r="E2422" s="202" t="s">
        <v>638</v>
      </c>
      <c r="F2422" s="202" t="s">
        <v>396</v>
      </c>
      <c r="G2422" s="202" t="s">
        <v>688</v>
      </c>
    </row>
    <row r="2423" spans="1:7" hidden="1">
      <c r="A2423" s="202" t="s">
        <v>1629</v>
      </c>
      <c r="B2423" s="203">
        <v>9200</v>
      </c>
      <c r="C2423" s="203">
        <v>0</v>
      </c>
      <c r="D2423" s="202" t="s">
        <v>440</v>
      </c>
      <c r="E2423" s="202" t="s">
        <v>638</v>
      </c>
      <c r="F2423" s="202" t="s">
        <v>652</v>
      </c>
      <c r="G2423" s="202" t="s">
        <v>688</v>
      </c>
    </row>
    <row r="2424" spans="1:7" hidden="1">
      <c r="A2424" s="202" t="s">
        <v>1630</v>
      </c>
      <c r="B2424" s="203">
        <v>3000</v>
      </c>
      <c r="C2424" s="203">
        <v>0</v>
      </c>
      <c r="D2424" s="202" t="s">
        <v>442</v>
      </c>
      <c r="E2424" s="202" t="s">
        <v>638</v>
      </c>
      <c r="F2424" s="202" t="s">
        <v>396</v>
      </c>
      <c r="G2424" s="202" t="s">
        <v>688</v>
      </c>
    </row>
    <row r="2425" spans="1:7" hidden="1">
      <c r="A2425" s="202" t="s">
        <v>1631</v>
      </c>
      <c r="B2425" s="203">
        <v>14800</v>
      </c>
      <c r="C2425" s="203">
        <v>0</v>
      </c>
      <c r="D2425" s="202" t="s">
        <v>440</v>
      </c>
      <c r="E2425" s="202" t="s">
        <v>638</v>
      </c>
      <c r="F2425" s="202" t="s">
        <v>652</v>
      </c>
      <c r="G2425" s="202" t="s">
        <v>688</v>
      </c>
    </row>
    <row r="2426" spans="1:7" hidden="1">
      <c r="A2426" s="202" t="s">
        <v>1632</v>
      </c>
      <c r="B2426" s="203">
        <v>3100</v>
      </c>
      <c r="C2426" s="203">
        <v>0</v>
      </c>
      <c r="D2426" s="202" t="s">
        <v>442</v>
      </c>
      <c r="E2426" s="202" t="s">
        <v>638</v>
      </c>
      <c r="F2426" s="202" t="s">
        <v>396</v>
      </c>
      <c r="G2426" s="202" t="s">
        <v>688</v>
      </c>
    </row>
    <row r="2427" spans="1:7" hidden="1">
      <c r="A2427" s="202" t="s">
        <v>1633</v>
      </c>
      <c r="B2427" s="203">
        <v>3200</v>
      </c>
      <c r="C2427" s="203">
        <v>0</v>
      </c>
      <c r="D2427" s="202" t="s">
        <v>442</v>
      </c>
      <c r="E2427" s="202" t="s">
        <v>638</v>
      </c>
      <c r="F2427" s="202" t="s">
        <v>396</v>
      </c>
      <c r="G2427" s="202" t="s">
        <v>688</v>
      </c>
    </row>
    <row r="2428" spans="1:7" hidden="1">
      <c r="A2428" s="202" t="s">
        <v>1634</v>
      </c>
      <c r="B2428" s="203">
        <v>20800</v>
      </c>
      <c r="C2428" s="203">
        <v>0</v>
      </c>
      <c r="D2428" s="202" t="s">
        <v>440</v>
      </c>
      <c r="E2428" s="202" t="s">
        <v>638</v>
      </c>
      <c r="F2428" s="202" t="s">
        <v>652</v>
      </c>
      <c r="G2428" s="202" t="s">
        <v>688</v>
      </c>
    </row>
    <row r="2429" spans="1:7" hidden="1">
      <c r="A2429" s="202" t="s">
        <v>1635</v>
      </c>
      <c r="B2429" s="203">
        <v>20800</v>
      </c>
      <c r="C2429" s="203">
        <v>0</v>
      </c>
      <c r="D2429" s="202" t="s">
        <v>442</v>
      </c>
      <c r="E2429" s="202" t="s">
        <v>638</v>
      </c>
      <c r="F2429" s="202" t="s">
        <v>396</v>
      </c>
      <c r="G2429" s="202" t="s">
        <v>688</v>
      </c>
    </row>
    <row r="2430" spans="1:7" hidden="1">
      <c r="A2430" s="202" t="s">
        <v>1636</v>
      </c>
      <c r="B2430" s="203">
        <v>2700</v>
      </c>
      <c r="C2430" s="203">
        <v>0</v>
      </c>
      <c r="D2430" s="202" t="s">
        <v>440</v>
      </c>
      <c r="E2430" s="202" t="s">
        <v>638</v>
      </c>
      <c r="F2430" s="202" t="s">
        <v>409</v>
      </c>
      <c r="G2430" s="202" t="s">
        <v>688</v>
      </c>
    </row>
    <row r="2431" spans="1:7" hidden="1">
      <c r="A2431" s="202" t="s">
        <v>1637</v>
      </c>
      <c r="B2431" s="203">
        <v>16700</v>
      </c>
      <c r="C2431" s="203">
        <v>0</v>
      </c>
      <c r="D2431" s="202" t="s">
        <v>440</v>
      </c>
      <c r="E2431" s="202" t="s">
        <v>638</v>
      </c>
      <c r="F2431" s="202" t="s">
        <v>652</v>
      </c>
      <c r="G2431" s="202" t="s">
        <v>688</v>
      </c>
    </row>
    <row r="2432" spans="1:7" hidden="1">
      <c r="A2432" s="202" t="s">
        <v>1638</v>
      </c>
      <c r="B2432" s="203">
        <v>23900</v>
      </c>
      <c r="C2432" s="203">
        <v>0</v>
      </c>
      <c r="D2432" s="202" t="s">
        <v>440</v>
      </c>
      <c r="E2432" s="202" t="s">
        <v>638</v>
      </c>
      <c r="F2432" s="202" t="s">
        <v>652</v>
      </c>
      <c r="G2432" s="202" t="s">
        <v>688</v>
      </c>
    </row>
    <row r="2433" spans="1:7" hidden="1">
      <c r="A2433" s="202" t="s">
        <v>1639</v>
      </c>
      <c r="B2433" s="203">
        <v>6600</v>
      </c>
      <c r="C2433" s="203">
        <v>0</v>
      </c>
      <c r="D2433" s="202" t="s">
        <v>440</v>
      </c>
      <c r="E2433" s="202" t="s">
        <v>638</v>
      </c>
      <c r="F2433" s="202" t="s">
        <v>652</v>
      </c>
      <c r="G2433" s="202" t="s">
        <v>688</v>
      </c>
    </row>
    <row r="2434" spans="1:7" hidden="1">
      <c r="A2434" s="202" t="s">
        <v>1640</v>
      </c>
      <c r="B2434" s="203">
        <v>3100</v>
      </c>
      <c r="C2434" s="203">
        <v>0</v>
      </c>
      <c r="D2434" s="202" t="s">
        <v>440</v>
      </c>
      <c r="E2434" s="202" t="s">
        <v>638</v>
      </c>
      <c r="F2434" s="202" t="s">
        <v>652</v>
      </c>
      <c r="G2434" s="202" t="s">
        <v>688</v>
      </c>
    </row>
    <row r="2435" spans="1:7" hidden="1">
      <c r="A2435" s="202" t="s">
        <v>1641</v>
      </c>
      <c r="B2435" s="203">
        <v>400</v>
      </c>
      <c r="C2435" s="203">
        <v>0</v>
      </c>
      <c r="D2435" s="202" t="s">
        <v>440</v>
      </c>
      <c r="E2435" s="202" t="s">
        <v>638</v>
      </c>
      <c r="F2435" s="202" t="s">
        <v>652</v>
      </c>
      <c r="G2435" s="202" t="s">
        <v>688</v>
      </c>
    </row>
    <row r="2436" spans="1:7" hidden="1">
      <c r="A2436" s="202" t="s">
        <v>1642</v>
      </c>
      <c r="B2436" s="203">
        <v>18700</v>
      </c>
      <c r="C2436" s="203">
        <v>0</v>
      </c>
      <c r="D2436" s="202" t="s">
        <v>440</v>
      </c>
      <c r="E2436" s="202" t="s">
        <v>638</v>
      </c>
      <c r="F2436" s="202" t="s">
        <v>652</v>
      </c>
      <c r="G2436" s="202" t="s">
        <v>688</v>
      </c>
    </row>
    <row r="2437" spans="1:7" hidden="1">
      <c r="A2437" s="202" t="s">
        <v>1643</v>
      </c>
      <c r="B2437" s="203">
        <v>66100</v>
      </c>
      <c r="C2437" s="203">
        <v>0</v>
      </c>
      <c r="D2437" s="202" t="s">
        <v>440</v>
      </c>
      <c r="E2437" s="202" t="s">
        <v>638</v>
      </c>
      <c r="F2437" s="202" t="s">
        <v>652</v>
      </c>
      <c r="G2437" s="202" t="s">
        <v>688</v>
      </c>
    </row>
    <row r="2438" spans="1:7" hidden="1">
      <c r="A2438" s="202" t="s">
        <v>1644</v>
      </c>
      <c r="B2438" s="203">
        <v>4800</v>
      </c>
      <c r="C2438" s="203">
        <v>0</v>
      </c>
      <c r="D2438" s="202" t="s">
        <v>440</v>
      </c>
      <c r="E2438" s="202" t="s">
        <v>638</v>
      </c>
      <c r="F2438" s="202" t="s">
        <v>652</v>
      </c>
      <c r="G2438" s="202" t="s">
        <v>688</v>
      </c>
    </row>
    <row r="2439" spans="1:7" hidden="1">
      <c r="A2439" s="202" t="s">
        <v>1645</v>
      </c>
      <c r="B2439" s="203">
        <v>21200</v>
      </c>
      <c r="C2439" s="203">
        <v>0</v>
      </c>
      <c r="D2439" s="202" t="s">
        <v>440</v>
      </c>
      <c r="E2439" s="202" t="s">
        <v>638</v>
      </c>
      <c r="F2439" s="202" t="s">
        <v>652</v>
      </c>
      <c r="G2439" s="202" t="s">
        <v>688</v>
      </c>
    </row>
    <row r="2440" spans="1:7" hidden="1">
      <c r="A2440" s="202" t="s">
        <v>1646</v>
      </c>
      <c r="B2440" s="203">
        <v>1200</v>
      </c>
      <c r="C2440" s="203">
        <v>0</v>
      </c>
      <c r="D2440" s="202" t="s">
        <v>442</v>
      </c>
      <c r="E2440" s="202" t="s">
        <v>638</v>
      </c>
      <c r="F2440" s="202" t="s">
        <v>396</v>
      </c>
      <c r="G2440" s="202" t="s">
        <v>688</v>
      </c>
    </row>
    <row r="2441" spans="1:7" hidden="1">
      <c r="A2441" s="202" t="s">
        <v>1647</v>
      </c>
      <c r="B2441" s="203">
        <v>3100</v>
      </c>
      <c r="C2441" s="203">
        <v>0</v>
      </c>
      <c r="D2441" s="202" t="s">
        <v>442</v>
      </c>
      <c r="E2441" s="202" t="s">
        <v>638</v>
      </c>
      <c r="F2441" s="202" t="s">
        <v>396</v>
      </c>
      <c r="G2441" s="202" t="s">
        <v>688</v>
      </c>
    </row>
    <row r="2442" spans="1:7" hidden="1">
      <c r="A2442" s="202" t="s">
        <v>1648</v>
      </c>
      <c r="B2442" s="203">
        <v>700</v>
      </c>
      <c r="C2442" s="203">
        <v>0</v>
      </c>
      <c r="D2442" s="202" t="s">
        <v>442</v>
      </c>
      <c r="E2442" s="202" t="s">
        <v>638</v>
      </c>
      <c r="F2442" s="202" t="s">
        <v>396</v>
      </c>
      <c r="G2442" s="202" t="s">
        <v>688</v>
      </c>
    </row>
    <row r="2443" spans="1:7" hidden="1">
      <c r="A2443" s="202" t="s">
        <v>1649</v>
      </c>
      <c r="B2443" s="203">
        <v>20900</v>
      </c>
      <c r="C2443" s="203">
        <v>0</v>
      </c>
      <c r="D2443" s="202" t="s">
        <v>440</v>
      </c>
      <c r="E2443" s="202" t="s">
        <v>638</v>
      </c>
      <c r="F2443" s="202" t="s">
        <v>652</v>
      </c>
      <c r="G2443" s="202" t="s">
        <v>688</v>
      </c>
    </row>
    <row r="2444" spans="1:7" hidden="1">
      <c r="A2444" s="202" t="s">
        <v>1650</v>
      </c>
      <c r="B2444" s="203">
        <v>13800</v>
      </c>
      <c r="C2444" s="203">
        <v>0</v>
      </c>
      <c r="D2444" s="202" t="s">
        <v>440</v>
      </c>
      <c r="E2444" s="202" t="s">
        <v>638</v>
      </c>
      <c r="F2444" s="202" t="s">
        <v>652</v>
      </c>
      <c r="G2444" s="202" t="s">
        <v>688</v>
      </c>
    </row>
    <row r="2445" spans="1:7" hidden="1">
      <c r="A2445" s="202" t="s">
        <v>1651</v>
      </c>
      <c r="B2445" s="203">
        <v>1400</v>
      </c>
      <c r="C2445" s="203">
        <v>0</v>
      </c>
      <c r="D2445" s="202" t="s">
        <v>442</v>
      </c>
      <c r="E2445" s="202" t="s">
        <v>638</v>
      </c>
      <c r="F2445" s="202" t="s">
        <v>396</v>
      </c>
      <c r="G2445" s="202" t="s">
        <v>688</v>
      </c>
    </row>
    <row r="2446" spans="1:7" hidden="1">
      <c r="A2446" s="202" t="s">
        <v>1652</v>
      </c>
      <c r="B2446" s="203">
        <v>29800</v>
      </c>
      <c r="C2446" s="203">
        <v>0</v>
      </c>
      <c r="D2446" s="202" t="s">
        <v>440</v>
      </c>
      <c r="E2446" s="202" t="s">
        <v>638</v>
      </c>
      <c r="F2446" s="202" t="s">
        <v>652</v>
      </c>
      <c r="G2446" s="202" t="s">
        <v>688</v>
      </c>
    </row>
    <row r="2447" spans="1:7" hidden="1">
      <c r="A2447" s="202" t="s">
        <v>1653</v>
      </c>
      <c r="B2447" s="203">
        <v>4600</v>
      </c>
      <c r="C2447" s="203">
        <v>0</v>
      </c>
      <c r="D2447" s="202" t="s">
        <v>440</v>
      </c>
      <c r="E2447" s="202" t="s">
        <v>638</v>
      </c>
      <c r="F2447" s="202" t="s">
        <v>652</v>
      </c>
      <c r="G2447" s="202" t="s">
        <v>688</v>
      </c>
    </row>
    <row r="2448" spans="1:7" hidden="1">
      <c r="A2448" s="202" t="s">
        <v>1654</v>
      </c>
      <c r="B2448" s="203">
        <v>25400</v>
      </c>
      <c r="C2448" s="203">
        <v>0</v>
      </c>
      <c r="D2448" s="202" t="s">
        <v>440</v>
      </c>
      <c r="E2448" s="202" t="s">
        <v>638</v>
      </c>
      <c r="F2448" s="202" t="s">
        <v>652</v>
      </c>
      <c r="G2448" s="202" t="s">
        <v>688</v>
      </c>
    </row>
    <row r="2449" spans="1:7" hidden="1">
      <c r="A2449" s="202" t="s">
        <v>1655</v>
      </c>
      <c r="B2449" s="203">
        <v>26700</v>
      </c>
      <c r="C2449" s="203">
        <v>0</v>
      </c>
      <c r="D2449" s="202" t="s">
        <v>440</v>
      </c>
      <c r="E2449" s="202" t="s">
        <v>638</v>
      </c>
      <c r="F2449" s="202" t="s">
        <v>652</v>
      </c>
      <c r="G2449" s="202" t="s">
        <v>688</v>
      </c>
    </row>
    <row r="2450" spans="1:7" hidden="1">
      <c r="A2450" s="202" t="s">
        <v>1656</v>
      </c>
      <c r="B2450" s="203">
        <v>12100</v>
      </c>
      <c r="C2450" s="203">
        <v>0</v>
      </c>
      <c r="D2450" s="202" t="s">
        <v>440</v>
      </c>
      <c r="E2450" s="202" t="s">
        <v>638</v>
      </c>
      <c r="F2450" s="202" t="s">
        <v>652</v>
      </c>
      <c r="G2450" s="202" t="s">
        <v>688</v>
      </c>
    </row>
    <row r="2451" spans="1:7" hidden="1">
      <c r="A2451" s="202" t="s">
        <v>1657</v>
      </c>
      <c r="B2451" s="203">
        <v>2500</v>
      </c>
      <c r="C2451" s="203">
        <v>0</v>
      </c>
      <c r="D2451" s="202" t="s">
        <v>442</v>
      </c>
      <c r="E2451" s="202" t="s">
        <v>638</v>
      </c>
      <c r="F2451" s="202" t="s">
        <v>396</v>
      </c>
      <c r="G2451" s="202" t="s">
        <v>688</v>
      </c>
    </row>
    <row r="2452" spans="1:7" hidden="1">
      <c r="A2452" s="202" t="s">
        <v>1658</v>
      </c>
      <c r="B2452" s="203">
        <v>1100</v>
      </c>
      <c r="C2452" s="203">
        <v>0</v>
      </c>
      <c r="D2452" s="202" t="s">
        <v>442</v>
      </c>
      <c r="E2452" s="202" t="s">
        <v>638</v>
      </c>
      <c r="F2452" s="202" t="s">
        <v>396</v>
      </c>
      <c r="G2452" s="202" t="s">
        <v>688</v>
      </c>
    </row>
    <row r="2453" spans="1:7" hidden="1">
      <c r="A2453" s="202" t="s">
        <v>1659</v>
      </c>
      <c r="B2453" s="203">
        <v>4300</v>
      </c>
      <c r="C2453" s="203">
        <v>0</v>
      </c>
      <c r="D2453" s="202" t="s">
        <v>440</v>
      </c>
      <c r="E2453" s="202" t="s">
        <v>638</v>
      </c>
      <c r="F2453" s="202" t="s">
        <v>652</v>
      </c>
      <c r="G2453" s="202" t="s">
        <v>688</v>
      </c>
    </row>
    <row r="2454" spans="1:7" hidden="1">
      <c r="A2454" s="202" t="s">
        <v>1660</v>
      </c>
      <c r="B2454" s="203">
        <v>-76700</v>
      </c>
      <c r="C2454" s="203">
        <v>0</v>
      </c>
      <c r="D2454" s="202" t="s">
        <v>440</v>
      </c>
      <c r="E2454" s="202" t="s">
        <v>638</v>
      </c>
      <c r="F2454" s="202" t="s">
        <v>652</v>
      </c>
      <c r="G2454" s="202" t="s">
        <v>688</v>
      </c>
    </row>
    <row r="2455" spans="1:7" hidden="1">
      <c r="A2455" s="202" t="s">
        <v>1661</v>
      </c>
      <c r="B2455" s="203">
        <v>-3700</v>
      </c>
      <c r="C2455" s="203">
        <v>0</v>
      </c>
      <c r="D2455" s="202" t="s">
        <v>442</v>
      </c>
      <c r="E2455" s="202" t="s">
        <v>638</v>
      </c>
      <c r="F2455" s="202" t="s">
        <v>396</v>
      </c>
      <c r="G2455" s="202" t="s">
        <v>688</v>
      </c>
    </row>
    <row r="2456" spans="1:7" hidden="1">
      <c r="A2456" s="202" t="s">
        <v>657</v>
      </c>
      <c r="B2456" s="203">
        <v>-2123</v>
      </c>
      <c r="C2456" s="203">
        <v>0</v>
      </c>
      <c r="D2456" s="202" t="s">
        <v>440</v>
      </c>
      <c r="E2456" s="202" t="s">
        <v>439</v>
      </c>
      <c r="F2456" s="202" t="s">
        <v>394</v>
      </c>
      <c r="G2456" s="202" t="s">
        <v>688</v>
      </c>
    </row>
    <row r="2457" spans="1:7" hidden="1">
      <c r="A2457" s="202" t="s">
        <v>658</v>
      </c>
      <c r="B2457" s="203">
        <v>2470</v>
      </c>
      <c r="C2457" s="203">
        <v>0</v>
      </c>
      <c r="D2457" s="202" t="s">
        <v>440</v>
      </c>
      <c r="E2457" s="202" t="s">
        <v>317</v>
      </c>
      <c r="F2457" s="202" t="s">
        <v>394</v>
      </c>
      <c r="G2457" s="202" t="s">
        <v>688</v>
      </c>
    </row>
    <row r="2458" spans="1:7" hidden="1">
      <c r="A2458" s="202" t="s">
        <v>658</v>
      </c>
      <c r="B2458" s="203">
        <v>-2470</v>
      </c>
      <c r="C2458" s="203">
        <v>0</v>
      </c>
      <c r="D2458" s="202" t="s">
        <v>440</v>
      </c>
      <c r="E2458" s="202" t="s">
        <v>317</v>
      </c>
      <c r="F2458" s="202" t="s">
        <v>441</v>
      </c>
      <c r="G2458" s="202" t="s">
        <v>688</v>
      </c>
    </row>
    <row r="2459" spans="1:7">
      <c r="A2459" s="202" t="s">
        <v>658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394</v>
      </c>
      <c r="G2459" s="202" t="s">
        <v>688</v>
      </c>
    </row>
    <row r="2460" spans="1:7">
      <c r="A2460" s="202" t="s">
        <v>658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393</v>
      </c>
      <c r="G2460" s="202" t="s">
        <v>688</v>
      </c>
    </row>
    <row r="2461" spans="1:7">
      <c r="A2461" s="202" t="s">
        <v>658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441</v>
      </c>
      <c r="G2461" s="202" t="s">
        <v>688</v>
      </c>
    </row>
    <row r="2462" spans="1:7">
      <c r="A2462" s="202" t="s">
        <v>661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394</v>
      </c>
      <c r="G2462" s="202" t="s">
        <v>688</v>
      </c>
    </row>
    <row r="2463" spans="1:7">
      <c r="A2463" s="202" t="s">
        <v>661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413</v>
      </c>
      <c r="G2463" s="202" t="s">
        <v>688</v>
      </c>
    </row>
    <row r="2464" spans="1:7">
      <c r="A2464" s="202" t="s">
        <v>662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394</v>
      </c>
      <c r="G2464" s="202" t="s">
        <v>688</v>
      </c>
    </row>
    <row r="2465" spans="1:7">
      <c r="A2465" s="202" t="s">
        <v>662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445</v>
      </c>
      <c r="G2465" s="202" t="s">
        <v>688</v>
      </c>
    </row>
    <row r="2466" spans="1:7">
      <c r="A2466" s="202" t="s">
        <v>662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404</v>
      </c>
      <c r="G2466" s="202" t="s">
        <v>688</v>
      </c>
    </row>
    <row r="2467" spans="1:7">
      <c r="A2467" s="202" t="s">
        <v>662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393</v>
      </c>
      <c r="G2467" s="202" t="s">
        <v>688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394</v>
      </c>
      <c r="G2468" s="202" t="s">
        <v>688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445</v>
      </c>
      <c r="G2469" s="202" t="s">
        <v>688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393</v>
      </c>
      <c r="G2470" s="202" t="s">
        <v>688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407</v>
      </c>
      <c r="G2471" s="202" t="s">
        <v>688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449</v>
      </c>
      <c r="G2472" s="202" t="s">
        <v>688</v>
      </c>
    </row>
    <row r="2473" spans="1:7" hidden="1">
      <c r="A2473" s="202" t="s">
        <v>665</v>
      </c>
      <c r="B2473" s="203">
        <v>-433</v>
      </c>
      <c r="C2473" s="203">
        <v>0</v>
      </c>
      <c r="D2473" s="202" t="s">
        <v>442</v>
      </c>
      <c r="E2473" s="202" t="s">
        <v>317</v>
      </c>
      <c r="F2473" s="202" t="s">
        <v>394</v>
      </c>
      <c r="G2473" s="202" t="s">
        <v>688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394</v>
      </c>
      <c r="G2474" s="202" t="s">
        <v>688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441</v>
      </c>
      <c r="G2475" s="202" t="s">
        <v>688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394</v>
      </c>
      <c r="G2476" s="202" t="s">
        <v>688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393</v>
      </c>
      <c r="G2477" s="202" t="s">
        <v>688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413</v>
      </c>
      <c r="G2478" s="202" t="s">
        <v>688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403</v>
      </c>
      <c r="G2479" s="202" t="s">
        <v>688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441</v>
      </c>
      <c r="G2480" s="202" t="s">
        <v>688</v>
      </c>
    </row>
    <row r="2481" spans="1:7" hidden="1">
      <c r="A2481" s="202" t="s">
        <v>666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394</v>
      </c>
      <c r="G2481" s="202" t="s">
        <v>688</v>
      </c>
    </row>
    <row r="2482" spans="1:7">
      <c r="A2482" s="202" t="s">
        <v>666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394</v>
      </c>
      <c r="G2482" s="202" t="s">
        <v>688</v>
      </c>
    </row>
    <row r="2483" spans="1:7">
      <c r="A2483" s="202" t="s">
        <v>666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408</v>
      </c>
      <c r="G2483" s="202" t="s">
        <v>688</v>
      </c>
    </row>
    <row r="2484" spans="1:7" hidden="1">
      <c r="A2484" s="202" t="s">
        <v>670</v>
      </c>
      <c r="B2484" s="203">
        <v>-1850</v>
      </c>
      <c r="C2484" s="203">
        <v>0</v>
      </c>
      <c r="D2484" s="202" t="s">
        <v>440</v>
      </c>
      <c r="E2484" s="202" t="s">
        <v>439</v>
      </c>
      <c r="F2484" s="202" t="s">
        <v>394</v>
      </c>
      <c r="G2484" s="202" t="s">
        <v>688</v>
      </c>
    </row>
    <row r="2485" spans="1:7" hidden="1">
      <c r="A2485" s="202" t="s">
        <v>671</v>
      </c>
      <c r="B2485" s="203">
        <v>7000000</v>
      </c>
      <c r="C2485" s="203">
        <v>0</v>
      </c>
      <c r="D2485" s="202" t="s">
        <v>437</v>
      </c>
      <c r="E2485" s="202" t="s">
        <v>672</v>
      </c>
      <c r="F2485" s="202" t="s">
        <v>673</v>
      </c>
      <c r="G2485" s="202" t="s">
        <v>688</v>
      </c>
    </row>
    <row r="2486" spans="1:7" hidden="1">
      <c r="A2486" s="202" t="s">
        <v>674</v>
      </c>
      <c r="B2486" s="203">
        <v>9800000</v>
      </c>
      <c r="C2486" s="203">
        <v>0</v>
      </c>
      <c r="D2486" s="202" t="s">
        <v>437</v>
      </c>
      <c r="E2486" s="202" t="s">
        <v>672</v>
      </c>
      <c r="F2486" s="202" t="s">
        <v>673</v>
      </c>
      <c r="G2486" s="202" t="s">
        <v>688</v>
      </c>
    </row>
    <row r="2487" spans="1:7" hidden="1">
      <c r="A2487" s="202" t="s">
        <v>675</v>
      </c>
      <c r="B2487" s="203">
        <v>-7000000</v>
      </c>
      <c r="C2487" s="203">
        <v>0</v>
      </c>
      <c r="D2487" s="202" t="s">
        <v>437</v>
      </c>
      <c r="E2487" s="202" t="s">
        <v>672</v>
      </c>
      <c r="F2487" s="202" t="s">
        <v>673</v>
      </c>
      <c r="G2487" s="202" t="s">
        <v>688</v>
      </c>
    </row>
    <row r="2488" spans="1:7" hidden="1">
      <c r="A2488" s="202" t="s">
        <v>676</v>
      </c>
      <c r="B2488" s="203">
        <v>-9800000</v>
      </c>
      <c r="C2488" s="203">
        <v>0</v>
      </c>
      <c r="D2488" s="202" t="s">
        <v>437</v>
      </c>
      <c r="E2488" s="202" t="s">
        <v>672</v>
      </c>
      <c r="F2488" s="202" t="s">
        <v>673</v>
      </c>
      <c r="G2488" s="202" t="s">
        <v>688</v>
      </c>
    </row>
    <row r="2489" spans="1:7" hidden="1">
      <c r="A2489" s="202" t="s">
        <v>364</v>
      </c>
      <c r="B2489" s="203">
        <v>-2805</v>
      </c>
      <c r="C2489" s="203">
        <v>0</v>
      </c>
      <c r="D2489" s="202" t="s">
        <v>480</v>
      </c>
      <c r="E2489" s="202" t="s">
        <v>447</v>
      </c>
      <c r="F2489" s="202" t="s">
        <v>394</v>
      </c>
      <c r="G2489" s="202" t="s">
        <v>688</v>
      </c>
    </row>
    <row r="2490" spans="1:7" hidden="1">
      <c r="A2490" s="202" t="s">
        <v>364</v>
      </c>
      <c r="B2490" s="203">
        <v>2805</v>
      </c>
      <c r="C2490" s="203">
        <v>0</v>
      </c>
      <c r="D2490" s="202" t="s">
        <v>480</v>
      </c>
      <c r="E2490" s="202" t="s">
        <v>447</v>
      </c>
      <c r="F2490" s="202" t="s">
        <v>404</v>
      </c>
      <c r="G2490" s="202" t="s">
        <v>688</v>
      </c>
    </row>
    <row r="2491" spans="1:7" hidden="1">
      <c r="A2491" s="202" t="s">
        <v>364</v>
      </c>
      <c r="B2491" s="203">
        <v>2805</v>
      </c>
      <c r="C2491" s="203">
        <v>0</v>
      </c>
      <c r="D2491" s="202" t="s">
        <v>587</v>
      </c>
      <c r="E2491" s="202" t="s">
        <v>447</v>
      </c>
      <c r="F2491" s="202" t="s">
        <v>394</v>
      </c>
      <c r="G2491" s="202" t="s">
        <v>688</v>
      </c>
    </row>
    <row r="2492" spans="1:7" hidden="1">
      <c r="A2492" s="202" t="s">
        <v>364</v>
      </c>
      <c r="B2492" s="203">
        <v>-2805</v>
      </c>
      <c r="C2492" s="203">
        <v>0</v>
      </c>
      <c r="D2492" s="202" t="s">
        <v>587</v>
      </c>
      <c r="E2492" s="202" t="s">
        <v>447</v>
      </c>
      <c r="F2492" s="202" t="s">
        <v>404</v>
      </c>
      <c r="G2492" s="202" t="s">
        <v>688</v>
      </c>
    </row>
    <row r="2493" spans="1:7">
      <c r="A2493" s="202" t="s">
        <v>364</v>
      </c>
      <c r="B2493" s="203">
        <v>1015</v>
      </c>
      <c r="C2493" s="203">
        <v>0</v>
      </c>
      <c r="D2493" s="202" t="s">
        <v>282</v>
      </c>
      <c r="E2493" s="202" t="s">
        <v>447</v>
      </c>
      <c r="F2493" s="202" t="s">
        <v>394</v>
      </c>
      <c r="G2493" s="202" t="s">
        <v>688</v>
      </c>
    </row>
    <row r="2494" spans="1:7">
      <c r="A2494" s="202" t="s">
        <v>364</v>
      </c>
      <c r="B2494" s="203">
        <v>-809</v>
      </c>
      <c r="C2494" s="203">
        <v>0</v>
      </c>
      <c r="D2494" s="202" t="s">
        <v>282</v>
      </c>
      <c r="E2494" s="202" t="s">
        <v>447</v>
      </c>
      <c r="F2494" s="202" t="s">
        <v>397</v>
      </c>
      <c r="G2494" s="202" t="s">
        <v>688</v>
      </c>
    </row>
    <row r="2495" spans="1:7">
      <c r="A2495" s="202" t="s">
        <v>364</v>
      </c>
      <c r="B2495" s="203">
        <v>-206</v>
      </c>
      <c r="C2495" s="203">
        <v>0</v>
      </c>
      <c r="D2495" s="202" t="s">
        <v>282</v>
      </c>
      <c r="E2495" s="202" t="s">
        <v>447</v>
      </c>
      <c r="F2495" s="202" t="s">
        <v>393</v>
      </c>
      <c r="G2495" s="202" t="s">
        <v>688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394</v>
      </c>
      <c r="G2496" s="202" t="s">
        <v>688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441</v>
      </c>
      <c r="G2497" s="202" t="s">
        <v>688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394</v>
      </c>
      <c r="G2498" s="202" t="s">
        <v>688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393</v>
      </c>
      <c r="G2499" s="202" t="s">
        <v>688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413</v>
      </c>
      <c r="G2500" s="202" t="s">
        <v>688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403</v>
      </c>
      <c r="G2501" s="202" t="s">
        <v>688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441</v>
      </c>
      <c r="G2502" s="202" t="s">
        <v>688</v>
      </c>
    </row>
    <row r="2503" spans="1:7" hidden="1">
      <c r="A2503" s="202" t="s">
        <v>677</v>
      </c>
      <c r="B2503" s="203">
        <v>114626</v>
      </c>
      <c r="C2503" s="203">
        <v>0</v>
      </c>
      <c r="D2503" s="202" t="s">
        <v>440</v>
      </c>
      <c r="E2503" s="202" t="s">
        <v>39</v>
      </c>
      <c r="F2503" s="202" t="s">
        <v>394</v>
      </c>
      <c r="G2503" s="202" t="s">
        <v>688</v>
      </c>
    </row>
    <row r="2504" spans="1:7" hidden="1">
      <c r="A2504" s="202" t="s">
        <v>677</v>
      </c>
      <c r="B2504" s="203">
        <v>-11250</v>
      </c>
      <c r="C2504" s="203">
        <v>0</v>
      </c>
      <c r="D2504" s="202" t="s">
        <v>440</v>
      </c>
      <c r="E2504" s="202" t="s">
        <v>39</v>
      </c>
      <c r="F2504" s="202" t="s">
        <v>441</v>
      </c>
      <c r="G2504" s="202" t="s">
        <v>688</v>
      </c>
    </row>
    <row r="2505" spans="1:7" hidden="1">
      <c r="A2505" s="202" t="s">
        <v>677</v>
      </c>
      <c r="B2505" s="203">
        <v>-11250</v>
      </c>
      <c r="C2505" s="203">
        <v>0</v>
      </c>
      <c r="D2505" s="202" t="s">
        <v>437</v>
      </c>
      <c r="E2505" s="202" t="s">
        <v>39</v>
      </c>
      <c r="F2505" s="202" t="s">
        <v>394</v>
      </c>
      <c r="G2505" s="202" t="s">
        <v>688</v>
      </c>
    </row>
    <row r="2506" spans="1:7" hidden="1">
      <c r="A2506" s="202" t="s">
        <v>677</v>
      </c>
      <c r="B2506" s="203">
        <v>11250</v>
      </c>
      <c r="C2506" s="203">
        <v>0</v>
      </c>
      <c r="D2506" s="202" t="s">
        <v>437</v>
      </c>
      <c r="E2506" s="202" t="s">
        <v>39</v>
      </c>
      <c r="F2506" s="202" t="s">
        <v>441</v>
      </c>
      <c r="G2506" s="202" t="s">
        <v>688</v>
      </c>
    </row>
    <row r="2507" spans="1:7" hidden="1">
      <c r="A2507" s="202" t="s">
        <v>1662</v>
      </c>
      <c r="B2507" s="203">
        <v>283000</v>
      </c>
      <c r="C2507" s="203">
        <v>0</v>
      </c>
      <c r="D2507" s="202" t="s">
        <v>440</v>
      </c>
      <c r="E2507" s="202" t="s">
        <v>692</v>
      </c>
      <c r="F2507" s="202" t="s">
        <v>409</v>
      </c>
      <c r="G2507" s="202" t="s">
        <v>688</v>
      </c>
    </row>
    <row r="2508" spans="1:7">
      <c r="A2508" s="202" t="s">
        <v>678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445</v>
      </c>
      <c r="G2508" s="202" t="s">
        <v>688</v>
      </c>
    </row>
    <row r="2509" spans="1:7">
      <c r="A2509" s="202" t="s">
        <v>678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393</v>
      </c>
      <c r="G2509" s="202" t="s">
        <v>688</v>
      </c>
    </row>
    <row r="2510" spans="1:7">
      <c r="A2510" s="202" t="s">
        <v>1663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394</v>
      </c>
      <c r="G2510" s="202" t="s">
        <v>688</v>
      </c>
    </row>
    <row r="2511" spans="1:7">
      <c r="A2511" s="202" t="s">
        <v>1663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449</v>
      </c>
      <c r="G2511" s="202" t="s">
        <v>688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394</v>
      </c>
      <c r="G2512" s="202" t="s">
        <v>688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411</v>
      </c>
      <c r="G2513" s="202" t="s">
        <v>688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394</v>
      </c>
      <c r="G2514" s="202" t="s">
        <v>688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441</v>
      </c>
      <c r="G2515" s="202" t="s">
        <v>688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394</v>
      </c>
      <c r="G2516" s="202" t="s">
        <v>688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445</v>
      </c>
      <c r="G2517" s="202" t="s">
        <v>688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408</v>
      </c>
      <c r="G2518" s="202" t="s">
        <v>688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393</v>
      </c>
      <c r="G2519" s="202" t="s">
        <v>688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403</v>
      </c>
      <c r="G2520" s="202" t="s">
        <v>688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441</v>
      </c>
      <c r="G2521" s="202" t="s">
        <v>688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442</v>
      </c>
      <c r="E2522" s="202" t="s">
        <v>320</v>
      </c>
      <c r="F2522" s="202" t="s">
        <v>394</v>
      </c>
      <c r="G2522" s="202" t="s">
        <v>688</v>
      </c>
    </row>
    <row r="2523" spans="1:7" hidden="1">
      <c r="A2523" s="202" t="s">
        <v>680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394</v>
      </c>
      <c r="G2523" s="202" t="s">
        <v>688</v>
      </c>
    </row>
    <row r="2524" spans="1:7" hidden="1">
      <c r="A2524" s="202" t="s">
        <v>680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441</v>
      </c>
      <c r="G2524" s="202" t="s">
        <v>688</v>
      </c>
    </row>
    <row r="2525" spans="1:7">
      <c r="A2525" s="202" t="s">
        <v>680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394</v>
      </c>
      <c r="G2525" s="202" t="s">
        <v>688</v>
      </c>
    </row>
    <row r="2526" spans="1:7">
      <c r="A2526" s="202" t="s">
        <v>680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408</v>
      </c>
      <c r="G2526" s="202" t="s">
        <v>688</v>
      </c>
    </row>
    <row r="2527" spans="1:7">
      <c r="A2527" s="202" t="s">
        <v>680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393</v>
      </c>
      <c r="G2527" s="202" t="s">
        <v>688</v>
      </c>
    </row>
    <row r="2528" spans="1:7">
      <c r="A2528" s="202" t="s">
        <v>680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441</v>
      </c>
      <c r="G2528" s="202" t="s">
        <v>688</v>
      </c>
    </row>
    <row r="2529" spans="1:7" hidden="1">
      <c r="A2529" s="202" t="s">
        <v>681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394</v>
      </c>
      <c r="G2529" s="202" t="s">
        <v>688</v>
      </c>
    </row>
    <row r="2530" spans="1:7" hidden="1">
      <c r="A2530" s="202" t="s">
        <v>681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441</v>
      </c>
      <c r="G2530" s="202" t="s">
        <v>688</v>
      </c>
    </row>
    <row r="2531" spans="1:7">
      <c r="A2531" s="202" t="s">
        <v>681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394</v>
      </c>
      <c r="G2531" s="202" t="s">
        <v>688</v>
      </c>
    </row>
    <row r="2532" spans="1:7">
      <c r="A2532" s="202" t="s">
        <v>681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408</v>
      </c>
      <c r="G2532" s="202" t="s">
        <v>688</v>
      </c>
    </row>
    <row r="2533" spans="1:7">
      <c r="A2533" s="202" t="s">
        <v>681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393</v>
      </c>
      <c r="G2533" s="202" t="s">
        <v>688</v>
      </c>
    </row>
    <row r="2534" spans="1:7">
      <c r="A2534" s="202" t="s">
        <v>681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441</v>
      </c>
      <c r="G2534" s="202" t="s">
        <v>688</v>
      </c>
    </row>
    <row r="2535" spans="1:7" hidden="1">
      <c r="A2535" s="202" t="s">
        <v>682</v>
      </c>
      <c r="B2535" s="203">
        <v>110</v>
      </c>
      <c r="C2535" s="203">
        <v>0</v>
      </c>
      <c r="D2535" s="202" t="s">
        <v>437</v>
      </c>
      <c r="E2535" s="202" t="s">
        <v>324</v>
      </c>
      <c r="F2535" s="202" t="s">
        <v>394</v>
      </c>
      <c r="G2535" s="202" t="s">
        <v>688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442</v>
      </c>
      <c r="E2536" s="202" t="s">
        <v>320</v>
      </c>
      <c r="F2536" s="202" t="s">
        <v>394</v>
      </c>
      <c r="G2536" s="202" t="s">
        <v>688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394</v>
      </c>
      <c r="G2537" s="202" t="s">
        <v>688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413</v>
      </c>
      <c r="G2538" s="202" t="s">
        <v>688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441</v>
      </c>
      <c r="G2539" s="202" t="s">
        <v>688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394</v>
      </c>
      <c r="G2540" s="202" t="s">
        <v>688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393</v>
      </c>
      <c r="G2541" s="202" t="s">
        <v>688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413</v>
      </c>
      <c r="G2542" s="202" t="s">
        <v>688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403</v>
      </c>
      <c r="G2543" s="202" t="s">
        <v>688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441</v>
      </c>
      <c r="G2544" s="202" t="s">
        <v>688</v>
      </c>
    </row>
    <row r="2545" spans="1:7" hidden="1">
      <c r="A2545" s="202" t="s">
        <v>683</v>
      </c>
      <c r="B2545" s="203">
        <v>-1401</v>
      </c>
      <c r="C2545" s="203">
        <v>0</v>
      </c>
      <c r="D2545" s="202" t="s">
        <v>440</v>
      </c>
      <c r="E2545" s="202" t="s">
        <v>320</v>
      </c>
      <c r="F2545" s="202" t="s">
        <v>394</v>
      </c>
      <c r="G2545" s="202" t="s">
        <v>688</v>
      </c>
    </row>
    <row r="2546" spans="1:7" hidden="1">
      <c r="A2546" s="202" t="s">
        <v>683</v>
      </c>
      <c r="B2546" s="203">
        <v>590</v>
      </c>
      <c r="C2546" s="203">
        <v>0</v>
      </c>
      <c r="D2546" s="202" t="s">
        <v>440</v>
      </c>
      <c r="E2546" s="202" t="s">
        <v>320</v>
      </c>
      <c r="F2546" s="202" t="s">
        <v>441</v>
      </c>
      <c r="G2546" s="202" t="s">
        <v>688</v>
      </c>
    </row>
    <row r="2547" spans="1:7" hidden="1">
      <c r="A2547" s="202" t="s">
        <v>683</v>
      </c>
      <c r="B2547" s="203">
        <v>590</v>
      </c>
      <c r="C2547" s="203">
        <v>0</v>
      </c>
      <c r="D2547" s="202" t="s">
        <v>437</v>
      </c>
      <c r="E2547" s="202" t="s">
        <v>320</v>
      </c>
      <c r="F2547" s="202" t="s">
        <v>394</v>
      </c>
      <c r="G2547" s="202" t="s">
        <v>688</v>
      </c>
    </row>
    <row r="2548" spans="1:7" hidden="1">
      <c r="A2548" s="202" t="s">
        <v>683</v>
      </c>
      <c r="B2548" s="203">
        <v>-590</v>
      </c>
      <c r="C2548" s="203">
        <v>0</v>
      </c>
      <c r="D2548" s="202" t="s">
        <v>437</v>
      </c>
      <c r="E2548" s="202" t="s">
        <v>320</v>
      </c>
      <c r="F2548" s="202" t="s">
        <v>441</v>
      </c>
      <c r="G2548" s="202" t="s">
        <v>688</v>
      </c>
    </row>
    <row r="2549" spans="1:7" hidden="1">
      <c r="A2549" s="202" t="s">
        <v>683</v>
      </c>
      <c r="B2549" s="203">
        <v>-564</v>
      </c>
      <c r="C2549" s="203">
        <v>0</v>
      </c>
      <c r="D2549" s="202" t="s">
        <v>442</v>
      </c>
      <c r="E2549" s="202" t="s">
        <v>320</v>
      </c>
      <c r="F2549" s="202" t="s">
        <v>394</v>
      </c>
      <c r="G2549" s="202" t="s">
        <v>688</v>
      </c>
    </row>
    <row r="2550" spans="1:7" hidden="1">
      <c r="A2550" s="202" t="s">
        <v>684</v>
      </c>
      <c r="B2550" s="203">
        <v>-38</v>
      </c>
      <c r="C2550" s="203">
        <v>0</v>
      </c>
      <c r="D2550" s="202" t="s">
        <v>440</v>
      </c>
      <c r="E2550" s="202" t="s">
        <v>324</v>
      </c>
      <c r="F2550" s="202" t="s">
        <v>394</v>
      </c>
      <c r="G2550" s="202" t="s">
        <v>688</v>
      </c>
    </row>
    <row r="2551" spans="1:7" hidden="1">
      <c r="A2551" s="202" t="s">
        <v>685</v>
      </c>
      <c r="B2551" s="203">
        <v>38</v>
      </c>
      <c r="C2551" s="203">
        <v>0</v>
      </c>
      <c r="D2551" s="202" t="s">
        <v>440</v>
      </c>
      <c r="E2551" s="202" t="s">
        <v>324</v>
      </c>
      <c r="F2551" s="202" t="s">
        <v>394</v>
      </c>
      <c r="G2551" s="202" t="s">
        <v>688</v>
      </c>
    </row>
    <row r="2552" spans="1:7" hidden="1">
      <c r="A2552" s="202" t="s">
        <v>686</v>
      </c>
      <c r="B2552" s="203">
        <v>38</v>
      </c>
      <c r="C2552" s="203">
        <v>0</v>
      </c>
      <c r="D2552" s="202" t="s">
        <v>440</v>
      </c>
      <c r="E2552" s="202" t="s">
        <v>324</v>
      </c>
      <c r="F2552" s="202" t="s">
        <v>394</v>
      </c>
      <c r="G2552" s="202" t="s">
        <v>688</v>
      </c>
    </row>
    <row r="2553" spans="1:7" hidden="1">
      <c r="A2553" s="202" t="s">
        <v>402</v>
      </c>
      <c r="B2553" s="203">
        <v>44552</v>
      </c>
      <c r="C2553" s="203">
        <v>0</v>
      </c>
      <c r="D2553" s="202" t="s">
        <v>440</v>
      </c>
      <c r="E2553" s="202" t="s">
        <v>317</v>
      </c>
      <c r="F2553" s="202" t="s">
        <v>394</v>
      </c>
      <c r="G2553" s="202" t="s">
        <v>688</v>
      </c>
    </row>
    <row r="2554" spans="1:7" hidden="1">
      <c r="A2554" s="202" t="s">
        <v>402</v>
      </c>
      <c r="B2554" s="203">
        <v>-5630</v>
      </c>
      <c r="C2554" s="203">
        <v>0</v>
      </c>
      <c r="D2554" s="202" t="s">
        <v>440</v>
      </c>
      <c r="E2554" s="202" t="s">
        <v>317</v>
      </c>
      <c r="F2554" s="202" t="s">
        <v>673</v>
      </c>
      <c r="G2554" s="202" t="s">
        <v>688</v>
      </c>
    </row>
    <row r="2555" spans="1:7" hidden="1">
      <c r="A2555" s="202" t="s">
        <v>402</v>
      </c>
      <c r="B2555" s="203">
        <v>-1582</v>
      </c>
      <c r="C2555" s="203">
        <v>0</v>
      </c>
      <c r="D2555" s="202" t="s">
        <v>440</v>
      </c>
      <c r="E2555" s="202" t="s">
        <v>317</v>
      </c>
      <c r="F2555" s="202" t="s">
        <v>393</v>
      </c>
      <c r="G2555" s="202" t="s">
        <v>688</v>
      </c>
    </row>
    <row r="2556" spans="1:7" hidden="1">
      <c r="A2556" s="202" t="s">
        <v>402</v>
      </c>
      <c r="B2556" s="203">
        <v>-5740</v>
      </c>
      <c r="C2556" s="203">
        <v>0</v>
      </c>
      <c r="D2556" s="202" t="s">
        <v>440</v>
      </c>
      <c r="E2556" s="202" t="s">
        <v>317</v>
      </c>
      <c r="F2556" s="202" t="s">
        <v>410</v>
      </c>
      <c r="G2556" s="202" t="s">
        <v>688</v>
      </c>
    </row>
    <row r="2557" spans="1:7" hidden="1">
      <c r="A2557" s="202" t="s">
        <v>402</v>
      </c>
      <c r="B2557" s="203">
        <v>-1740</v>
      </c>
      <c r="C2557" s="203">
        <v>0</v>
      </c>
      <c r="D2557" s="202" t="s">
        <v>440</v>
      </c>
      <c r="E2557" s="202" t="s">
        <v>317</v>
      </c>
      <c r="F2557" s="202" t="s">
        <v>407</v>
      </c>
      <c r="G2557" s="202" t="s">
        <v>688</v>
      </c>
    </row>
    <row r="2558" spans="1:7" hidden="1">
      <c r="A2558" s="202" t="s">
        <v>402</v>
      </c>
      <c r="B2558" s="203">
        <v>-7693</v>
      </c>
      <c r="C2558" s="203">
        <v>0</v>
      </c>
      <c r="D2558" s="202" t="s">
        <v>440</v>
      </c>
      <c r="E2558" s="202" t="s">
        <v>317</v>
      </c>
      <c r="F2558" s="202" t="s">
        <v>411</v>
      </c>
      <c r="G2558" s="202" t="s">
        <v>688</v>
      </c>
    </row>
    <row r="2559" spans="1:7" hidden="1">
      <c r="A2559" s="202" t="s">
        <v>402</v>
      </c>
      <c r="B2559" s="203">
        <v>2576</v>
      </c>
      <c r="C2559" s="203">
        <v>0</v>
      </c>
      <c r="D2559" s="202" t="s">
        <v>442</v>
      </c>
      <c r="E2559" s="202" t="s">
        <v>317</v>
      </c>
      <c r="F2559" s="202" t="s">
        <v>394</v>
      </c>
      <c r="G2559" s="202" t="s">
        <v>688</v>
      </c>
    </row>
    <row r="2560" spans="1:7" hidden="1">
      <c r="A2560" s="202" t="s">
        <v>402</v>
      </c>
      <c r="B2560" s="203">
        <v>-15671</v>
      </c>
      <c r="C2560" s="203">
        <v>0</v>
      </c>
      <c r="D2560" s="202" t="s">
        <v>474</v>
      </c>
      <c r="E2560" s="202" t="s">
        <v>317</v>
      </c>
      <c r="F2560" s="202" t="s">
        <v>394</v>
      </c>
      <c r="G2560" s="202" t="s">
        <v>688</v>
      </c>
    </row>
    <row r="2561" spans="1:7" hidden="1">
      <c r="A2561" s="202" t="s">
        <v>401</v>
      </c>
      <c r="B2561" s="203">
        <v>-950</v>
      </c>
      <c r="C2561" s="203">
        <v>0</v>
      </c>
      <c r="D2561" s="202" t="s">
        <v>442</v>
      </c>
      <c r="E2561" s="202" t="s">
        <v>320</v>
      </c>
      <c r="F2561" s="202" t="s">
        <v>394</v>
      </c>
      <c r="G2561" s="202" t="s">
        <v>688</v>
      </c>
    </row>
    <row r="2562" spans="1:7">
      <c r="A2562" s="202" t="s">
        <v>365</v>
      </c>
      <c r="B2562" s="203">
        <v>6365</v>
      </c>
      <c r="C2562" s="203">
        <v>0</v>
      </c>
      <c r="D2562" s="202" t="s">
        <v>282</v>
      </c>
      <c r="E2562" s="202" t="s">
        <v>687</v>
      </c>
      <c r="F2562" s="202" t="s">
        <v>394</v>
      </c>
      <c r="G2562" s="202" t="s">
        <v>688</v>
      </c>
    </row>
    <row r="2563" spans="1:7">
      <c r="A2563" s="202" t="s">
        <v>365</v>
      </c>
      <c r="B2563" s="203">
        <v>-6365</v>
      </c>
      <c r="C2563" s="203">
        <v>0</v>
      </c>
      <c r="D2563" s="202" t="s">
        <v>282</v>
      </c>
      <c r="E2563" s="202" t="s">
        <v>687</v>
      </c>
      <c r="F2563" s="202" t="s">
        <v>393</v>
      </c>
      <c r="G2563" s="202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1664</v>
      </c>
      <c r="B1" s="328" t="s">
        <v>313</v>
      </c>
      <c r="C1" s="328" t="s">
        <v>1665</v>
      </c>
      <c r="D1" s="328" t="s">
        <v>174</v>
      </c>
      <c r="E1" s="328" t="s">
        <v>152</v>
      </c>
      <c r="F1" s="328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1734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IF(R2="","",IF(LEN(R2)&gt;9,SUMIFS(Options!$AZ$3:$AZ$25,Options!$B$3:$B$25,'Check result'!R2),SUMIFS('Master P&amp;L'!$AE$11:$AE$100,'Master P&amp;L'!$B$11:$B$100,'Check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1830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IF(R3="","",IF(LEN(R3)&gt;9,SUMIFS(Options!$AZ$3:$AZ$25,Options!$B$3:$B$25,'Check result'!R3),SUMIFS('Master P&amp;L'!$AE$11:$AE$100,'Master P&amp;L'!$B$11:$B$100,'Check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1806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IF(R4="","",IF(LEN(R4)&gt;9,SUMIFS(Options!$AZ$3:$AZ$25,Options!$B$3:$B$25,'Check result'!R4),SUMIFS('Master P&amp;L'!$AE$11:$AE$100,'Master P&amp;L'!$B$11:$B$100,'Check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1739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IF(R5="","",IF(LEN(R5)&gt;9,SUMIFS(Options!$AZ$3:$AZ$25,Options!$B$3:$B$25,'Check result'!R5),SUMIFS('Master P&amp;L'!$AE$11:$AE$100,'Master P&amp;L'!$B$11:$B$100,'Check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1680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IF(R6="","",IF(LEN(R6)&gt;9,SUMIFS(Options!$AZ$3:$AZ$25,Options!$B$3:$B$25,'Check result'!R6),SUMIFS('Master P&amp;L'!$AE$11:$AE$100,'Master P&amp;L'!$B$11:$B$100,'Check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1722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IF(R7="","",IF(LEN(R7)&gt;9,SUMIFS(Options!$AZ$3:$AZ$25,Options!$B$3:$B$25,'Check result'!R7),SUMIFS('Master P&amp;L'!$AE$11:$AE$100,'Master P&amp;L'!$B$11:$B$100,'Check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IF(R8="","",IF(LEN(R8)&gt;9,SUMIFS(Options!$AZ$3:$AZ$25,Options!$B$3:$B$25,'Check result'!R8),SUMIFS('Master P&amp;L'!$AE$11:$AE$100,'Master P&amp;L'!$B$11:$B$100,'Check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1740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IF(R9="","",IF(LEN(R9)&gt;9,SUMIFS(Options!$AZ$3:$AZ$25,Options!$B$3:$B$25,'Check result'!R9),SUMIFS('Master P&amp;L'!$AE$11:$AE$100,'Master P&amp;L'!$B$11:$B$100,'Check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1832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IF(R10="","",IF(LEN(R10)&gt;9,SUMIFS(Options!$AZ$3:$AZ$25,Options!$B$3:$B$25,'Check result'!R10),SUMIFS('Master P&amp;L'!$AE$11:$AE$100,'Master P&amp;L'!$B$11:$B$100,'Check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1709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IF(R11="","",IF(LEN(R11)&gt;9,SUMIFS(Options!$AZ$3:$AZ$25,Options!$B$3:$B$25,'Check result'!R11),SUMIFS('Master P&amp;L'!$AE$11:$AE$100,'Master P&amp;L'!$B$11:$B$100,'Check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IF(R12="","",IF(LEN(R12)&gt;9,SUMIFS(Options!$AZ$3:$AZ$25,Options!$B$3:$B$25,'Check result'!R12),SUMIFS('Master P&amp;L'!$AE$11:$AE$100,'Master P&amp;L'!$B$11:$B$100,'Check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1724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IF(R13="","",IF(LEN(R13)&gt;9,SUMIFS(Options!$AZ$3:$AZ$25,Options!$B$3:$B$25,'Check result'!R13),SUMIFS('Master P&amp;L'!$AE$11:$AE$100,'Master P&amp;L'!$B$11:$B$100,'Check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1787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IF(R14="","",IF(LEN(R14)&gt;9,SUMIFS(Options!$AZ$3:$AZ$25,Options!$B$3:$B$25,'Check result'!R14),SUMIFS('Master P&amp;L'!$AE$11:$AE$100,'Master P&amp;L'!$B$11:$B$100,'Check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1818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IF(R15="","",IF(LEN(R15)&gt;9,SUMIFS(Options!$AZ$3:$AZ$25,Options!$B$3:$B$25,'Check result'!R15),SUMIFS('Master P&amp;L'!$AE$11:$AE$100,'Master P&amp;L'!$B$11:$B$100,'Check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1814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IF(R16="","",IF(LEN(R16)&gt;9,SUMIFS(Options!$AZ$3:$AZ$25,Options!$B$3:$B$25,'Check result'!R16),SUMIFS('Master P&amp;L'!$AE$11:$AE$100,'Master P&amp;L'!$B$11:$B$100,'Check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IF(R17="","",IF(LEN(R17)&gt;9,SUMIFS(Options!$AZ$3:$AZ$25,Options!$B$3:$B$25,'Check result'!R17),SUMIFS('Master P&amp;L'!$AE$11:$AE$100,'Master P&amp;L'!$B$11:$B$100,'Check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1720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IF(R18="","",IF(LEN(R18)&gt;9,SUMIFS(Options!$AZ$3:$AZ$25,Options!$B$3:$B$25,'Check result'!R18),SUMIFS('Master P&amp;L'!$AE$11:$AE$100,'Master P&amp;L'!$B$11:$B$100,'Check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IF(R19="","",IF(LEN(R19)&gt;9,SUMIFS(Options!$AZ$3:$AZ$25,Options!$B$3:$B$25,'Check result'!R19),SUMIFS('Master P&amp;L'!$AE$11:$AE$100,'Master P&amp;L'!$B$11:$B$100,'Check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1736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IF(R20="","",IF(LEN(R20)&gt;9,SUMIFS(Options!$AZ$3:$AZ$25,Options!$B$3:$B$25,'Check result'!R20),SUMIFS('Master P&amp;L'!$AE$11:$AE$100,'Master P&amp;L'!$B$11:$B$100,'Check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1738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IF(R21="","",IF(LEN(R21)&gt;9,SUMIFS(Options!$AZ$3:$AZ$25,Options!$B$3:$B$25,'Check result'!R21),SUMIFS('Master P&amp;L'!$AE$11:$AE$100,'Master P&amp;L'!$B$11:$B$100,'Check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1824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IF(R22="","",IF(LEN(R22)&gt;9,SUMIFS(Options!$AZ$3:$AZ$25,Options!$B$3:$B$25,'Check result'!R22),SUMIFS('Master P&amp;L'!$AE$11:$AE$100,'Master P&amp;L'!$B$11:$B$100,'Check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1690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IF(R23="","",IF(LEN(R23)&gt;9,SUMIFS(Options!$AZ$3:$AZ$25,Options!$B$3:$B$25,'Check result'!R23),SUMIFS('Master P&amp;L'!$AE$11:$AE$100,'Master P&amp;L'!$B$11:$B$100,'Check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401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IF(R24="","",IF(LEN(R24)&gt;9,SUMIFS(Options!$AZ$3:$AZ$25,Options!$B$3:$B$25,'Check result'!R24),SUMIFS('Master P&amp;L'!$AE$11:$AE$100,'Master P&amp;L'!$B$11:$B$100,'Check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1816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IF(R25="","",IF(LEN(R25)&gt;9,SUMIFS(Options!$AZ$3:$AZ$25,Options!$B$3:$B$25,'Check result'!R25),SUMIFS('Master P&amp;L'!$AE$11:$AE$100,'Master P&amp;L'!$B$11:$B$100,'Check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IF(R26="","",IF(LEN(R26)&gt;9,SUMIFS(Options!$AZ$3:$AZ$25,Options!$B$3:$B$25,'Check result'!R26),SUMIFS('Master P&amp;L'!$AE$11:$AE$100,'Master P&amp;L'!$B$11:$B$100,'Check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1828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IF(R27="","",IF(LEN(R27)&gt;9,SUMIFS(Options!$AZ$3:$AZ$25,Options!$B$3:$B$25,'Check result'!R27),SUMIFS('Master P&amp;L'!$AE$11:$AE$100,'Master P&amp;L'!$B$11:$B$100,'Check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1815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IF(R28="","",IF(LEN(R28)&gt;9,SUMIFS(Options!$AZ$3:$AZ$25,Options!$B$3:$B$25,'Check result'!R28),SUMIFS('Master P&amp;L'!$AE$11:$AE$100,'Master P&amp;L'!$B$11:$B$100,'Check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1771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IF(R29="","",IF(LEN(R29)&gt;9,SUMIFS(Options!$AZ$3:$AZ$25,Options!$B$3:$B$25,'Check result'!R29),SUMIFS('Master P&amp;L'!$AE$11:$AE$100,'Master P&amp;L'!$B$11:$B$100,'Check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1835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IF(R30="","",IF(LEN(R30)&gt;9,SUMIFS(Options!$AZ$3:$AZ$25,Options!$B$3:$B$25,'Check result'!R30),SUMIFS('Master P&amp;L'!$AE$11:$AE$100,'Master P&amp;L'!$B$11:$B$100,'Check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1741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IF(R31="","",IF(LEN(R31)&gt;9,SUMIFS(Options!$AZ$3:$AZ$25,Options!$B$3:$B$25,'Check result'!R31),SUMIFS('Master P&amp;L'!$AE$11:$AE$100,'Master P&amp;L'!$B$11:$B$100,'Check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1788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IF(R32="","",IF(LEN(R32)&gt;9,SUMIFS(Options!$AZ$3:$AZ$25,Options!$B$3:$B$25,'Check result'!R32),SUMIFS('Master P&amp;L'!$AE$11:$AE$100,'Master P&amp;L'!$B$11:$B$100,'Check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IF(R33="","",IF(LEN(R33)&gt;9,SUMIFS(Options!$AZ$3:$AZ$25,Options!$B$3:$B$25,'Check result'!R33),SUMIFS('Master P&amp;L'!$AE$11:$AE$100,'Master P&amp;L'!$B$11:$B$100,'Check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1778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IF(R34="","",IF(LEN(R34)&gt;9,SUMIFS(Options!$AZ$3:$AZ$25,Options!$B$3:$B$25,'Check result'!R34),SUMIFS('Master P&amp;L'!$AE$11:$AE$100,'Master P&amp;L'!$B$11:$B$100,'Check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IF(R35="","",IF(LEN(R35)&gt;9,SUMIFS(Options!$AZ$3:$AZ$25,Options!$B$3:$B$25,'Check result'!R35),SUMIFS('Master P&amp;L'!$AE$11:$AE$100,'Master P&amp;L'!$B$11:$B$100,'Check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IF(R36="","",IF(LEN(R36)&gt;9,SUMIFS(Options!$AZ$3:$AZ$25,Options!$B$3:$B$25,'Check result'!R36),SUMIFS('Master P&amp;L'!$AE$11:$AE$100,'Master P&amp;L'!$B$11:$B$100,'Check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1826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IF(R37="","",IF(LEN(R37)&gt;9,SUMIFS(Options!$AZ$3:$AZ$25,Options!$B$3:$B$25,'Check result'!R37),SUMIFS('Master P&amp;L'!$AE$11:$AE$100,'Master P&amp;L'!$B$11:$B$100,'Check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1821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IF(R38="","",IF(LEN(R38)&gt;9,SUMIFS(Options!$AZ$3:$AZ$25,Options!$B$3:$B$25,'Check result'!R38),SUMIFS('Master P&amp;L'!$AE$11:$AE$100,'Master P&amp;L'!$B$11:$B$100,'Check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1819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IF(R39="","",IF(LEN(R39)&gt;9,SUMIFS(Options!$AZ$3:$AZ$25,Options!$B$3:$B$25,'Check result'!R39),SUMIFS('Master P&amp;L'!$AE$11:$AE$100,'Master P&amp;L'!$B$11:$B$100,'Check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1715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IF(R40="","",IF(LEN(R40)&gt;9,SUMIFS(Options!$AZ$3:$AZ$25,Options!$B$3:$B$25,'Check result'!R40),SUMIFS('Master P&amp;L'!$AE$11:$AE$100,'Master P&amp;L'!$B$11:$B$100,'Check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IF(R41="","",IF(LEN(R41)&gt;9,SUMIFS(Options!$AZ$3:$AZ$25,Options!$B$3:$B$25,'Check result'!R41),SUMIFS('Master P&amp;L'!$AE$11:$AE$100,'Master P&amp;L'!$B$11:$B$100,'Check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1679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IF(R42="","",IF(LEN(R42)&gt;9,SUMIFS(Options!$AZ$3:$AZ$25,Options!$B$3:$B$25,'Check result'!R42),SUMIFS('Master P&amp;L'!$AE$11:$AE$100,'Master P&amp;L'!$B$11:$B$100,'Check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IF(R43="","",IF(LEN(R43)&gt;9,SUMIFS(Options!$AZ$3:$AZ$25,Options!$B$3:$B$25,'Check result'!R43),SUMIFS('Master P&amp;L'!$AE$11:$AE$100,'Master P&amp;L'!$B$11:$B$100,'Check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IF(R44="","",IF(LEN(R44)&gt;9,SUMIFS(Options!$AZ$3:$AZ$25,Options!$B$3:$B$25,'Check result'!R44),SUMIFS('Master P&amp;L'!$AE$11:$AE$100,'Master P&amp;L'!$B$11:$B$100,'Check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1685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IF(R45="","",IF(LEN(R45)&gt;9,SUMIFS(Options!$AZ$3:$AZ$25,Options!$B$3:$B$25,'Check result'!R45),SUMIFS('Master P&amp;L'!$AE$11:$AE$100,'Master P&amp;L'!$B$11:$B$100,'Check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1798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IF(R46="","",IF(LEN(R46)&gt;9,SUMIFS(Options!$AZ$3:$AZ$25,Options!$B$3:$B$25,'Check result'!R46),SUMIFS('Master P&amp;L'!$AE$11:$AE$100,'Master P&amp;L'!$B$11:$B$100,'Check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1689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IF(R47="","",IF(LEN(R47)&gt;9,SUMIFS(Options!$AZ$3:$AZ$25,Options!$B$3:$B$25,'Check result'!R47),SUMIFS('Master P&amp;L'!$AE$11:$AE$100,'Master P&amp;L'!$B$11:$B$100,'Check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IF(R48="","",IF(LEN(R48)&gt;9,SUMIFS(Options!$AZ$3:$AZ$25,Options!$B$3:$B$25,'Check result'!R48),SUMIFS('Master P&amp;L'!$AE$11:$AE$100,'Master P&amp;L'!$B$11:$B$100,'Check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1710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IF(R49="","",IF(LEN(R49)&gt;9,SUMIFS(Options!$AZ$3:$AZ$25,Options!$B$3:$B$25,'Check result'!R49),SUMIFS('Master P&amp;L'!$AE$11:$AE$100,'Master P&amp;L'!$B$11:$B$100,'Check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IF(R50="","",IF(LEN(R50)&gt;9,SUMIFS(Options!$AZ$3:$AZ$25,Options!$B$3:$B$25,'Check result'!R50),SUMIFS('Master P&amp;L'!$AE$11:$AE$100,'Master P&amp;L'!$B$11:$B$100,'Check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639</v>
      </c>
      <c r="D51" s="330" t="s">
        <v>1728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IF(R51="","",IF(LEN(R51)&gt;9,SUMIFS(Options!$AZ$3:$AZ$25,Options!$B$3:$B$25,'Check result'!R51),SUMIFS('Master P&amp;L'!$AE$11:$AE$100,'Master P&amp;L'!$B$11:$B$100,'Check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IF(R52="","",IF(LEN(R52)&gt;9,SUMIFS(Options!$AZ$3:$AZ$25,Options!$B$3:$B$25,'Check result'!R52),SUMIFS('Master P&amp;L'!$AE$11:$AE$100,'Master P&amp;L'!$B$11:$B$100,'Check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IF(R53="","",IF(LEN(R53)&gt;9,SUMIFS(Options!$AZ$3:$AZ$25,Options!$B$3:$B$25,'Check result'!R53),SUMIFS('Master P&amp;L'!$AE$11:$AE$100,'Master P&amp;L'!$B$11:$B$100,'Check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1807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IF(R54="","",IF(LEN(R54)&gt;9,SUMIFS(Options!$AZ$3:$AZ$25,Options!$B$3:$B$25,'Check result'!R54),SUMIFS('Master P&amp;L'!$AE$11:$AE$100,'Master P&amp;L'!$B$11:$B$100,'Check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1712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IF(R55="","",IF(LEN(R55)&gt;9,SUMIFS(Options!$AZ$3:$AZ$25,Options!$B$3:$B$25,'Check result'!R55),SUMIFS('Master P&amp;L'!$AE$11:$AE$100,'Master P&amp;L'!$B$11:$B$100,'Check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513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IF(R56="","",IF(LEN(R56)&gt;9,SUMIFS(Options!$AZ$3:$AZ$25,Options!$B$3:$B$25,'Check result'!R56),SUMIFS('Master P&amp;L'!$AE$11:$AE$100,'Master P&amp;L'!$B$11:$B$100,'Check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1836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IF(R57="","",IF(LEN(R57)&gt;9,SUMIFS(Options!$AZ$3:$AZ$25,Options!$B$3:$B$25,'Check result'!R57),SUMIFS('Master P&amp;L'!$AE$11:$AE$100,'Master P&amp;L'!$B$11:$B$100,'Check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1725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IF(R58="","",IF(LEN(R58)&gt;9,SUMIFS(Options!$AZ$3:$AZ$25,Options!$B$3:$B$25,'Check result'!R58),SUMIFS('Master P&amp;L'!$AE$11:$AE$100,'Master P&amp;L'!$B$11:$B$100,'Check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1810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IF(R59="","",IF(LEN(R59)&gt;9,SUMIFS(Options!$AZ$3:$AZ$25,Options!$B$3:$B$25,'Check result'!R59),SUMIFS('Master P&amp;L'!$AE$11:$AE$100,'Master P&amp;L'!$B$11:$B$100,'Check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1697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IF(R60="","",IF(LEN(R60)&gt;9,SUMIFS(Options!$AZ$3:$AZ$25,Options!$B$3:$B$25,'Check result'!R60),SUMIFS('Master P&amp;L'!$AE$11:$AE$100,'Master P&amp;L'!$B$11:$B$100,'Check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IF(R61="","",IF(LEN(R61)&gt;9,SUMIFS(Options!$AZ$3:$AZ$25,Options!$B$3:$B$25,'Check result'!R61),SUMIFS('Master P&amp;L'!$AE$11:$AE$100,'Master P&amp;L'!$B$11:$B$100,'Check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477</v>
      </c>
      <c r="D62" s="330" t="s">
        <v>1772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IF(R62="","",IF(LEN(R62)&gt;9,SUMIFS(Options!$AZ$3:$AZ$25,Options!$B$3:$B$25,'Check result'!R62),SUMIFS('Master P&amp;L'!$AE$11:$AE$100,'Master P&amp;L'!$B$11:$B$100,'Check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1688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IF(R63="","",IF(LEN(R63)&gt;9,SUMIFS(Options!$AZ$3:$AZ$25,Options!$B$3:$B$25,'Check result'!R63),SUMIFS('Master P&amp;L'!$AE$11:$AE$100,'Master P&amp;L'!$B$11:$B$100,'Check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1706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IF(R64="","",IF(LEN(R64)&gt;9,SUMIFS(Options!$AZ$3:$AZ$25,Options!$B$3:$B$25,'Check result'!R64),SUMIFS('Master P&amp;L'!$AE$11:$AE$100,'Master P&amp;L'!$B$11:$B$100,'Check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1730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IF(R65="","",IF(LEN(R65)&gt;9,SUMIFS(Options!$AZ$3:$AZ$25,Options!$B$3:$B$25,'Check result'!R65),SUMIFS('Master P&amp;L'!$AE$11:$AE$100,'Master P&amp;L'!$B$11:$B$100,'Check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1745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IF(R66="","",IF(LEN(R66)&gt;9,SUMIFS(Options!$AZ$3:$AZ$25,Options!$B$3:$B$25,'Check result'!R66),SUMIFS('Master P&amp;L'!$AE$11:$AE$100,'Master P&amp;L'!$B$11:$B$100,'Check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1773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IF(R67="","",IF(LEN(R67)&gt;9,SUMIFS(Options!$AZ$3:$AZ$25,Options!$B$3:$B$25,'Check result'!R67),SUMIFS('Master P&amp;L'!$AE$11:$AE$100,'Master P&amp;L'!$B$11:$B$100,'Check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IF(R68="","",IF(LEN(R68)&gt;9,SUMIFS(Options!$AZ$3:$AZ$25,Options!$B$3:$B$25,'Check result'!R68),SUMIFS('Master P&amp;L'!$AE$11:$AE$100,'Master P&amp;L'!$B$11:$B$100,'Check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1795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IF(R69="","",IF(LEN(R69)&gt;9,SUMIFS(Options!$AZ$3:$AZ$25,Options!$B$3:$B$25,'Check result'!R69),SUMIFS('Master P&amp;L'!$AE$11:$AE$100,'Master P&amp;L'!$B$11:$B$100,'Check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1800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IF(R70="","",IF(LEN(R70)&gt;9,SUMIFS(Options!$AZ$3:$AZ$25,Options!$B$3:$B$25,'Check result'!R70),SUMIFS('Master P&amp;L'!$AE$11:$AE$100,'Master P&amp;L'!$B$11:$B$100,'Check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1803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IF(R71="","",IF(LEN(R71)&gt;9,SUMIFS(Options!$AZ$3:$AZ$25,Options!$B$3:$B$25,'Check result'!R71),SUMIFS('Master P&amp;L'!$AE$11:$AE$100,'Master P&amp;L'!$B$11:$B$100,'Check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1752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IF(R72="","",IF(LEN(R72)&gt;9,SUMIFS(Options!$AZ$3:$AZ$25,Options!$B$3:$B$25,'Check result'!R72),SUMIFS('Master P&amp;L'!$AE$11:$AE$100,'Master P&amp;L'!$B$11:$B$100,'Check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1748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IF(R73="","",IF(LEN(R73)&gt;9,SUMIFS(Options!$AZ$3:$AZ$25,Options!$B$3:$B$25,'Check result'!R73),SUMIFS('Master P&amp;L'!$AE$11:$AE$100,'Master P&amp;L'!$B$11:$B$100,'Check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1797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IF(R74="","",IF(LEN(R74)&gt;9,SUMIFS(Options!$AZ$3:$AZ$25,Options!$B$3:$B$25,'Check result'!R74),SUMIFS('Master P&amp;L'!$AE$11:$AE$100,'Master P&amp;L'!$B$11:$B$100,'Check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1837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IF(R75="","",IF(LEN(R75)&gt;9,SUMIFS(Options!$AZ$3:$AZ$25,Options!$B$3:$B$25,'Check result'!R75),SUMIFS('Master P&amp;L'!$AE$11:$AE$100,'Master P&amp;L'!$B$11:$B$100,'Check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1789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IF(R76="","",IF(LEN(R76)&gt;9,SUMIFS(Options!$AZ$3:$AZ$25,Options!$B$3:$B$25,'Check result'!R76),SUMIFS('Master P&amp;L'!$AE$11:$AE$100,'Master P&amp;L'!$B$11:$B$100,'Check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1783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IF(R77="","",IF(LEN(R77)&gt;9,SUMIFS(Options!$AZ$3:$AZ$25,Options!$B$3:$B$25,'Check result'!R77),SUMIFS('Master P&amp;L'!$AE$11:$AE$100,'Master P&amp;L'!$B$11:$B$100,'Check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1705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IF(R78="","",IF(LEN(R78)&gt;9,SUMIFS(Options!$AZ$3:$AZ$25,Options!$B$3:$B$25,'Check result'!R78),SUMIFS('Master P&amp;L'!$AE$11:$AE$100,'Master P&amp;L'!$B$11:$B$100,'Check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IF(R79="","",IF(LEN(R79)&gt;9,SUMIFS(Options!$AZ$3:$AZ$25,Options!$B$3:$B$25,'Check result'!R79),SUMIFS('Master P&amp;L'!$AE$11:$AE$100,'Master P&amp;L'!$B$11:$B$100,'Check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1718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IF(R80="","",IF(LEN(R80)&gt;9,SUMIFS(Options!$AZ$3:$AZ$25,Options!$B$3:$B$25,'Check result'!R80),SUMIFS('Master P&amp;L'!$AE$11:$AE$100,'Master P&amp;L'!$B$11:$B$100,'Check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IF(R81="","",IF(LEN(R81)&gt;9,SUMIFS(Options!$AZ$3:$AZ$25,Options!$B$3:$B$25,'Check result'!R81),SUMIFS('Master P&amp;L'!$AE$11:$AE$100,'Master P&amp;L'!$B$11:$B$100,'Check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1822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IF(R82="","",IF(LEN(R82)&gt;9,SUMIFS(Options!$AZ$3:$AZ$25,Options!$B$3:$B$25,'Check result'!R82),SUMIFS('Master P&amp;L'!$AE$11:$AE$100,'Master P&amp;L'!$B$11:$B$100,'Check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1777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IF(R83="","",IF(LEN(R83)&gt;9,SUMIFS(Options!$AZ$3:$AZ$25,Options!$B$3:$B$25,'Check result'!R83),SUMIFS('Master P&amp;L'!$AE$11:$AE$100,'Master P&amp;L'!$B$11:$B$100,'Check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1757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IF(R84="","",IF(LEN(R84)&gt;9,SUMIFS(Options!$AZ$3:$AZ$25,Options!$B$3:$B$25,'Check result'!R84),SUMIFS('Master P&amp;L'!$AE$11:$AE$100,'Master P&amp;L'!$B$11:$B$100,'Check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1759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IF(R85="","",IF(LEN(R85)&gt;9,SUMIFS(Options!$AZ$3:$AZ$25,Options!$B$3:$B$25,'Check result'!R85),SUMIFS('Master P&amp;L'!$AE$11:$AE$100,'Master P&amp;L'!$B$11:$B$100,'Check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1833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IF(R86="","",IF(LEN(R86)&gt;9,SUMIFS(Options!$AZ$3:$AZ$25,Options!$B$3:$B$25,'Check result'!R86),SUMIFS('Master P&amp;L'!$AE$11:$AE$100,'Master P&amp;L'!$B$11:$B$100,'Check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IF(R87="","",IF(LEN(R87)&gt;9,SUMIFS(Options!$AZ$3:$AZ$25,Options!$B$3:$B$25,'Check result'!R87),SUMIFS('Master P&amp;L'!$AE$11:$AE$100,'Master P&amp;L'!$B$11:$B$100,'Check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1838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IF(R88="","",IF(LEN(R88)&gt;9,SUMIFS(Options!$AZ$3:$AZ$25,Options!$B$3:$B$25,'Check result'!R88),SUMIFS('Master P&amp;L'!$AE$11:$AE$100,'Master P&amp;L'!$B$11:$B$100,'Check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IF(R89="","",IF(LEN(R89)&gt;9,SUMIFS(Options!$AZ$3:$AZ$25,Options!$B$3:$B$25,'Check result'!R89),SUMIFS('Master P&amp;L'!$AE$11:$AE$100,'Master P&amp;L'!$B$11:$B$100,'Check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1775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IF(R90="","",IF(LEN(R90)&gt;9,SUMIFS(Options!$AZ$3:$AZ$25,Options!$B$3:$B$25,'Check result'!R90),SUMIFS('Master P&amp;L'!$AE$11:$AE$100,'Master P&amp;L'!$B$11:$B$100,'Check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IF(R91="","",IF(LEN(R91)&gt;9,SUMIFS(Options!$AZ$3:$AZ$25,Options!$B$3:$B$25,'Check result'!R91),SUMIFS('Master P&amp;L'!$AE$11:$AE$100,'Master P&amp;L'!$B$11:$B$100,'Check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IF(R92="","",IF(LEN(R92)&gt;9,SUMIFS(Options!$AZ$3:$AZ$25,Options!$B$3:$B$25,'Check result'!R92),SUMIFS('Master P&amp;L'!$AE$11:$AE$100,'Master P&amp;L'!$B$11:$B$100,'Check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1666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IF(R93="","",IF(LEN(R93)&gt;9,SUMIFS(Options!$AZ$3:$AZ$25,Options!$B$3:$B$25,'Check result'!R93),SUMIFS('Master P&amp;L'!$AE$11:$AE$100,'Master P&amp;L'!$B$11:$B$100,'Check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1801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IF(R94="","",IF(LEN(R94)&gt;9,SUMIFS(Options!$AZ$3:$AZ$25,Options!$B$3:$B$25,'Check result'!R94),SUMIFS('Master P&amp;L'!$AE$11:$AE$100,'Master P&amp;L'!$B$11:$B$100,'Check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IF(R95="","",IF(LEN(R95)&gt;9,SUMIFS(Options!$AZ$3:$AZ$25,Options!$B$3:$B$25,'Check result'!R95),SUMIFS('Master P&amp;L'!$AE$11:$AE$100,'Master P&amp;L'!$B$11:$B$100,'Check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IF(R96="","",IF(LEN(R96)&gt;9,SUMIFS(Options!$AZ$3:$AZ$25,Options!$B$3:$B$25,'Check result'!R96),SUMIFS('Master P&amp;L'!$AE$11:$AE$100,'Master P&amp;L'!$B$11:$B$100,'Check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1667</v>
      </c>
      <c r="C97" s="330" t="s">
        <v>1668</v>
      </c>
      <c r="D97" s="330" t="s">
        <v>1669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IF(R97="","",IF(LEN(R97)&gt;9,SUMIFS(Options!$AZ$3:$AZ$25,Options!$B$3:$B$25,'Check result'!R97),SUMIFS('Master P&amp;L'!$AE$11:$AE$100,'Master P&amp;L'!$B$11:$B$100,'Check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IF(R98="","",IF(LEN(R98)&gt;9,SUMIFS(Options!$AZ$3:$AZ$25,Options!$B$3:$B$25,'Check result'!R98),SUMIFS('Master P&amp;L'!$AE$11:$AE$100,'Master P&amp;L'!$B$11:$B$100,'Check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IF(R99="","",IF(LEN(R99)&gt;9,SUMIFS(Options!$AZ$3:$AZ$25,Options!$B$3:$B$25,'Check result'!R99),SUMIFS('Master P&amp;L'!$AE$11:$AE$100,'Master P&amp;L'!$B$11:$B$100,'Check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IF(R100="","",IF(LEN(R100)&gt;9,SUMIFS(Options!$AZ$3:$AZ$25,Options!$B$3:$B$25,'Check result'!R100),SUMIFS('Master P&amp;L'!$AE$11:$AE$100,'Master P&amp;L'!$B$11:$B$100,'Check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1823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IF(R101="","",IF(LEN(R101)&gt;9,SUMIFS(Options!$AZ$3:$AZ$25,Options!$B$3:$B$25,'Check result'!R101),SUMIFS('Master P&amp;L'!$AE$11:$AE$100,'Master P&amp;L'!$B$11:$B$100,'Check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1784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IF(R102="","",IF(LEN(R102)&gt;9,SUMIFS(Options!$AZ$3:$AZ$25,Options!$B$3:$B$25,'Check result'!R102),SUMIFS('Master P&amp;L'!$AE$11:$AE$100,'Master P&amp;L'!$B$11:$B$100,'Check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IF(R103="","",IF(LEN(R103)&gt;9,SUMIFS(Options!$AZ$3:$AZ$25,Options!$B$3:$B$25,'Check result'!R103),SUMIFS('Master P&amp;L'!$AE$11:$AE$100,'Master P&amp;L'!$B$11:$B$100,'Check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1790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IF(R104="","",IF(LEN(R104)&gt;9,SUMIFS(Options!$AZ$3:$AZ$25,Options!$B$3:$B$25,'Check result'!R104),SUMIFS('Master P&amp;L'!$AE$11:$AE$100,'Master P&amp;L'!$B$11:$B$100,'Check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IF(R105="","",IF(LEN(R105)&gt;9,SUMIFS(Options!$AZ$3:$AZ$25,Options!$B$3:$B$25,'Check result'!R105),SUMIFS('Master P&amp;L'!$AE$11:$AE$100,'Master P&amp;L'!$B$11:$B$100,'Check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1811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IF(R106="","",IF(LEN(R106)&gt;9,SUMIFS(Options!$AZ$3:$AZ$25,Options!$B$3:$B$25,'Check result'!R106),SUMIFS('Master P&amp;L'!$AE$11:$AE$100,'Master P&amp;L'!$B$11:$B$100,'Check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IF(R107="","",IF(LEN(R107)&gt;9,SUMIFS(Options!$AZ$3:$AZ$25,Options!$B$3:$B$25,'Check result'!R107),SUMIFS('Master P&amp;L'!$AE$11:$AE$100,'Master P&amp;L'!$B$11:$B$100,'Check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1729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IF(R108="","",IF(LEN(R108)&gt;9,SUMIFS(Options!$AZ$3:$AZ$25,Options!$B$3:$B$25,'Check result'!R108),SUMIFS('Master P&amp;L'!$AE$11:$AE$100,'Master P&amp;L'!$B$11:$B$100,'Check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1691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IF(R109="","",IF(LEN(R109)&gt;9,SUMIFS(Options!$AZ$3:$AZ$25,Options!$B$3:$B$25,'Check result'!R109),SUMIFS('Master P&amp;L'!$AE$11:$AE$100,'Master P&amp;L'!$B$11:$B$100,'Check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1726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IF(R110="","",IF(LEN(R110)&gt;9,SUMIFS(Options!$AZ$3:$AZ$25,Options!$B$3:$B$25,'Check result'!R110),SUMIFS('Master P&amp;L'!$AE$11:$AE$100,'Master P&amp;L'!$B$11:$B$100,'Check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1713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IF(R111="","",IF(LEN(R111)&gt;9,SUMIFS(Options!$AZ$3:$AZ$25,Options!$B$3:$B$25,'Check result'!R111),SUMIFS('Master P&amp;L'!$AE$11:$AE$100,'Master P&amp;L'!$B$11:$B$100,'Check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1746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IF(R112="","",IF(LEN(R112)&gt;9,SUMIFS(Options!$AZ$3:$AZ$25,Options!$B$3:$B$25,'Check result'!R112),SUMIFS('Master P&amp;L'!$AE$11:$AE$100,'Master P&amp;L'!$B$11:$B$100,'Check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1794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IF(R113="","",IF(LEN(R113)&gt;9,SUMIFS(Options!$AZ$3:$AZ$25,Options!$B$3:$B$25,'Check result'!R113),SUMIFS('Master P&amp;L'!$AE$11:$AE$100,'Master P&amp;L'!$B$11:$B$100,'Check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1716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IF(R114="","",IF(LEN(R114)&gt;9,SUMIFS(Options!$AZ$3:$AZ$25,Options!$B$3:$B$25,'Check result'!R114),SUMIFS('Master P&amp;L'!$AE$11:$AE$100,'Master P&amp;L'!$B$11:$B$100,'Check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1711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IF(R115="","",IF(LEN(R115)&gt;9,SUMIFS(Options!$AZ$3:$AZ$25,Options!$B$3:$B$25,'Check result'!R115),SUMIFS('Master P&amp;L'!$AE$11:$AE$100,'Master P&amp;L'!$B$11:$B$100,'Check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1796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IF(R116="","",IF(LEN(R116)&gt;9,SUMIFS(Options!$AZ$3:$AZ$25,Options!$B$3:$B$25,'Check result'!R116),SUMIFS('Master P&amp;L'!$AE$11:$AE$100,'Master P&amp;L'!$B$11:$B$100,'Check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IF(R117="","",IF(LEN(R117)&gt;9,SUMIFS(Options!$AZ$3:$AZ$25,Options!$B$3:$B$25,'Check result'!R117),SUMIFS('Master P&amp;L'!$AE$11:$AE$100,'Master P&amp;L'!$B$11:$B$100,'Check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1808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IF(R118="","",IF(LEN(R118)&gt;9,SUMIFS(Options!$AZ$3:$AZ$25,Options!$B$3:$B$25,'Check result'!R118),SUMIFS('Master P&amp;L'!$AE$11:$AE$100,'Master P&amp;L'!$B$11:$B$100,'Check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1747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IF(R119="","",IF(LEN(R119)&gt;9,SUMIFS(Options!$AZ$3:$AZ$25,Options!$B$3:$B$25,'Check result'!R119),SUMIFS('Master P&amp;L'!$AE$11:$AE$100,'Master P&amp;L'!$B$11:$B$100,'Check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1754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IF(R120="","",IF(LEN(R120)&gt;9,SUMIFS(Options!$AZ$3:$AZ$25,Options!$B$3:$B$25,'Check result'!R120),SUMIFS('Master P&amp;L'!$AE$11:$AE$100,'Master P&amp;L'!$B$11:$B$100,'Check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1825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IF(R121="","",IF(LEN(R121)&gt;9,SUMIFS(Options!$AZ$3:$AZ$25,Options!$B$3:$B$25,'Check result'!R121),SUMIFS('Master P&amp;L'!$AE$11:$AE$100,'Master P&amp;L'!$B$11:$B$100,'Check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1786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IF(R122="","",IF(LEN(R122)&gt;9,SUMIFS(Options!$AZ$3:$AZ$25,Options!$B$3:$B$25,'Check result'!R122),SUMIFS('Master P&amp;L'!$AE$11:$AE$100,'Master P&amp;L'!$B$11:$B$100,'Check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400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IF(R123="","",IF(LEN(R123)&gt;9,SUMIFS(Options!$AZ$3:$AZ$25,Options!$B$3:$B$25,'Check result'!R123),SUMIFS('Master P&amp;L'!$AE$11:$AE$100,'Master P&amp;L'!$B$11:$B$100,'Check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1809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IF(R124="","",IF(LEN(R124)&gt;9,SUMIFS(Options!$AZ$3:$AZ$25,Options!$B$3:$B$25,'Check result'!R124),SUMIFS('Master P&amp;L'!$AE$11:$AE$100,'Master P&amp;L'!$B$11:$B$100,'Check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IF(R125="","",IF(LEN(R125)&gt;9,SUMIFS(Options!$AZ$3:$AZ$25,Options!$B$3:$B$25,'Check result'!R125),SUMIFS('Master P&amp;L'!$AE$11:$AE$100,'Master P&amp;L'!$B$11:$B$100,'Check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1743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IF(R126="","",IF(LEN(R126)&gt;9,SUMIFS(Options!$AZ$3:$AZ$25,Options!$B$3:$B$25,'Check result'!R126),SUMIFS('Master P&amp;L'!$AE$11:$AE$100,'Master P&amp;L'!$B$11:$B$100,'Check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1693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IF(R127="","",IF(LEN(R127)&gt;9,SUMIFS(Options!$AZ$3:$AZ$25,Options!$B$3:$B$25,'Check result'!R127),SUMIFS('Master P&amp;L'!$AE$11:$AE$100,'Master P&amp;L'!$B$11:$B$100,'Check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1763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IF(R128="","",IF(LEN(R128)&gt;9,SUMIFS(Options!$AZ$3:$AZ$25,Options!$B$3:$B$25,'Check result'!R128),SUMIFS('Master P&amp;L'!$AE$11:$AE$100,'Master P&amp;L'!$B$11:$B$100,'Check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1820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IF(R129="","",IF(LEN(R129)&gt;9,SUMIFS(Options!$AZ$3:$AZ$25,Options!$B$3:$B$25,'Check result'!R129),SUMIFS('Master P&amp;L'!$AE$11:$AE$100,'Master P&amp;L'!$B$11:$B$100,'Check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1779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IF(R130="","",IF(LEN(R130)&gt;9,SUMIFS(Options!$AZ$3:$AZ$25,Options!$B$3:$B$25,'Check result'!R130),SUMIFS('Master P&amp;L'!$AE$11:$AE$100,'Master P&amp;L'!$B$11:$B$100,'Check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IF(R131="","",IF(LEN(R131)&gt;9,SUMIFS(Options!$AZ$3:$AZ$25,Options!$B$3:$B$25,'Check result'!R131),SUMIFS('Master P&amp;L'!$AE$11:$AE$100,'Master P&amp;L'!$B$11:$B$100,'Check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1698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IF(R132="","",IF(LEN(R132)&gt;9,SUMIFS(Options!$AZ$3:$AZ$25,Options!$B$3:$B$25,'Check result'!R132),SUMIFS('Master P&amp;L'!$AE$11:$AE$100,'Master P&amp;L'!$B$11:$B$100,'Check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1799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IF(R133="","",IF(LEN(R133)&gt;9,SUMIFS(Options!$AZ$3:$AZ$25,Options!$B$3:$B$25,'Check result'!R133),SUMIFS('Master P&amp;L'!$AE$11:$AE$100,'Master P&amp;L'!$B$11:$B$100,'Check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1686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IF(R134="","",IF(LEN(R134)&gt;9,SUMIFS(Options!$AZ$3:$AZ$25,Options!$B$3:$B$25,'Check result'!R134),SUMIFS('Master P&amp;L'!$AE$11:$AE$100,'Master P&amp;L'!$B$11:$B$100,'Check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1817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IF(R135="","",IF(LEN(R135)&gt;9,SUMIFS(Options!$AZ$3:$AZ$25,Options!$B$3:$B$25,'Check result'!R135),SUMIFS('Master P&amp;L'!$AE$11:$AE$100,'Master P&amp;L'!$B$11:$B$100,'Check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1753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IF(R136="","",IF(LEN(R136)&gt;9,SUMIFS(Options!$AZ$3:$AZ$25,Options!$B$3:$B$25,'Check result'!R136),SUMIFS('Master P&amp;L'!$AE$11:$AE$100,'Master P&amp;L'!$B$11:$B$100,'Check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1769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IF(R137="","",IF(LEN(R137)&gt;9,SUMIFS(Options!$AZ$3:$AZ$25,Options!$B$3:$B$25,'Check result'!R137),SUMIFS('Master P&amp;L'!$AE$11:$AE$100,'Master P&amp;L'!$B$11:$B$100,'Check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1802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IF(R138="","",IF(LEN(R138)&gt;9,SUMIFS(Options!$AZ$3:$AZ$25,Options!$B$3:$B$25,'Check result'!R138),SUMIFS('Master P&amp;L'!$AE$11:$AE$100,'Master P&amp;L'!$B$11:$B$100,'Check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1812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IF(R139="","",IF(LEN(R139)&gt;9,SUMIFS(Options!$AZ$3:$AZ$25,Options!$B$3:$B$25,'Check result'!R139),SUMIFS('Master P&amp;L'!$AE$11:$AE$100,'Master P&amp;L'!$B$11:$B$100,'Check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1785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IF(R140="","",IF(LEN(R140)&gt;9,SUMIFS(Options!$AZ$3:$AZ$25,Options!$B$3:$B$25,'Check result'!R140),SUMIFS('Master P&amp;L'!$AE$11:$AE$100,'Master P&amp;L'!$B$11:$B$100,'Check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1737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IF(R141="","",IF(LEN(R141)&gt;9,SUMIFS(Options!$AZ$3:$AZ$25,Options!$B$3:$B$25,'Check result'!R141),SUMIFS('Master P&amp;L'!$AE$11:$AE$100,'Master P&amp;L'!$B$11:$B$100,'Check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569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IF(R142="","",IF(LEN(R142)&gt;9,SUMIFS(Options!$AZ$3:$AZ$25,Options!$B$3:$B$25,'Check result'!R142),SUMIFS('Master P&amp;L'!$AE$11:$AE$100,'Master P&amp;L'!$B$11:$B$100,'Check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IF(R143="","",IF(LEN(R143)&gt;9,SUMIFS(Options!$AZ$3:$AZ$25,Options!$B$3:$B$25,'Check result'!R143),SUMIFS('Master P&amp;L'!$AE$11:$AE$100,'Master P&amp;L'!$B$11:$B$100,'Check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1774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IF(R144="","",IF(LEN(R144)&gt;9,SUMIFS(Options!$AZ$3:$AZ$25,Options!$B$3:$B$25,'Check result'!R144),SUMIFS('Master P&amp;L'!$AE$11:$AE$100,'Master P&amp;L'!$B$11:$B$100,'Check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1721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IF(R145="","",IF(LEN(R145)&gt;9,SUMIFS(Options!$AZ$3:$AZ$25,Options!$B$3:$B$25,'Check result'!R145),SUMIFS('Master P&amp;L'!$AE$11:$AE$100,'Master P&amp;L'!$B$11:$B$100,'Check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IF(R146="","",IF(LEN(R146)&gt;9,SUMIFS(Options!$AZ$3:$AZ$25,Options!$B$3:$B$25,'Check result'!R146),SUMIFS('Master P&amp;L'!$AE$11:$AE$100,'Master P&amp;L'!$B$11:$B$100,'Check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1831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IF(R147="","",IF(LEN(R147)&gt;9,SUMIFS(Options!$AZ$3:$AZ$25,Options!$B$3:$B$25,'Check result'!R147),SUMIFS('Master P&amp;L'!$AE$11:$AE$100,'Master P&amp;L'!$B$11:$B$100,'Check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1719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IF(R148="","",IF(LEN(R148)&gt;9,SUMIFS(Options!$AZ$3:$AZ$25,Options!$B$3:$B$25,'Check result'!R148),SUMIFS('Master P&amp;L'!$AE$11:$AE$100,'Master P&amp;L'!$B$11:$B$100,'Check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IF(R149="","",IF(LEN(R149)&gt;9,SUMIFS(Options!$AZ$3:$AZ$25,Options!$B$3:$B$25,'Check result'!R149),SUMIFS('Master P&amp;L'!$AE$11:$AE$100,'Master P&amp;L'!$B$11:$B$100,'Check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IF(R150="","",IF(LEN(R150)&gt;9,SUMIFS(Options!$AZ$3:$AZ$25,Options!$B$3:$B$25,'Check result'!R150),SUMIFS('Master P&amp;L'!$AE$11:$AE$100,'Master P&amp;L'!$B$11:$B$100,'Check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1687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IF(R151="","",IF(LEN(R151)&gt;9,SUMIFS(Options!$AZ$3:$AZ$25,Options!$B$3:$B$25,'Check result'!R151),SUMIFS('Master P&amp;L'!$AE$11:$AE$100,'Master P&amp;L'!$B$11:$B$100,'Check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1714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IF(R152="","",IF(LEN(R152)&gt;9,SUMIFS(Options!$AZ$3:$AZ$25,Options!$B$3:$B$25,'Check result'!R152),SUMIFS('Master P&amp;L'!$AE$11:$AE$100,'Master P&amp;L'!$B$11:$B$100,'Check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1723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IF(R153="","",IF(LEN(R153)&gt;9,SUMIFS(Options!$AZ$3:$AZ$25,Options!$B$3:$B$25,'Check result'!R153),SUMIFS('Master P&amp;L'!$AE$11:$AE$100,'Master P&amp;L'!$B$11:$B$100,'Check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IF(R154="","",IF(LEN(R154)&gt;9,SUMIFS(Options!$AZ$3:$AZ$25,Options!$B$3:$B$25,'Check result'!R154),SUMIFS('Master P&amp;L'!$AE$11:$AE$100,'Master P&amp;L'!$B$11:$B$100,'Check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1681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IF(R155="","",IF(LEN(R155)&gt;9,SUMIFS(Options!$AZ$3:$AZ$25,Options!$B$3:$B$25,'Check result'!R155),SUMIFS('Master P&amp;L'!$AE$11:$AE$100,'Master P&amp;L'!$B$11:$B$100,'Check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1834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IF(R156="","",IF(LEN(R156)&gt;9,SUMIFS(Options!$AZ$3:$AZ$25,Options!$B$3:$B$25,'Check result'!R156),SUMIFS('Master P&amp;L'!$AE$11:$AE$100,'Master P&amp;L'!$B$11:$B$100,'Check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1827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IF(R157="","",IF(LEN(R157)&gt;9,SUMIFS(Options!$AZ$3:$AZ$25,Options!$B$3:$B$25,'Check result'!R157),SUMIFS('Master P&amp;L'!$AE$11:$AE$100,'Master P&amp;L'!$B$11:$B$100,'Check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1704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IF(R158="","",IF(LEN(R158)&gt;9,SUMIFS(Options!$AZ$3:$AZ$25,Options!$B$3:$B$25,'Check result'!R158),SUMIFS('Master P&amp;L'!$AE$11:$AE$100,'Master P&amp;L'!$B$11:$B$100,'Check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1678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IF(R159="","",IF(LEN(R159)&gt;9,SUMIFS(Options!$AZ$3:$AZ$25,Options!$B$3:$B$25,'Check result'!R159),SUMIFS('Master P&amp;L'!$AE$11:$AE$100,'Master P&amp;L'!$B$11:$B$100,'Check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1708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IF(R160="","",IF(LEN(R160)&gt;9,SUMIFS(Options!$AZ$3:$AZ$25,Options!$B$3:$B$25,'Check result'!R160),SUMIFS('Master P&amp;L'!$AE$11:$AE$100,'Master P&amp;L'!$B$11:$B$100,'Check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IF(R161="","",IF(LEN(R161)&gt;9,SUMIFS(Options!$AZ$3:$AZ$25,Options!$B$3:$B$25,'Check result'!R161),SUMIFS('Master P&amp;L'!$AE$11:$AE$100,'Master P&amp;L'!$B$11:$B$100,'Check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1805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IF(R162="","",IF(LEN(R162)&gt;9,SUMIFS(Options!$AZ$3:$AZ$25,Options!$B$3:$B$25,'Check result'!R162),SUMIFS('Master P&amp;L'!$AE$11:$AE$100,'Master P&amp;L'!$B$11:$B$100,'Check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1829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IF(R163="","",IF(LEN(R163)&gt;9,SUMIFS(Options!$AZ$3:$AZ$25,Options!$B$3:$B$25,'Check result'!R163),SUMIFS('Master P&amp;L'!$AE$11:$AE$100,'Master P&amp;L'!$B$11:$B$100,'Check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IF(R164="","",IF(LEN(R164)&gt;9,SUMIFS(Options!$AZ$3:$AZ$25,Options!$B$3:$B$25,'Check result'!R164),SUMIFS('Master P&amp;L'!$AE$11:$AE$100,'Master P&amp;L'!$B$11:$B$100,'Check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1733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IF(R165="","",IF(LEN(R165)&gt;9,SUMIFS(Options!$AZ$3:$AZ$25,Options!$B$3:$B$25,'Check result'!R165),SUMIFS('Master P&amp;L'!$AE$11:$AE$100,'Master P&amp;L'!$B$11:$B$100,'Check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46"/>
  <sheetViews>
    <sheetView workbookViewId="0">
      <selection sqref="A1:Q146"/>
    </sheetView>
  </sheetViews>
  <sheetFormatPr defaultRowHeight="15"/>
  <sheetData>
    <row r="1" spans="1:24">
      <c r="A1" s="495" t="s">
        <v>339</v>
      </c>
      <c r="B1" s="496" t="s">
        <v>1913</v>
      </c>
      <c r="C1" s="497" t="s">
        <v>1914</v>
      </c>
      <c r="D1" s="498" t="s">
        <v>1915</v>
      </c>
      <c r="E1" s="499" t="s">
        <v>1916</v>
      </c>
      <c r="F1" s="499" t="s">
        <v>1917</v>
      </c>
      <c r="G1" s="499" t="s">
        <v>203</v>
      </c>
      <c r="H1" s="499" t="s">
        <v>218</v>
      </c>
      <c r="I1" s="499" t="s">
        <v>1918</v>
      </c>
      <c r="J1" s="499" t="s">
        <v>1919</v>
      </c>
      <c r="K1" s="500" t="s">
        <v>1920</v>
      </c>
      <c r="L1" s="501" t="s">
        <v>1921</v>
      </c>
      <c r="M1" s="502" t="s">
        <v>1922</v>
      </c>
      <c r="N1" s="498" t="s">
        <v>1923</v>
      </c>
      <c r="O1" s="493" t="s">
        <v>1924</v>
      </c>
      <c r="P1" s="503" t="s">
        <v>1</v>
      </c>
      <c r="Q1" s="520" t="s">
        <v>1925</v>
      </c>
    </row>
    <row r="2" spans="1:24">
      <c r="A2" s="492">
        <v>46052</v>
      </c>
      <c r="B2" s="504" t="s">
        <v>1896</v>
      </c>
      <c r="C2" s="505" t="s">
        <v>1929</v>
      </c>
      <c r="D2" s="433" t="s">
        <v>1930</v>
      </c>
      <c r="E2" s="434">
        <v>46101</v>
      </c>
      <c r="F2" s="433" t="s">
        <v>1931</v>
      </c>
      <c r="G2" s="433" t="s">
        <v>1932</v>
      </c>
      <c r="H2" s="433" t="s">
        <v>2146</v>
      </c>
      <c r="I2" s="433" t="s">
        <v>1927</v>
      </c>
      <c r="J2" s="506">
        <v>111.88</v>
      </c>
      <c r="K2" s="433">
        <v>7.8799999999999955</v>
      </c>
      <c r="L2" s="442">
        <v>9.18</v>
      </c>
      <c r="M2" s="507">
        <v>9.18</v>
      </c>
      <c r="N2" s="506">
        <v>9.18</v>
      </c>
      <c r="O2" s="508">
        <v>9.18</v>
      </c>
      <c r="P2" s="509">
        <v>25.77299155</v>
      </c>
      <c r="Q2" s="521" t="s">
        <v>1928</v>
      </c>
      <c r="R2" s="414">
        <f>L2-L3</f>
        <v>7.2299999999999995</v>
      </c>
      <c r="T2" s="442">
        <v>8.64</v>
      </c>
      <c r="U2" s="414">
        <f>T2-T3</f>
        <v>7.08</v>
      </c>
      <c r="W2" s="442">
        <v>11.6</v>
      </c>
      <c r="X2" s="414">
        <f>W2-W3</f>
        <v>8.8999999999999986</v>
      </c>
    </row>
    <row r="3" spans="1:24">
      <c r="A3" s="492">
        <v>46052</v>
      </c>
      <c r="B3" s="504" t="s">
        <v>1897</v>
      </c>
      <c r="C3" s="505" t="s">
        <v>1934</v>
      </c>
      <c r="D3" s="433" t="s">
        <v>1930</v>
      </c>
      <c r="E3" s="434">
        <v>46101</v>
      </c>
      <c r="F3" s="433" t="s">
        <v>1931</v>
      </c>
      <c r="G3" s="433" t="s">
        <v>1932</v>
      </c>
      <c r="H3" s="433" t="s">
        <v>2147</v>
      </c>
      <c r="I3" s="433" t="s">
        <v>1927</v>
      </c>
      <c r="J3" s="506">
        <v>111.88</v>
      </c>
      <c r="K3" s="433">
        <v>0</v>
      </c>
      <c r="L3" s="442">
        <v>1.95</v>
      </c>
      <c r="M3" s="507">
        <v>1.95</v>
      </c>
      <c r="N3" s="506">
        <v>1.95</v>
      </c>
      <c r="O3" s="508">
        <v>1.95</v>
      </c>
      <c r="P3" s="509">
        <v>27.613716830000001</v>
      </c>
      <c r="Q3" s="521" t="s">
        <v>1933</v>
      </c>
      <c r="T3" s="442">
        <v>1.56</v>
      </c>
      <c r="W3" s="442">
        <v>2.7</v>
      </c>
    </row>
    <row r="4" spans="1:24">
      <c r="A4" s="492">
        <v>46052</v>
      </c>
      <c r="B4" s="504" t="s">
        <v>1939</v>
      </c>
      <c r="C4" s="505" t="s">
        <v>1940</v>
      </c>
      <c r="D4" s="433" t="s">
        <v>1941</v>
      </c>
      <c r="E4" s="434">
        <v>46280</v>
      </c>
      <c r="F4" s="433" t="s">
        <v>1931</v>
      </c>
      <c r="G4" s="433" t="s">
        <v>1932</v>
      </c>
      <c r="H4" s="433" t="s">
        <v>2148</v>
      </c>
      <c r="I4" s="433" t="s">
        <v>1927</v>
      </c>
      <c r="J4" s="510">
        <v>8298.4</v>
      </c>
      <c r="K4" s="433">
        <v>811.15099999999984</v>
      </c>
      <c r="L4" s="511">
        <v>993.00997389626275</v>
      </c>
      <c r="M4" s="512">
        <v>993.00997389626275</v>
      </c>
      <c r="N4" s="433">
        <v>993.00997389626275</v>
      </c>
      <c r="O4" s="513">
        <v>954.16495603274177</v>
      </c>
      <c r="P4" s="514">
        <v>20.167769027538903</v>
      </c>
      <c r="Q4" s="521" t="s">
        <v>1928</v>
      </c>
    </row>
    <row r="5" spans="1:24">
      <c r="A5" s="492">
        <v>46052</v>
      </c>
      <c r="B5" s="504" t="s">
        <v>1942</v>
      </c>
      <c r="C5" s="505" t="s">
        <v>1943</v>
      </c>
      <c r="D5" s="433" t="s">
        <v>1941</v>
      </c>
      <c r="E5" s="434">
        <v>46280</v>
      </c>
      <c r="F5" s="433" t="s">
        <v>1931</v>
      </c>
      <c r="G5" s="433" t="s">
        <v>1932</v>
      </c>
      <c r="H5" s="433" t="s">
        <v>2149</v>
      </c>
      <c r="I5" s="433" t="s">
        <v>1927</v>
      </c>
      <c r="J5" s="510">
        <v>8298.4</v>
      </c>
      <c r="K5" s="433">
        <v>98.07970000000023</v>
      </c>
      <c r="L5" s="511">
        <v>565.30063776807253</v>
      </c>
      <c r="M5" s="512">
        <v>565.30063776807253</v>
      </c>
      <c r="N5" s="433">
        <v>565.30063776807253</v>
      </c>
      <c r="O5" s="513">
        <v>536.88066280677981</v>
      </c>
      <c r="P5" s="514">
        <v>20.167769027538903</v>
      </c>
      <c r="Q5" s="521" t="s">
        <v>1928</v>
      </c>
    </row>
    <row r="6" spans="1:24">
      <c r="A6" s="492">
        <v>46052</v>
      </c>
      <c r="B6" s="514" t="s">
        <v>1944</v>
      </c>
      <c r="C6" s="505" t="s">
        <v>1945</v>
      </c>
      <c r="D6" s="433" t="s">
        <v>1946</v>
      </c>
      <c r="E6" s="434">
        <v>46129</v>
      </c>
      <c r="F6" s="433" t="s">
        <v>1931</v>
      </c>
      <c r="G6" s="433" t="s">
        <v>194</v>
      </c>
      <c r="H6" s="433" t="s">
        <v>2150</v>
      </c>
      <c r="I6" s="433"/>
      <c r="J6" s="515">
        <v>2.78</v>
      </c>
      <c r="K6" s="433">
        <v>0.22999999999999998</v>
      </c>
      <c r="L6" s="516">
        <v>0.2878072707900215</v>
      </c>
      <c r="M6" s="517">
        <v>0.2878072707900215</v>
      </c>
      <c r="N6" s="433">
        <v>0.2878072707900215</v>
      </c>
      <c r="O6" s="433">
        <v>0.2878072707900215</v>
      </c>
      <c r="P6" s="514">
        <v>27.084289608033611</v>
      </c>
      <c r="Q6" s="521" t="s">
        <v>1928</v>
      </c>
    </row>
    <row r="7" spans="1:24">
      <c r="A7" s="492">
        <v>46052</v>
      </c>
      <c r="B7" s="514" t="s">
        <v>1947</v>
      </c>
      <c r="C7" s="505" t="s">
        <v>1948</v>
      </c>
      <c r="D7" s="433" t="s">
        <v>1946</v>
      </c>
      <c r="E7" s="434">
        <v>46129</v>
      </c>
      <c r="F7" s="433" t="s">
        <v>1926</v>
      </c>
      <c r="G7" s="433" t="s">
        <v>194</v>
      </c>
      <c r="H7" s="433" t="s">
        <v>2151</v>
      </c>
      <c r="I7" s="433"/>
      <c r="J7" s="515">
        <v>2.78</v>
      </c>
      <c r="K7" s="433">
        <v>0</v>
      </c>
      <c r="L7" s="516">
        <v>9.8692801400161456E-3</v>
      </c>
      <c r="M7" s="517">
        <v>9.8692801400161456E-3</v>
      </c>
      <c r="N7" s="433">
        <v>9.8692801400161456E-3</v>
      </c>
      <c r="O7" s="433">
        <v>9.8692801400161456E-3</v>
      </c>
      <c r="P7" s="514">
        <v>47.027019617684637</v>
      </c>
      <c r="Q7" s="521" t="s">
        <v>1928</v>
      </c>
    </row>
    <row r="8" spans="1:24">
      <c r="A8" s="492">
        <v>46052</v>
      </c>
      <c r="B8" s="514" t="s">
        <v>1949</v>
      </c>
      <c r="C8" s="505" t="s">
        <v>1950</v>
      </c>
      <c r="D8" s="433" t="s">
        <v>1946</v>
      </c>
      <c r="E8" s="434">
        <v>46129</v>
      </c>
      <c r="F8" s="433" t="s">
        <v>1926</v>
      </c>
      <c r="G8" s="433" t="s">
        <v>194</v>
      </c>
      <c r="H8" s="433" t="s">
        <v>2152</v>
      </c>
      <c r="I8" s="433"/>
      <c r="J8" s="515">
        <v>2.78</v>
      </c>
      <c r="K8" s="433">
        <v>0</v>
      </c>
      <c r="L8" s="516">
        <v>1.3705727032939452E-2</v>
      </c>
      <c r="M8" s="517">
        <v>1.3705727032939452E-2</v>
      </c>
      <c r="N8" s="433">
        <v>1.3705727032939452E-2</v>
      </c>
      <c r="O8" s="433">
        <v>1.3705727032939452E-2</v>
      </c>
      <c r="P8" s="514">
        <v>33.493788476738587</v>
      </c>
      <c r="Q8" s="521" t="s">
        <v>1928</v>
      </c>
    </row>
    <row r="9" spans="1:24">
      <c r="A9" s="492">
        <v>46052</v>
      </c>
      <c r="B9" s="514" t="s">
        <v>2017</v>
      </c>
      <c r="C9" s="505" t="s">
        <v>2023</v>
      </c>
      <c r="D9" s="433" t="s">
        <v>1938</v>
      </c>
      <c r="E9" s="434">
        <v>46191</v>
      </c>
      <c r="F9" s="433" t="s">
        <v>1931</v>
      </c>
      <c r="G9" s="433" t="s">
        <v>194</v>
      </c>
      <c r="H9" s="433" t="s">
        <v>2153</v>
      </c>
      <c r="I9" s="433"/>
      <c r="J9" s="515">
        <v>330.56</v>
      </c>
      <c r="K9" s="433">
        <v>30.560000000000002</v>
      </c>
      <c r="L9" s="516">
        <v>50.25</v>
      </c>
      <c r="M9" s="517">
        <v>52.6</v>
      </c>
      <c r="N9" s="433">
        <v>51.424999999999997</v>
      </c>
      <c r="O9" s="433">
        <v>51.424999999999997</v>
      </c>
      <c r="P9" s="514"/>
      <c r="Q9" s="521" t="s">
        <v>1935</v>
      </c>
    </row>
    <row r="10" spans="1:24">
      <c r="A10" s="492">
        <v>46052</v>
      </c>
      <c r="B10" s="514" t="s">
        <v>2016</v>
      </c>
      <c r="C10" s="505" t="s">
        <v>2024</v>
      </c>
      <c r="D10" s="433" t="s">
        <v>1938</v>
      </c>
      <c r="E10" s="434">
        <v>46191</v>
      </c>
      <c r="F10" s="433" t="s">
        <v>1931</v>
      </c>
      <c r="G10" s="433" t="s">
        <v>194</v>
      </c>
      <c r="H10" s="433" t="s">
        <v>2154</v>
      </c>
      <c r="I10" s="433"/>
      <c r="J10" s="515">
        <v>330.56</v>
      </c>
      <c r="K10" s="433">
        <v>0</v>
      </c>
      <c r="L10" s="516">
        <v>18.25</v>
      </c>
      <c r="M10" s="517">
        <v>18.8</v>
      </c>
      <c r="N10" s="433">
        <v>18.524999999999999</v>
      </c>
      <c r="O10" s="433">
        <v>18.524999999999999</v>
      </c>
      <c r="P10" s="514"/>
      <c r="Q10" s="521" t="s">
        <v>1935</v>
      </c>
    </row>
    <row r="11" spans="1:24">
      <c r="A11" s="492">
        <v>46052</v>
      </c>
      <c r="B11" s="514" t="s">
        <v>2019</v>
      </c>
      <c r="C11" s="505" t="s">
        <v>2025</v>
      </c>
      <c r="D11" s="433" t="s">
        <v>1938</v>
      </c>
      <c r="E11" s="434">
        <v>46191</v>
      </c>
      <c r="F11" s="433" t="s">
        <v>1926</v>
      </c>
      <c r="G11" s="433" t="s">
        <v>194</v>
      </c>
      <c r="H11" s="433" t="s">
        <v>2155</v>
      </c>
      <c r="I11" s="433"/>
      <c r="J11" s="515">
        <v>330.56</v>
      </c>
      <c r="K11" s="433">
        <v>0</v>
      </c>
      <c r="L11" s="516">
        <v>5.2</v>
      </c>
      <c r="M11" s="517">
        <v>5.75</v>
      </c>
      <c r="N11" s="433">
        <v>5.4749999999999996</v>
      </c>
      <c r="O11" s="433">
        <v>5.4749999999999996</v>
      </c>
      <c r="P11" s="514"/>
      <c r="Q11" s="521" t="s">
        <v>1935</v>
      </c>
    </row>
    <row r="12" spans="1:24">
      <c r="A12" s="492">
        <v>46052</v>
      </c>
      <c r="B12" s="514" t="s">
        <v>2018</v>
      </c>
      <c r="C12" s="505" t="s">
        <v>2026</v>
      </c>
      <c r="D12" s="433" t="s">
        <v>1938</v>
      </c>
      <c r="E12" s="434">
        <v>46191</v>
      </c>
      <c r="F12" s="433" t="s">
        <v>1926</v>
      </c>
      <c r="G12" s="433" t="s">
        <v>194</v>
      </c>
      <c r="H12" s="433" t="s">
        <v>2156</v>
      </c>
      <c r="I12" s="433"/>
      <c r="J12" s="515">
        <v>330.56</v>
      </c>
      <c r="K12" s="433">
        <v>0</v>
      </c>
      <c r="L12" s="516">
        <v>1.86</v>
      </c>
      <c r="M12" s="517">
        <v>2.36</v>
      </c>
      <c r="N12" s="433">
        <v>2.11</v>
      </c>
      <c r="O12" s="433">
        <v>2.11</v>
      </c>
      <c r="P12" s="514"/>
      <c r="Q12" s="521" t="s">
        <v>1935</v>
      </c>
    </row>
    <row r="13" spans="1:24">
      <c r="A13" s="492">
        <v>46052</v>
      </c>
      <c r="B13" s="514" t="s">
        <v>2022</v>
      </c>
      <c r="C13" s="505" t="s">
        <v>2027</v>
      </c>
      <c r="D13" s="433" t="s">
        <v>1937</v>
      </c>
      <c r="E13" s="434">
        <v>46191</v>
      </c>
      <c r="F13" s="433" t="s">
        <v>1926</v>
      </c>
      <c r="G13" s="433" t="s">
        <v>194</v>
      </c>
      <c r="H13" s="433" t="s">
        <v>2157</v>
      </c>
      <c r="I13" s="433"/>
      <c r="J13" s="515">
        <v>430.29</v>
      </c>
      <c r="K13" s="433">
        <v>0</v>
      </c>
      <c r="L13" s="516">
        <v>24.85</v>
      </c>
      <c r="M13" s="517">
        <v>25.1</v>
      </c>
      <c r="N13" s="433">
        <v>24.975000000000001</v>
      </c>
      <c r="O13" s="433">
        <v>24.975000000000001</v>
      </c>
      <c r="P13" s="514"/>
      <c r="Q13" s="521" t="s">
        <v>1935</v>
      </c>
    </row>
    <row r="14" spans="1:24">
      <c r="A14" s="492">
        <v>46052</v>
      </c>
      <c r="B14" s="514" t="s">
        <v>2021</v>
      </c>
      <c r="C14" s="505" t="s">
        <v>2028</v>
      </c>
      <c r="D14" s="433" t="s">
        <v>1937</v>
      </c>
      <c r="E14" s="434">
        <v>46191</v>
      </c>
      <c r="F14" s="433" t="s">
        <v>1931</v>
      </c>
      <c r="G14" s="433" t="s">
        <v>194</v>
      </c>
      <c r="H14" s="433" t="s">
        <v>2158</v>
      </c>
      <c r="I14" s="433"/>
      <c r="J14" s="515">
        <v>430.29</v>
      </c>
      <c r="K14" s="433">
        <v>0</v>
      </c>
      <c r="L14" s="516">
        <v>6.75</v>
      </c>
      <c r="M14" s="517">
        <v>6.9</v>
      </c>
      <c r="N14" s="433">
        <v>6.8250000000000002</v>
      </c>
      <c r="O14" s="433">
        <v>6.8250000000000002</v>
      </c>
      <c r="P14" s="514"/>
      <c r="Q14" s="521" t="s">
        <v>1935</v>
      </c>
    </row>
    <row r="15" spans="1:24">
      <c r="A15" s="492">
        <v>46052</v>
      </c>
      <c r="B15" s="514" t="s">
        <v>2020</v>
      </c>
      <c r="C15" s="505" t="s">
        <v>2029</v>
      </c>
      <c r="D15" s="433" t="s">
        <v>1937</v>
      </c>
      <c r="E15" s="434">
        <v>46191</v>
      </c>
      <c r="F15" s="433" t="s">
        <v>1931</v>
      </c>
      <c r="G15" s="433" t="s">
        <v>194</v>
      </c>
      <c r="H15" s="433" t="s">
        <v>2159</v>
      </c>
      <c r="I15" s="433"/>
      <c r="J15" s="515">
        <v>430.29</v>
      </c>
      <c r="K15" s="433">
        <v>0</v>
      </c>
      <c r="L15" s="516">
        <v>1.9</v>
      </c>
      <c r="M15" s="517">
        <v>1.97</v>
      </c>
      <c r="N15" s="433">
        <v>1.9350000000000001</v>
      </c>
      <c r="O15" s="433">
        <v>1.9350000000000001</v>
      </c>
      <c r="P15" s="514"/>
      <c r="Q15" s="521" t="s">
        <v>1935</v>
      </c>
    </row>
    <row r="16" spans="1:24">
      <c r="A16" s="492">
        <v>46052</v>
      </c>
      <c r="B16" s="514" t="s">
        <v>2031</v>
      </c>
      <c r="C16" s="505" t="s">
        <v>2032</v>
      </c>
      <c r="D16" s="433" t="s">
        <v>1951</v>
      </c>
      <c r="E16" s="434">
        <v>46101</v>
      </c>
      <c r="F16" s="433" t="s">
        <v>1926</v>
      </c>
      <c r="G16" s="433" t="s">
        <v>194</v>
      </c>
      <c r="H16" s="433" t="s">
        <v>2160</v>
      </c>
      <c r="I16" s="433"/>
      <c r="J16" s="515">
        <v>621.87</v>
      </c>
      <c r="K16" s="433">
        <v>0</v>
      </c>
      <c r="L16" s="516">
        <v>3.45</v>
      </c>
      <c r="M16" s="517">
        <v>3.52</v>
      </c>
      <c r="N16" s="433">
        <v>3.4850000000000003</v>
      </c>
      <c r="O16" s="433">
        <v>3.4850000000000003</v>
      </c>
      <c r="P16" s="514"/>
      <c r="Q16" s="521" t="s">
        <v>1935</v>
      </c>
    </row>
    <row r="17" spans="1:17">
      <c r="A17" s="492">
        <v>46052</v>
      </c>
      <c r="B17" s="514" t="s">
        <v>2030</v>
      </c>
      <c r="C17" s="505" t="s">
        <v>2034</v>
      </c>
      <c r="D17" s="433" t="s">
        <v>1951</v>
      </c>
      <c r="E17" s="434">
        <v>46101</v>
      </c>
      <c r="F17" s="433" t="s">
        <v>1926</v>
      </c>
      <c r="G17" s="433" t="s">
        <v>194</v>
      </c>
      <c r="H17" s="433" t="s">
        <v>2161</v>
      </c>
      <c r="I17" s="433"/>
      <c r="J17" s="515">
        <v>621.87</v>
      </c>
      <c r="K17" s="433">
        <v>0</v>
      </c>
      <c r="L17" s="516">
        <v>6.74</v>
      </c>
      <c r="M17" s="517">
        <v>6.82</v>
      </c>
      <c r="N17" s="433">
        <v>6.78</v>
      </c>
      <c r="O17" s="433">
        <v>6.78</v>
      </c>
      <c r="P17" s="514"/>
      <c r="Q17" s="521" t="s">
        <v>1935</v>
      </c>
    </row>
    <row r="18" spans="1:17">
      <c r="A18" s="492">
        <v>46052</v>
      </c>
      <c r="B18" s="514" t="s">
        <v>2035</v>
      </c>
      <c r="C18" s="505" t="s">
        <v>2038</v>
      </c>
      <c r="D18" s="433" t="s">
        <v>2033</v>
      </c>
      <c r="E18" s="434">
        <v>46191</v>
      </c>
      <c r="F18" s="433" t="s">
        <v>1931</v>
      </c>
      <c r="G18" s="433" t="s">
        <v>194</v>
      </c>
      <c r="H18" s="433" t="s">
        <v>2162</v>
      </c>
      <c r="I18" s="433"/>
      <c r="J18" s="515">
        <v>239.3</v>
      </c>
      <c r="K18" s="433">
        <v>9.3000000000000114</v>
      </c>
      <c r="L18" s="516">
        <v>27.5</v>
      </c>
      <c r="M18" s="517">
        <v>28.2</v>
      </c>
      <c r="N18" s="433">
        <v>27.85</v>
      </c>
      <c r="O18" s="433">
        <v>27.85</v>
      </c>
      <c r="P18" s="514"/>
      <c r="Q18" s="521" t="s">
        <v>1935</v>
      </c>
    </row>
    <row r="19" spans="1:17">
      <c r="A19" s="492">
        <v>46052</v>
      </c>
      <c r="B19" s="514" t="s">
        <v>2036</v>
      </c>
      <c r="C19" s="505" t="s">
        <v>2039</v>
      </c>
      <c r="D19" s="433" t="s">
        <v>2033</v>
      </c>
      <c r="E19" s="434">
        <v>46191</v>
      </c>
      <c r="F19" s="433" t="s">
        <v>1931</v>
      </c>
      <c r="G19" s="433" t="s">
        <v>194</v>
      </c>
      <c r="H19" s="433" t="s">
        <v>2163</v>
      </c>
      <c r="I19" s="433"/>
      <c r="J19" s="515">
        <v>239.3</v>
      </c>
      <c r="K19" s="433">
        <v>0</v>
      </c>
      <c r="L19" s="516">
        <v>13.95</v>
      </c>
      <c r="M19" s="517">
        <v>14.1</v>
      </c>
      <c r="N19" s="433">
        <v>14.024999999999999</v>
      </c>
      <c r="O19" s="433">
        <v>14.024999999999999</v>
      </c>
      <c r="P19" s="514"/>
      <c r="Q19" s="521" t="s">
        <v>1935</v>
      </c>
    </row>
    <row r="20" spans="1:17">
      <c r="A20" s="492">
        <v>46052</v>
      </c>
      <c r="B20" s="514" t="s">
        <v>2037</v>
      </c>
      <c r="C20" s="505" t="s">
        <v>2040</v>
      </c>
      <c r="D20" s="433" t="s">
        <v>2033</v>
      </c>
      <c r="E20" s="434">
        <v>46191</v>
      </c>
      <c r="F20" s="433" t="s">
        <v>1926</v>
      </c>
      <c r="G20" s="433" t="s">
        <v>194</v>
      </c>
      <c r="H20" s="433" t="s">
        <v>2164</v>
      </c>
      <c r="I20" s="433"/>
      <c r="J20" s="515">
        <v>239.3</v>
      </c>
      <c r="K20" s="433">
        <v>0</v>
      </c>
      <c r="L20" s="516">
        <v>6.05</v>
      </c>
      <c r="M20" s="517">
        <v>6.2</v>
      </c>
      <c r="N20" s="433">
        <v>6.125</v>
      </c>
      <c r="O20" s="433">
        <v>6.125</v>
      </c>
      <c r="P20" s="514"/>
      <c r="Q20" s="521" t="s">
        <v>1935</v>
      </c>
    </row>
    <row r="21" spans="1:17">
      <c r="A21" s="492">
        <v>46052</v>
      </c>
      <c r="B21" s="514" t="s">
        <v>2048</v>
      </c>
      <c r="C21" s="505" t="s">
        <v>2051</v>
      </c>
      <c r="D21" s="433" t="s">
        <v>1937</v>
      </c>
      <c r="E21" s="434">
        <v>46101</v>
      </c>
      <c r="F21" s="433" t="s">
        <v>1931</v>
      </c>
      <c r="G21" s="433" t="s">
        <v>194</v>
      </c>
      <c r="H21" s="433" t="s">
        <v>2166</v>
      </c>
      <c r="I21" s="433"/>
      <c r="J21" s="515">
        <v>430.29</v>
      </c>
      <c r="K21" s="433">
        <v>0</v>
      </c>
      <c r="L21" s="516">
        <v>2.06</v>
      </c>
      <c r="M21" s="517">
        <v>2.13</v>
      </c>
      <c r="N21" s="433">
        <v>2.0949999999999998</v>
      </c>
      <c r="O21" s="433">
        <v>2.0949999999999998</v>
      </c>
      <c r="P21" s="514"/>
      <c r="Q21" s="521" t="s">
        <v>1935</v>
      </c>
    </row>
    <row r="22" spans="1:17">
      <c r="A22" s="492">
        <v>46052</v>
      </c>
      <c r="B22" s="514" t="s">
        <v>2047</v>
      </c>
      <c r="C22" s="505" t="s">
        <v>2052</v>
      </c>
      <c r="D22" s="433" t="s">
        <v>1937</v>
      </c>
      <c r="E22" s="434">
        <v>46101</v>
      </c>
      <c r="F22" s="433" t="s">
        <v>1931</v>
      </c>
      <c r="G22" s="433" t="s">
        <v>194</v>
      </c>
      <c r="H22" s="433" t="s">
        <v>2158</v>
      </c>
      <c r="I22" s="433"/>
      <c r="J22" s="515">
        <v>430.29</v>
      </c>
      <c r="K22" s="433">
        <v>0</v>
      </c>
      <c r="L22" s="516">
        <v>1.0900000000000001</v>
      </c>
      <c r="M22" s="517">
        <v>1.1399999999999999</v>
      </c>
      <c r="N22" s="433">
        <v>1.115</v>
      </c>
      <c r="O22" s="433">
        <v>1.115</v>
      </c>
      <c r="P22" s="514"/>
      <c r="Q22" s="521" t="s">
        <v>1935</v>
      </c>
    </row>
    <row r="23" spans="1:17" ht="45">
      <c r="A23" s="492">
        <v>46052</v>
      </c>
      <c r="B23" s="494" t="s">
        <v>2050</v>
      </c>
      <c r="C23" s="505" t="s">
        <v>2053</v>
      </c>
      <c r="D23" s="433" t="s">
        <v>1937</v>
      </c>
      <c r="E23" s="434">
        <v>46101</v>
      </c>
      <c r="F23" s="433" t="s">
        <v>1926</v>
      </c>
      <c r="G23" s="433" t="s">
        <v>194</v>
      </c>
      <c r="H23" s="433" t="s">
        <v>2167</v>
      </c>
      <c r="I23" s="433"/>
      <c r="J23" s="515">
        <v>430.29</v>
      </c>
      <c r="K23" s="433">
        <v>24.70999999999998</v>
      </c>
      <c r="L23" s="516">
        <v>30.3</v>
      </c>
      <c r="M23" s="517">
        <v>31.4</v>
      </c>
      <c r="N23" s="433">
        <v>30.85</v>
      </c>
      <c r="O23" s="433">
        <v>30.85</v>
      </c>
      <c r="P23" s="514"/>
      <c r="Q23" s="521" t="s">
        <v>1935</v>
      </c>
    </row>
    <row r="24" spans="1:17" ht="45">
      <c r="A24" s="492">
        <v>46052</v>
      </c>
      <c r="B24" s="494" t="s">
        <v>2049</v>
      </c>
      <c r="C24" s="505" t="s">
        <v>2054</v>
      </c>
      <c r="D24" s="433" t="s">
        <v>1937</v>
      </c>
      <c r="E24" s="434">
        <v>46101</v>
      </c>
      <c r="F24" s="433" t="s">
        <v>1926</v>
      </c>
      <c r="G24" s="433" t="s">
        <v>194</v>
      </c>
      <c r="H24" s="433" t="s">
        <v>2168</v>
      </c>
      <c r="I24" s="433"/>
      <c r="J24" s="515">
        <v>430.29</v>
      </c>
      <c r="K24" s="433">
        <v>34.70999999999998</v>
      </c>
      <c r="L24" s="516">
        <v>38.15</v>
      </c>
      <c r="M24" s="517">
        <v>39.4</v>
      </c>
      <c r="N24" s="433">
        <v>38.774999999999999</v>
      </c>
      <c r="O24" s="433">
        <v>38.774999999999999</v>
      </c>
      <c r="P24" s="514"/>
      <c r="Q24" s="521" t="s">
        <v>1935</v>
      </c>
    </row>
    <row r="25" spans="1:17" ht="45">
      <c r="A25" s="492">
        <v>46052</v>
      </c>
      <c r="B25" s="494" t="s">
        <v>2058</v>
      </c>
      <c r="C25" s="505" t="s">
        <v>2060</v>
      </c>
      <c r="D25" s="433" t="s">
        <v>2061</v>
      </c>
      <c r="E25" s="434">
        <v>46101</v>
      </c>
      <c r="F25" s="433" t="s">
        <v>1926</v>
      </c>
      <c r="G25" s="433" t="s">
        <v>194</v>
      </c>
      <c r="H25" s="433" t="s">
        <v>2169</v>
      </c>
      <c r="I25" s="433"/>
      <c r="J25" s="515">
        <v>78.92</v>
      </c>
      <c r="K25" s="433">
        <v>1.0799999999999983</v>
      </c>
      <c r="L25" s="516">
        <v>7.25</v>
      </c>
      <c r="M25" s="517">
        <v>7.5</v>
      </c>
      <c r="N25" s="433">
        <v>7.375</v>
      </c>
      <c r="O25" s="433">
        <v>7.375</v>
      </c>
      <c r="P25" s="514"/>
      <c r="Q25" s="521" t="s">
        <v>1935</v>
      </c>
    </row>
    <row r="26" spans="1:17" ht="45">
      <c r="A26" s="492">
        <v>46052</v>
      </c>
      <c r="B26" s="494" t="s">
        <v>2059</v>
      </c>
      <c r="C26" s="505" t="s">
        <v>2062</v>
      </c>
      <c r="D26" s="433" t="s">
        <v>2061</v>
      </c>
      <c r="E26" s="434">
        <v>46101</v>
      </c>
      <c r="F26" s="433" t="s">
        <v>1926</v>
      </c>
      <c r="G26" s="433" t="s">
        <v>194</v>
      </c>
      <c r="H26" s="433" t="s">
        <v>2170</v>
      </c>
      <c r="I26" s="433"/>
      <c r="J26" s="515">
        <v>78.92</v>
      </c>
      <c r="K26" s="433">
        <v>11.079999999999998</v>
      </c>
      <c r="L26" s="516">
        <v>12.55</v>
      </c>
      <c r="M26" s="517">
        <v>14.9</v>
      </c>
      <c r="N26" s="433">
        <v>13.725000000000001</v>
      </c>
      <c r="O26" s="433">
        <v>13.725000000000001</v>
      </c>
      <c r="P26" s="514"/>
      <c r="Q26" s="521" t="s">
        <v>1935</v>
      </c>
    </row>
    <row r="27" spans="1:17" ht="45">
      <c r="A27" s="492">
        <v>46052</v>
      </c>
      <c r="B27" s="494" t="s">
        <v>2065</v>
      </c>
      <c r="C27" s="505" t="s">
        <v>2066</v>
      </c>
      <c r="D27" s="433" t="s">
        <v>1936</v>
      </c>
      <c r="E27" s="434">
        <v>46038</v>
      </c>
      <c r="F27" s="433" t="s">
        <v>1926</v>
      </c>
      <c r="G27" s="433" t="s">
        <v>194</v>
      </c>
      <c r="H27" s="433" t="s">
        <v>2171</v>
      </c>
      <c r="I27" s="433"/>
      <c r="J27" s="510">
        <v>37.04</v>
      </c>
      <c r="K27" s="433">
        <v>0</v>
      </c>
      <c r="L27" s="511">
        <v>0.83499999999999996</v>
      </c>
      <c r="M27" s="512">
        <v>0.83499999999999996</v>
      </c>
      <c r="N27" s="433">
        <v>0.83499999999999996</v>
      </c>
      <c r="O27" s="433">
        <v>0.83499999999999996</v>
      </c>
      <c r="P27" s="514">
        <v>0</v>
      </c>
      <c r="Q27" s="521" t="s">
        <v>1928</v>
      </c>
    </row>
    <row r="28" spans="1:17" ht="45">
      <c r="A28" s="492">
        <v>46052</v>
      </c>
      <c r="B28" s="494" t="s">
        <v>2068</v>
      </c>
      <c r="C28" s="505" t="s">
        <v>2070</v>
      </c>
      <c r="D28" s="433" t="s">
        <v>2071</v>
      </c>
      <c r="E28" s="434">
        <v>46129</v>
      </c>
      <c r="F28" s="433" t="s">
        <v>1931</v>
      </c>
      <c r="G28" s="433" t="s">
        <v>194</v>
      </c>
      <c r="H28" s="433" t="s">
        <v>2172</v>
      </c>
      <c r="I28" s="433"/>
      <c r="J28" s="515">
        <v>716.5</v>
      </c>
      <c r="K28" s="433">
        <v>26.5</v>
      </c>
      <c r="L28" s="516">
        <v>57.2</v>
      </c>
      <c r="M28" s="517">
        <v>57.65</v>
      </c>
      <c r="N28" s="433">
        <v>57.424999999999997</v>
      </c>
      <c r="O28" s="433">
        <v>57.424999999999997</v>
      </c>
      <c r="P28" s="514"/>
      <c r="Q28" s="521" t="s">
        <v>1935</v>
      </c>
    </row>
    <row r="29" spans="1:17">
      <c r="A29" s="492">
        <v>46052</v>
      </c>
      <c r="B29" s="504" t="s">
        <v>2067</v>
      </c>
      <c r="C29" s="505" t="s">
        <v>2072</v>
      </c>
      <c r="D29" s="433" t="s">
        <v>2071</v>
      </c>
      <c r="E29" s="434">
        <v>46129</v>
      </c>
      <c r="F29" s="433" t="s">
        <v>1931</v>
      </c>
      <c r="G29" s="433" t="s">
        <v>194</v>
      </c>
      <c r="H29" s="433" t="s">
        <v>2173</v>
      </c>
      <c r="I29" s="433"/>
      <c r="J29" s="515">
        <v>716.5</v>
      </c>
      <c r="K29" s="433">
        <v>0</v>
      </c>
      <c r="L29" s="516">
        <v>27.25</v>
      </c>
      <c r="M29" s="517">
        <v>27.45</v>
      </c>
      <c r="N29" s="433">
        <v>27.35</v>
      </c>
      <c r="O29" s="433">
        <v>27.35</v>
      </c>
      <c r="P29" s="514"/>
      <c r="Q29" s="521" t="s">
        <v>1935</v>
      </c>
    </row>
    <row r="30" spans="1:17" ht="45">
      <c r="A30" s="492">
        <v>46052</v>
      </c>
      <c r="B30" s="494" t="s">
        <v>2069</v>
      </c>
      <c r="C30" s="505" t="s">
        <v>2073</v>
      </c>
      <c r="D30" s="433" t="s">
        <v>2071</v>
      </c>
      <c r="E30" s="434">
        <v>46129</v>
      </c>
      <c r="F30" s="433" t="s">
        <v>1926</v>
      </c>
      <c r="G30" s="433" t="s">
        <v>194</v>
      </c>
      <c r="H30" s="433" t="s">
        <v>2174</v>
      </c>
      <c r="I30" s="433"/>
      <c r="J30" s="515">
        <v>716.5</v>
      </c>
      <c r="K30" s="433">
        <v>0</v>
      </c>
      <c r="L30" s="516">
        <v>5.35</v>
      </c>
      <c r="M30" s="517">
        <v>5.45</v>
      </c>
      <c r="N30" s="433">
        <v>5.4</v>
      </c>
      <c r="O30" s="433">
        <v>5.4</v>
      </c>
      <c r="P30" s="514"/>
      <c r="Q30" s="521" t="s">
        <v>1935</v>
      </c>
    </row>
    <row r="31" spans="1:17" ht="45">
      <c r="A31" s="492">
        <v>46052</v>
      </c>
      <c r="B31" s="494" t="s">
        <v>2075</v>
      </c>
      <c r="C31" s="505" t="s">
        <v>2080</v>
      </c>
      <c r="D31" s="433" t="s">
        <v>2081</v>
      </c>
      <c r="E31" s="434">
        <v>46073</v>
      </c>
      <c r="F31" s="433" t="s">
        <v>1931</v>
      </c>
      <c r="G31" s="433" t="s">
        <v>194</v>
      </c>
      <c r="H31" s="433" t="s">
        <v>2175</v>
      </c>
      <c r="I31" s="433"/>
      <c r="J31" s="515">
        <v>391.84</v>
      </c>
      <c r="K31" s="433">
        <v>0</v>
      </c>
      <c r="L31" s="516">
        <v>22.8</v>
      </c>
      <c r="M31" s="517">
        <v>26.3</v>
      </c>
      <c r="N31" s="433">
        <v>24.55</v>
      </c>
      <c r="O31" s="433">
        <v>24.55</v>
      </c>
      <c r="P31" s="514"/>
      <c r="Q31" s="521" t="s">
        <v>1935</v>
      </c>
    </row>
    <row r="32" spans="1:17" ht="45">
      <c r="A32" s="492">
        <v>46052</v>
      </c>
      <c r="B32" s="494" t="s">
        <v>2074</v>
      </c>
      <c r="C32" s="505" t="s">
        <v>2082</v>
      </c>
      <c r="D32" s="433" t="s">
        <v>2081</v>
      </c>
      <c r="E32" s="434">
        <v>46073</v>
      </c>
      <c r="F32" s="433" t="s">
        <v>1931</v>
      </c>
      <c r="G32" s="433" t="s">
        <v>194</v>
      </c>
      <c r="H32" s="433" t="s">
        <v>2176</v>
      </c>
      <c r="I32" s="433"/>
      <c r="J32" s="515">
        <v>391.84</v>
      </c>
      <c r="K32" s="433">
        <v>0</v>
      </c>
      <c r="L32" s="516">
        <v>40.4</v>
      </c>
      <c r="M32" s="517">
        <v>43.3</v>
      </c>
      <c r="N32" s="433">
        <v>41.849999999999994</v>
      </c>
      <c r="O32" s="433">
        <v>41.849999999999994</v>
      </c>
      <c r="P32" s="514"/>
      <c r="Q32" s="521" t="s">
        <v>1935</v>
      </c>
    </row>
    <row r="33" spans="1:17" ht="45">
      <c r="A33" s="492">
        <v>46052</v>
      </c>
      <c r="B33" s="494" t="s">
        <v>2078</v>
      </c>
      <c r="C33" s="505" t="s">
        <v>2083</v>
      </c>
      <c r="D33" s="433" t="s">
        <v>2084</v>
      </c>
      <c r="E33" s="434">
        <v>46101</v>
      </c>
      <c r="F33" s="433" t="s">
        <v>1931</v>
      </c>
      <c r="G33" s="433" t="s">
        <v>194</v>
      </c>
      <c r="H33" s="433" t="s">
        <v>2156</v>
      </c>
      <c r="I33" s="433"/>
      <c r="J33" s="515">
        <v>212.18</v>
      </c>
      <c r="K33" s="433">
        <v>2.1800000000000068</v>
      </c>
      <c r="L33" s="516">
        <v>27.6</v>
      </c>
      <c r="M33" s="517">
        <v>28.6</v>
      </c>
      <c r="N33" s="433">
        <v>28.1</v>
      </c>
      <c r="O33" s="433">
        <v>28.1</v>
      </c>
      <c r="P33" s="514"/>
      <c r="Q33" s="521" t="s">
        <v>1935</v>
      </c>
    </row>
    <row r="34" spans="1:17" ht="45">
      <c r="A34" s="492">
        <v>46052</v>
      </c>
      <c r="B34" s="494" t="s">
        <v>2079</v>
      </c>
      <c r="C34" s="505" t="s">
        <v>2085</v>
      </c>
      <c r="D34" s="433" t="s">
        <v>2084</v>
      </c>
      <c r="E34" s="434">
        <v>46101</v>
      </c>
      <c r="F34" s="433" t="s">
        <v>1931</v>
      </c>
      <c r="G34" s="433" t="s">
        <v>194</v>
      </c>
      <c r="H34" s="433" t="s">
        <v>2155</v>
      </c>
      <c r="I34" s="433"/>
      <c r="J34" s="515">
        <v>212.18</v>
      </c>
      <c r="K34" s="433">
        <v>0</v>
      </c>
      <c r="L34" s="516">
        <v>13.2</v>
      </c>
      <c r="M34" s="517">
        <v>14.5</v>
      </c>
      <c r="N34" s="433">
        <v>13.85</v>
      </c>
      <c r="O34" s="433">
        <v>13.85</v>
      </c>
      <c r="P34" s="514"/>
      <c r="Q34" s="521" t="s">
        <v>1935</v>
      </c>
    </row>
    <row r="35" spans="1:17" ht="45">
      <c r="A35" s="492">
        <v>46052</v>
      </c>
      <c r="B35" s="494" t="s">
        <v>2088</v>
      </c>
      <c r="C35" s="505" t="s">
        <v>2090</v>
      </c>
      <c r="D35" s="433" t="s">
        <v>2091</v>
      </c>
      <c r="E35" s="434">
        <v>46101</v>
      </c>
      <c r="F35" s="433" t="s">
        <v>1931</v>
      </c>
      <c r="G35" s="433" t="s">
        <v>194</v>
      </c>
      <c r="H35" s="433" t="s">
        <v>2146</v>
      </c>
      <c r="I35" s="433"/>
      <c r="J35" s="515">
        <v>83.49</v>
      </c>
      <c r="K35" s="433">
        <v>0</v>
      </c>
      <c r="L35" s="516">
        <v>0.23</v>
      </c>
      <c r="M35" s="517">
        <v>0.28000000000000003</v>
      </c>
      <c r="N35" s="433">
        <v>0.255</v>
      </c>
      <c r="O35" s="433">
        <v>0.255</v>
      </c>
      <c r="P35" s="514"/>
      <c r="Q35" s="521" t="s">
        <v>1935</v>
      </c>
    </row>
    <row r="36" spans="1:17" ht="45">
      <c r="A36" s="492">
        <v>46052</v>
      </c>
      <c r="B36" s="494" t="s">
        <v>2089</v>
      </c>
      <c r="C36" s="505" t="s">
        <v>2092</v>
      </c>
      <c r="D36" s="433" t="s">
        <v>2091</v>
      </c>
      <c r="E36" s="434">
        <v>46101</v>
      </c>
      <c r="F36" s="433" t="s">
        <v>1926</v>
      </c>
      <c r="G36" s="433" t="s">
        <v>194</v>
      </c>
      <c r="H36" s="433" t="s">
        <v>2177</v>
      </c>
      <c r="I36" s="433"/>
      <c r="J36" s="515">
        <v>83.49</v>
      </c>
      <c r="K36" s="433">
        <v>0</v>
      </c>
      <c r="L36" s="516">
        <v>3.35</v>
      </c>
      <c r="M36" s="517">
        <v>3.5</v>
      </c>
      <c r="N36" s="433">
        <v>3.4249999999999998</v>
      </c>
      <c r="O36" s="433">
        <v>3.4249999999999998</v>
      </c>
      <c r="P36" s="514"/>
      <c r="Q36" s="521" t="s">
        <v>1935</v>
      </c>
    </row>
    <row r="37" spans="1:17" ht="45">
      <c r="A37" s="492">
        <v>46052</v>
      </c>
      <c r="B37" s="494" t="s">
        <v>2087</v>
      </c>
      <c r="C37" s="505" t="s">
        <v>2093</v>
      </c>
      <c r="D37" s="433" t="s">
        <v>2091</v>
      </c>
      <c r="E37" s="434">
        <v>46101</v>
      </c>
      <c r="F37" s="433" t="s">
        <v>1926</v>
      </c>
      <c r="G37" s="433" t="s">
        <v>194</v>
      </c>
      <c r="H37" s="433" t="s">
        <v>2178</v>
      </c>
      <c r="I37" s="433"/>
      <c r="J37" s="515">
        <v>83.49</v>
      </c>
      <c r="K37" s="433">
        <v>8.5100000000000051</v>
      </c>
      <c r="L37" s="516">
        <v>9.15</v>
      </c>
      <c r="M37" s="517">
        <v>9.5500000000000007</v>
      </c>
      <c r="N37" s="433">
        <v>9.3500000000000014</v>
      </c>
      <c r="O37" s="433">
        <v>9.3500000000000014</v>
      </c>
      <c r="P37" s="514"/>
      <c r="Q37" s="521" t="s">
        <v>1935</v>
      </c>
    </row>
    <row r="38" spans="1:17" ht="45">
      <c r="A38" s="492">
        <v>46052</v>
      </c>
      <c r="B38" s="494" t="s">
        <v>2095</v>
      </c>
      <c r="C38" s="505" t="s">
        <v>2098</v>
      </c>
      <c r="D38" s="433" t="s">
        <v>2061</v>
      </c>
      <c r="E38" s="434">
        <v>46101</v>
      </c>
      <c r="F38" s="433" t="s">
        <v>1926</v>
      </c>
      <c r="G38" s="433" t="s">
        <v>194</v>
      </c>
      <c r="H38" s="433" t="s">
        <v>2179</v>
      </c>
      <c r="I38" s="433"/>
      <c r="J38" s="515">
        <v>78.92</v>
      </c>
      <c r="K38" s="433">
        <v>0</v>
      </c>
      <c r="L38" s="516">
        <v>4.8</v>
      </c>
      <c r="M38" s="517">
        <v>5</v>
      </c>
      <c r="N38" s="433">
        <v>4.9000000000000004</v>
      </c>
      <c r="O38" s="433">
        <v>4.9000000000000004</v>
      </c>
      <c r="P38" s="514"/>
      <c r="Q38" s="521" t="s">
        <v>1935</v>
      </c>
    </row>
    <row r="39" spans="1:17" ht="45">
      <c r="A39" s="492">
        <v>46052</v>
      </c>
      <c r="B39" s="494" t="s">
        <v>2094</v>
      </c>
      <c r="C39" s="505" t="s">
        <v>2099</v>
      </c>
      <c r="D39" s="433" t="s">
        <v>2061</v>
      </c>
      <c r="E39" s="434">
        <v>46101</v>
      </c>
      <c r="F39" s="433" t="s">
        <v>1926</v>
      </c>
      <c r="G39" s="433" t="s">
        <v>194</v>
      </c>
      <c r="H39" s="433" t="s">
        <v>2180</v>
      </c>
      <c r="I39" s="433"/>
      <c r="J39" s="515">
        <v>78.92</v>
      </c>
      <c r="K39" s="433">
        <v>6.0799999999999983</v>
      </c>
      <c r="L39" s="516">
        <v>10.3</v>
      </c>
      <c r="M39" s="517">
        <v>10.5</v>
      </c>
      <c r="N39" s="433">
        <v>10.4</v>
      </c>
      <c r="O39" s="433">
        <v>10.4</v>
      </c>
      <c r="P39" s="514"/>
      <c r="Q39" s="521" t="s">
        <v>1935</v>
      </c>
    </row>
    <row r="40" spans="1:17" ht="45">
      <c r="A40" s="492">
        <v>46052</v>
      </c>
      <c r="B40" s="494" t="s">
        <v>2102</v>
      </c>
      <c r="C40" s="505" t="s">
        <v>2108</v>
      </c>
      <c r="D40" s="433" t="s">
        <v>2109</v>
      </c>
      <c r="E40" s="434">
        <v>46191</v>
      </c>
      <c r="F40" s="433" t="s">
        <v>1931</v>
      </c>
      <c r="G40" s="433" t="s">
        <v>194</v>
      </c>
      <c r="H40" s="433" t="s">
        <v>2181</v>
      </c>
      <c r="I40" s="433"/>
      <c r="J40" s="515">
        <v>331.3</v>
      </c>
      <c r="K40" s="433">
        <v>0</v>
      </c>
      <c r="L40" s="516">
        <v>34.9</v>
      </c>
      <c r="M40" s="517">
        <v>35.549999999999997</v>
      </c>
      <c r="N40" s="433">
        <v>35.224999999999994</v>
      </c>
      <c r="O40" s="433">
        <v>35.224999999999994</v>
      </c>
      <c r="P40" s="514"/>
      <c r="Q40" s="521" t="s">
        <v>1935</v>
      </c>
    </row>
    <row r="41" spans="1:17" ht="45">
      <c r="A41" s="492">
        <v>46052</v>
      </c>
      <c r="B41" s="494" t="s">
        <v>2104</v>
      </c>
      <c r="C41" s="505" t="s">
        <v>2110</v>
      </c>
      <c r="D41" s="433" t="s">
        <v>2109</v>
      </c>
      <c r="E41" s="434">
        <v>46191</v>
      </c>
      <c r="F41" s="433" t="s">
        <v>1931</v>
      </c>
      <c r="G41" s="433" t="s">
        <v>194</v>
      </c>
      <c r="H41" s="433" t="s">
        <v>2182</v>
      </c>
      <c r="I41" s="433"/>
      <c r="J41" s="515">
        <v>331.3</v>
      </c>
      <c r="K41" s="433">
        <v>0</v>
      </c>
      <c r="L41" s="516">
        <v>17.05</v>
      </c>
      <c r="M41" s="517">
        <v>17.5</v>
      </c>
      <c r="N41" s="433">
        <v>17.274999999999999</v>
      </c>
      <c r="O41" s="433">
        <v>17.274999999999999</v>
      </c>
      <c r="P41" s="514"/>
      <c r="Q41" s="521" t="s">
        <v>1935</v>
      </c>
    </row>
    <row r="42" spans="1:17" ht="45">
      <c r="A42" s="492">
        <v>46052</v>
      </c>
      <c r="B42" s="494" t="s">
        <v>2103</v>
      </c>
      <c r="C42" s="505" t="s">
        <v>2111</v>
      </c>
      <c r="D42" s="433" t="s">
        <v>2109</v>
      </c>
      <c r="E42" s="434">
        <v>46191</v>
      </c>
      <c r="F42" s="433" t="s">
        <v>1926</v>
      </c>
      <c r="G42" s="433" t="s">
        <v>194</v>
      </c>
      <c r="H42" s="433" t="s">
        <v>2183</v>
      </c>
      <c r="I42" s="433"/>
      <c r="J42" s="515">
        <v>331.3</v>
      </c>
      <c r="K42" s="433">
        <v>0</v>
      </c>
      <c r="L42" s="516">
        <v>14.8</v>
      </c>
      <c r="M42" s="517">
        <v>15.1</v>
      </c>
      <c r="N42" s="433">
        <v>14.95</v>
      </c>
      <c r="O42" s="433">
        <v>14.95</v>
      </c>
      <c r="P42" s="514"/>
      <c r="Q42" s="521" t="s">
        <v>1935</v>
      </c>
    </row>
    <row r="43" spans="1:17" ht="45">
      <c r="A43" s="492">
        <v>46052</v>
      </c>
      <c r="B43" s="494" t="s">
        <v>2101</v>
      </c>
      <c r="C43" s="505" t="s">
        <v>2112</v>
      </c>
      <c r="D43" s="433" t="s">
        <v>2109</v>
      </c>
      <c r="E43" s="434">
        <v>46191</v>
      </c>
      <c r="F43" s="433" t="s">
        <v>1926</v>
      </c>
      <c r="G43" s="433" t="s">
        <v>194</v>
      </c>
      <c r="H43" s="433" t="s">
        <v>2153</v>
      </c>
      <c r="I43" s="433"/>
      <c r="J43" s="515">
        <v>331.3</v>
      </c>
      <c r="K43" s="433">
        <v>0</v>
      </c>
      <c r="L43" s="516">
        <v>24.55</v>
      </c>
      <c r="M43" s="517">
        <v>25</v>
      </c>
      <c r="N43" s="433">
        <v>24.774999999999999</v>
      </c>
      <c r="O43" s="433">
        <v>24.774999999999999</v>
      </c>
      <c r="P43" s="514"/>
      <c r="Q43" s="521" t="s">
        <v>1935</v>
      </c>
    </row>
    <row r="44" spans="1:17" ht="45">
      <c r="A44" s="492">
        <v>46052</v>
      </c>
      <c r="B44" s="494" t="s">
        <v>2105</v>
      </c>
      <c r="C44" s="505" t="s">
        <v>2113</v>
      </c>
      <c r="D44" s="433" t="s">
        <v>2071</v>
      </c>
      <c r="E44" s="434">
        <v>46129</v>
      </c>
      <c r="F44" s="433" t="s">
        <v>1926</v>
      </c>
      <c r="G44" s="433" t="s">
        <v>194</v>
      </c>
      <c r="H44" s="433" t="s">
        <v>2184</v>
      </c>
      <c r="I44" s="433"/>
      <c r="J44" s="515">
        <v>716.5</v>
      </c>
      <c r="K44" s="433">
        <v>0</v>
      </c>
      <c r="L44" s="516">
        <v>6.2</v>
      </c>
      <c r="M44" s="517">
        <v>6.4</v>
      </c>
      <c r="N44" s="433">
        <v>6.3000000000000007</v>
      </c>
      <c r="O44" s="433">
        <v>6.3000000000000007</v>
      </c>
      <c r="P44" s="514"/>
      <c r="Q44" s="521" t="s">
        <v>1935</v>
      </c>
    </row>
    <row r="45" spans="1:17" ht="45">
      <c r="A45" s="492">
        <v>46052</v>
      </c>
      <c r="B45" s="494" t="s">
        <v>2097</v>
      </c>
      <c r="C45" s="505" t="s">
        <v>2114</v>
      </c>
      <c r="D45" s="433" t="s">
        <v>1938</v>
      </c>
      <c r="E45" s="434">
        <v>46101</v>
      </c>
      <c r="F45" s="433" t="s">
        <v>1931</v>
      </c>
      <c r="G45" s="433" t="s">
        <v>194</v>
      </c>
      <c r="H45" s="433" t="s">
        <v>2165</v>
      </c>
      <c r="I45" s="433"/>
      <c r="J45" s="515">
        <v>330.56</v>
      </c>
      <c r="K45" s="433">
        <v>0.56000000000000227</v>
      </c>
      <c r="L45" s="516">
        <v>18.25</v>
      </c>
      <c r="M45" s="517">
        <v>18.850000000000001</v>
      </c>
      <c r="N45" s="433">
        <v>18.55</v>
      </c>
      <c r="O45" s="433">
        <v>18.55</v>
      </c>
      <c r="P45" s="514"/>
      <c r="Q45" s="521" t="s">
        <v>1935</v>
      </c>
    </row>
    <row r="46" spans="1:17" ht="45">
      <c r="A46" s="492">
        <v>46052</v>
      </c>
      <c r="B46" s="494" t="s">
        <v>2096</v>
      </c>
      <c r="C46" s="505" t="s">
        <v>2115</v>
      </c>
      <c r="D46" s="433" t="s">
        <v>1938</v>
      </c>
      <c r="E46" s="434">
        <v>46101</v>
      </c>
      <c r="F46" s="433" t="s">
        <v>1931</v>
      </c>
      <c r="G46" s="433" t="s">
        <v>194</v>
      </c>
      <c r="H46" s="433" t="s">
        <v>2153</v>
      </c>
      <c r="I46" s="433"/>
      <c r="J46" s="515">
        <v>330.56</v>
      </c>
      <c r="K46" s="433">
        <v>30.560000000000002</v>
      </c>
      <c r="L46" s="516">
        <v>37</v>
      </c>
      <c r="M46" s="517">
        <v>39.85</v>
      </c>
      <c r="N46" s="433">
        <v>38.424999999999997</v>
      </c>
      <c r="O46" s="433">
        <v>38.424999999999997</v>
      </c>
      <c r="P46" s="514"/>
      <c r="Q46" s="521" t="s">
        <v>1935</v>
      </c>
    </row>
    <row r="47" spans="1:17" ht="45">
      <c r="A47" s="492">
        <v>46052</v>
      </c>
      <c r="B47" s="494" t="s">
        <v>2106</v>
      </c>
      <c r="C47" s="505" t="s">
        <v>2116</v>
      </c>
      <c r="D47" s="433" t="s">
        <v>2071</v>
      </c>
      <c r="E47" s="434">
        <v>46129</v>
      </c>
      <c r="F47" s="433" t="s">
        <v>1926</v>
      </c>
      <c r="G47" s="433" t="s">
        <v>194</v>
      </c>
      <c r="H47" s="433" t="s">
        <v>2185</v>
      </c>
      <c r="I47" s="433"/>
      <c r="J47" s="515">
        <v>716.5</v>
      </c>
      <c r="K47" s="433">
        <v>0</v>
      </c>
      <c r="L47" s="516">
        <v>3.85</v>
      </c>
      <c r="M47" s="517">
        <v>3.95</v>
      </c>
      <c r="N47" s="433">
        <v>3.9000000000000004</v>
      </c>
      <c r="O47" s="433">
        <v>3.9000000000000004</v>
      </c>
      <c r="P47" s="514"/>
      <c r="Q47" s="521" t="s">
        <v>1935</v>
      </c>
    </row>
    <row r="48" spans="1:17">
      <c r="A48" s="492">
        <v>46052</v>
      </c>
      <c r="B48" s="518" t="s">
        <v>2225</v>
      </c>
      <c r="C48" s="505" t="s">
        <v>2229</v>
      </c>
      <c r="D48" s="433" t="s">
        <v>1938</v>
      </c>
      <c r="E48" s="434">
        <v>46191</v>
      </c>
      <c r="F48" s="433" t="s">
        <v>1931</v>
      </c>
      <c r="G48" s="433" t="s">
        <v>194</v>
      </c>
      <c r="H48" s="433" t="s">
        <v>2230</v>
      </c>
      <c r="I48" s="433"/>
      <c r="J48" s="515">
        <v>330.56</v>
      </c>
      <c r="K48" s="433">
        <v>0</v>
      </c>
      <c r="L48" s="516">
        <v>28.3</v>
      </c>
      <c r="M48" s="517">
        <v>29.35</v>
      </c>
      <c r="N48" s="433">
        <v>28.825000000000003</v>
      </c>
      <c r="O48" s="433">
        <v>28.825000000000003</v>
      </c>
      <c r="P48" s="514"/>
      <c r="Q48" s="521" t="s">
        <v>1935</v>
      </c>
    </row>
    <row r="49" spans="1:17">
      <c r="A49" s="492">
        <v>46052</v>
      </c>
      <c r="B49" s="518" t="s">
        <v>2226</v>
      </c>
      <c r="C49" s="505" t="s">
        <v>2231</v>
      </c>
      <c r="D49" s="433" t="s">
        <v>1938</v>
      </c>
      <c r="E49" s="434">
        <v>46191</v>
      </c>
      <c r="F49" s="433" t="s">
        <v>1931</v>
      </c>
      <c r="G49" s="433" t="s">
        <v>194</v>
      </c>
      <c r="H49" s="433" t="s">
        <v>2232</v>
      </c>
      <c r="I49" s="433"/>
      <c r="J49" s="515">
        <v>330.56</v>
      </c>
      <c r="K49" s="433">
        <v>0</v>
      </c>
      <c r="L49" s="516">
        <v>15</v>
      </c>
      <c r="M49" s="517">
        <v>16.149999999999999</v>
      </c>
      <c r="N49" s="433">
        <v>15.574999999999999</v>
      </c>
      <c r="O49" s="433">
        <v>15.574999999999999</v>
      </c>
      <c r="P49" s="514"/>
      <c r="Q49" s="521" t="s">
        <v>1935</v>
      </c>
    </row>
    <row r="50" spans="1:17">
      <c r="A50" s="492">
        <v>46052</v>
      </c>
      <c r="B50" s="518" t="s">
        <v>2224</v>
      </c>
      <c r="C50" s="505" t="s">
        <v>2233</v>
      </c>
      <c r="D50" s="433" t="s">
        <v>2234</v>
      </c>
      <c r="E50" s="434">
        <v>46073</v>
      </c>
      <c r="F50" s="433" t="s">
        <v>1931</v>
      </c>
      <c r="G50" s="433" t="s">
        <v>194</v>
      </c>
      <c r="H50" s="433" t="s">
        <v>2235</v>
      </c>
      <c r="I50" s="433"/>
      <c r="J50" s="510">
        <v>33.44</v>
      </c>
      <c r="K50" s="433">
        <v>0</v>
      </c>
      <c r="L50" s="511">
        <v>0.15053639983815079</v>
      </c>
      <c r="M50" s="512">
        <v>0.15053639983815079</v>
      </c>
      <c r="N50" s="433">
        <v>0.15053639983815079</v>
      </c>
      <c r="O50" s="433">
        <v>0.15248078296945977</v>
      </c>
      <c r="P50" s="514">
        <v>19.817881544942821</v>
      </c>
      <c r="Q50" s="521" t="s">
        <v>1928</v>
      </c>
    </row>
    <row r="51" spans="1:17">
      <c r="A51" s="492">
        <v>46052</v>
      </c>
      <c r="B51" s="518" t="s">
        <v>2260</v>
      </c>
      <c r="C51" s="505" t="s">
        <v>2262</v>
      </c>
      <c r="D51" s="433" t="s">
        <v>2263</v>
      </c>
      <c r="E51" s="434">
        <v>46283</v>
      </c>
      <c r="F51" s="433" t="s">
        <v>1931</v>
      </c>
      <c r="G51" s="433" t="s">
        <v>194</v>
      </c>
      <c r="H51" s="433" t="s">
        <v>2264</v>
      </c>
      <c r="I51" s="433"/>
      <c r="J51" s="515">
        <v>94.2</v>
      </c>
      <c r="K51" s="433">
        <v>0</v>
      </c>
      <c r="L51" s="516">
        <v>8</v>
      </c>
      <c r="M51" s="517">
        <v>8.6</v>
      </c>
      <c r="N51" s="433">
        <v>8.3000000000000007</v>
      </c>
      <c r="O51" s="433">
        <v>8.3000000000000007</v>
      </c>
      <c r="P51" s="514"/>
      <c r="Q51" s="521" t="s">
        <v>1935</v>
      </c>
    </row>
    <row r="52" spans="1:17">
      <c r="A52" s="492">
        <v>46052</v>
      </c>
      <c r="B52" s="518" t="s">
        <v>2259</v>
      </c>
      <c r="C52" s="505" t="s">
        <v>2265</v>
      </c>
      <c r="D52" s="433" t="s">
        <v>2263</v>
      </c>
      <c r="E52" s="434">
        <v>46283</v>
      </c>
      <c r="F52" s="433" t="s">
        <v>1931</v>
      </c>
      <c r="G52" s="433" t="s">
        <v>194</v>
      </c>
      <c r="H52" s="433" t="s">
        <v>2266</v>
      </c>
      <c r="I52" s="433"/>
      <c r="J52" s="515">
        <v>94.2</v>
      </c>
      <c r="K52" s="433">
        <v>0</v>
      </c>
      <c r="L52" s="516">
        <v>10</v>
      </c>
      <c r="M52" s="517">
        <v>11.45</v>
      </c>
      <c r="N52" s="433">
        <v>10.725</v>
      </c>
      <c r="O52" s="433">
        <v>10.725</v>
      </c>
      <c r="P52" s="514"/>
      <c r="Q52" s="521" t="s">
        <v>1935</v>
      </c>
    </row>
    <row r="53" spans="1:17">
      <c r="A53" s="492">
        <v>46052</v>
      </c>
      <c r="B53" s="518" t="s">
        <v>2270</v>
      </c>
      <c r="C53" s="505" t="s">
        <v>2274</v>
      </c>
      <c r="D53" s="433" t="s">
        <v>2275</v>
      </c>
      <c r="E53" s="434">
        <v>46073</v>
      </c>
      <c r="F53" s="433" t="s">
        <v>1931</v>
      </c>
      <c r="G53" s="433" t="s">
        <v>194</v>
      </c>
      <c r="H53" s="433" t="s">
        <v>2276</v>
      </c>
      <c r="I53" s="433"/>
      <c r="J53" s="515">
        <v>576.25</v>
      </c>
      <c r="K53" s="433">
        <v>76.25</v>
      </c>
      <c r="L53" s="516">
        <v>100</v>
      </c>
      <c r="M53" s="517">
        <v>103</v>
      </c>
      <c r="N53" s="433">
        <v>101.5</v>
      </c>
      <c r="O53" s="433">
        <v>101.5</v>
      </c>
      <c r="P53" s="514"/>
      <c r="Q53" s="521" t="s">
        <v>1935</v>
      </c>
    </row>
    <row r="54" spans="1:17">
      <c r="A54" s="492">
        <v>46052</v>
      </c>
      <c r="B54" s="518" t="s">
        <v>2277</v>
      </c>
      <c r="C54" s="505" t="s">
        <v>2278</v>
      </c>
      <c r="D54" s="433" t="s">
        <v>1936</v>
      </c>
      <c r="E54" s="434">
        <v>46073</v>
      </c>
      <c r="F54" s="433" t="s">
        <v>1931</v>
      </c>
      <c r="G54" s="433" t="s">
        <v>194</v>
      </c>
      <c r="H54" s="433" t="s">
        <v>2235</v>
      </c>
      <c r="I54" s="433"/>
      <c r="J54" s="510">
        <v>37.04</v>
      </c>
      <c r="K54" s="433">
        <v>2.0399999999999991</v>
      </c>
      <c r="L54" s="511">
        <v>2.4529607421639996</v>
      </c>
      <c r="M54" s="512">
        <v>2.4529607421639996</v>
      </c>
      <c r="N54" s="433">
        <v>2.4529607421639996</v>
      </c>
      <c r="O54" s="433">
        <v>2.4570222576884957</v>
      </c>
      <c r="P54" s="514">
        <v>31.812467248073791</v>
      </c>
      <c r="Q54" s="521" t="s">
        <v>1928</v>
      </c>
    </row>
    <row r="55" spans="1:17">
      <c r="A55" s="492">
        <v>46052</v>
      </c>
      <c r="B55" t="s">
        <v>2271</v>
      </c>
      <c r="C55" s="505" t="s">
        <v>2279</v>
      </c>
      <c r="D55" s="433" t="s">
        <v>2061</v>
      </c>
      <c r="E55" s="434">
        <v>46101</v>
      </c>
      <c r="F55" s="433" t="s">
        <v>1926</v>
      </c>
      <c r="G55" s="433" t="s">
        <v>194</v>
      </c>
      <c r="H55" s="433" t="s">
        <v>2280</v>
      </c>
      <c r="I55" s="433"/>
      <c r="J55" s="515">
        <v>78.92</v>
      </c>
      <c r="K55" s="433">
        <v>0</v>
      </c>
      <c r="L55" s="516">
        <v>2.98</v>
      </c>
      <c r="M55" s="517">
        <v>3.1</v>
      </c>
      <c r="N55" s="433">
        <v>3.04</v>
      </c>
      <c r="O55" s="433">
        <v>3.04</v>
      </c>
      <c r="P55" s="514"/>
      <c r="Q55" s="521" t="s">
        <v>1935</v>
      </c>
    </row>
    <row r="56" spans="1:17">
      <c r="A56" s="492">
        <v>46052</v>
      </c>
      <c r="B56" t="s">
        <v>2282</v>
      </c>
      <c r="C56" s="505" t="s">
        <v>2294</v>
      </c>
      <c r="D56" s="433" t="s">
        <v>2275</v>
      </c>
      <c r="E56" s="434">
        <v>46073</v>
      </c>
      <c r="F56" s="433" t="s">
        <v>1931</v>
      </c>
      <c r="G56" s="433" t="s">
        <v>194</v>
      </c>
      <c r="H56" s="433" t="s">
        <v>2160</v>
      </c>
      <c r="I56" s="433"/>
      <c r="J56" s="515">
        <v>576.25</v>
      </c>
      <c r="K56" s="433">
        <v>26.25</v>
      </c>
      <c r="L56" s="516">
        <v>68.7</v>
      </c>
      <c r="M56" s="517">
        <v>71.3</v>
      </c>
      <c r="N56" s="433">
        <v>70</v>
      </c>
      <c r="O56" s="433">
        <v>70</v>
      </c>
      <c r="P56" s="514"/>
      <c r="Q56" s="521" t="s">
        <v>1935</v>
      </c>
    </row>
    <row r="57" spans="1:17">
      <c r="A57" s="492">
        <v>46052</v>
      </c>
      <c r="B57" t="s">
        <v>2286</v>
      </c>
      <c r="C57" s="505" t="s">
        <v>2295</v>
      </c>
      <c r="D57" s="433" t="s">
        <v>2071</v>
      </c>
      <c r="E57" s="434">
        <v>46220</v>
      </c>
      <c r="F57" s="433" t="s">
        <v>1931</v>
      </c>
      <c r="G57" s="433" t="s">
        <v>194</v>
      </c>
      <c r="H57" s="433" t="s">
        <v>2296</v>
      </c>
      <c r="I57" s="433"/>
      <c r="J57" s="515">
        <v>716.5</v>
      </c>
      <c r="K57" s="433">
        <v>46.5</v>
      </c>
      <c r="L57" s="516">
        <v>96.1</v>
      </c>
      <c r="M57" s="517">
        <v>97.2</v>
      </c>
      <c r="N57" s="433">
        <v>96.65</v>
      </c>
      <c r="O57" s="433">
        <v>96.65</v>
      </c>
      <c r="P57" s="514"/>
      <c r="Q57" s="521" t="s">
        <v>1935</v>
      </c>
    </row>
    <row r="58" spans="1:17">
      <c r="A58" s="492">
        <v>46052</v>
      </c>
      <c r="B58" t="s">
        <v>2285</v>
      </c>
      <c r="C58" s="505" t="s">
        <v>2297</v>
      </c>
      <c r="D58" s="433" t="s">
        <v>2033</v>
      </c>
      <c r="E58" s="434">
        <v>46220</v>
      </c>
      <c r="F58" s="433" t="s">
        <v>1931</v>
      </c>
      <c r="G58" s="433" t="s">
        <v>194</v>
      </c>
      <c r="H58" s="433" t="s">
        <v>2298</v>
      </c>
      <c r="I58" s="433"/>
      <c r="J58" s="515">
        <v>239.3</v>
      </c>
      <c r="K58" s="433">
        <v>0</v>
      </c>
      <c r="L58" s="516">
        <v>22.05</v>
      </c>
      <c r="M58" s="517">
        <v>22.95</v>
      </c>
      <c r="N58" s="433">
        <v>22.5</v>
      </c>
      <c r="O58" s="433">
        <v>22.5</v>
      </c>
      <c r="P58" s="514"/>
      <c r="Q58" s="521" t="s">
        <v>1935</v>
      </c>
    </row>
    <row r="59" spans="1:17">
      <c r="A59" s="492">
        <v>46052</v>
      </c>
      <c r="B59" s="514" t="s">
        <v>2299</v>
      </c>
      <c r="C59" s="505" t="s">
        <v>2300</v>
      </c>
      <c r="D59" s="433" t="s">
        <v>2301</v>
      </c>
      <c r="E59" s="434">
        <v>46366</v>
      </c>
      <c r="F59" s="433" t="s">
        <v>1931</v>
      </c>
      <c r="G59" s="433" t="s">
        <v>2107</v>
      </c>
      <c r="H59" s="433" t="s">
        <v>2302</v>
      </c>
      <c r="I59" s="433"/>
      <c r="J59" s="510">
        <v>768.41</v>
      </c>
      <c r="K59" s="433">
        <v>0</v>
      </c>
      <c r="L59" s="510">
        <v>22.208018080815187</v>
      </c>
      <c r="M59" s="510">
        <v>22.208018080815187</v>
      </c>
      <c r="N59" s="510">
        <v>22.208018080815187</v>
      </c>
      <c r="O59" s="510">
        <v>22.22755282862639</v>
      </c>
      <c r="P59" s="433">
        <v>29.079772473959608</v>
      </c>
      <c r="Q59" s="521" t="s">
        <v>1928</v>
      </c>
    </row>
    <row r="60" spans="1:17">
      <c r="A60" s="492">
        <v>46052</v>
      </c>
      <c r="B60" t="s">
        <v>2283</v>
      </c>
      <c r="C60" s="505" t="s">
        <v>2303</v>
      </c>
      <c r="D60" s="433" t="s">
        <v>2081</v>
      </c>
      <c r="E60" s="434">
        <v>46101</v>
      </c>
      <c r="F60" s="433" t="s">
        <v>1931</v>
      </c>
      <c r="G60" s="433" t="s">
        <v>194</v>
      </c>
      <c r="H60" s="433" t="s">
        <v>2304</v>
      </c>
      <c r="I60" s="433"/>
      <c r="J60" s="515">
        <v>391.84</v>
      </c>
      <c r="K60" s="433">
        <v>0</v>
      </c>
      <c r="L60" s="516">
        <v>51</v>
      </c>
      <c r="M60" s="517">
        <v>53.7</v>
      </c>
      <c r="N60" s="433">
        <v>52.35</v>
      </c>
      <c r="O60" s="433">
        <v>52.35</v>
      </c>
      <c r="P60" s="514"/>
      <c r="Q60" s="521" t="s">
        <v>1935</v>
      </c>
    </row>
    <row r="61" spans="1:17">
      <c r="A61" s="492">
        <v>46052</v>
      </c>
      <c r="B61" t="s">
        <v>2288</v>
      </c>
      <c r="C61" s="505" t="s">
        <v>2305</v>
      </c>
      <c r="D61" s="433" t="s">
        <v>1937</v>
      </c>
      <c r="E61" s="434">
        <v>46220</v>
      </c>
      <c r="F61" s="433" t="s">
        <v>1931</v>
      </c>
      <c r="G61" s="433" t="s">
        <v>194</v>
      </c>
      <c r="H61" s="433" t="s">
        <v>2168</v>
      </c>
      <c r="I61" s="433"/>
      <c r="J61" s="515">
        <v>430.29</v>
      </c>
      <c r="K61" s="433">
        <v>0</v>
      </c>
      <c r="L61" s="516">
        <v>20.5</v>
      </c>
      <c r="M61" s="517">
        <v>20.75</v>
      </c>
      <c r="N61" s="433">
        <v>20.625</v>
      </c>
      <c r="O61" s="433">
        <v>20.625</v>
      </c>
      <c r="P61" s="514"/>
      <c r="Q61" s="521" t="s">
        <v>1935</v>
      </c>
    </row>
    <row r="62" spans="1:17">
      <c r="A62" s="492">
        <v>46052</v>
      </c>
      <c r="B62" t="s">
        <v>2292</v>
      </c>
      <c r="C62" s="505" t="s">
        <v>2306</v>
      </c>
      <c r="D62" s="433" t="s">
        <v>1951</v>
      </c>
      <c r="E62" s="434">
        <v>46059</v>
      </c>
      <c r="F62" s="433" t="s">
        <v>1931</v>
      </c>
      <c r="G62" s="433" t="s">
        <v>194</v>
      </c>
      <c r="H62" s="433" t="s">
        <v>2307</v>
      </c>
      <c r="I62" s="433"/>
      <c r="J62" s="515">
        <v>621.87</v>
      </c>
      <c r="K62" s="433">
        <v>0</v>
      </c>
      <c r="L62" s="516">
        <v>2.9</v>
      </c>
      <c r="M62" s="517">
        <v>2.95</v>
      </c>
      <c r="N62" s="433">
        <v>2.9249999999999998</v>
      </c>
      <c r="O62" s="433">
        <v>2.9249999999999998</v>
      </c>
      <c r="P62" s="514"/>
      <c r="Q62" s="521" t="s">
        <v>1935</v>
      </c>
    </row>
    <row r="63" spans="1:17">
      <c r="A63" s="492">
        <v>46052</v>
      </c>
      <c r="B63" s="504" t="s">
        <v>2328</v>
      </c>
      <c r="C63" s="505" t="s">
        <v>2329</v>
      </c>
      <c r="D63" s="433" t="s">
        <v>1936</v>
      </c>
      <c r="E63" s="434">
        <v>46073</v>
      </c>
      <c r="F63" s="433" t="s">
        <v>1931</v>
      </c>
      <c r="G63" s="433" t="s">
        <v>194</v>
      </c>
      <c r="H63" s="433" t="s">
        <v>2330</v>
      </c>
      <c r="I63" s="433"/>
      <c r="J63" s="510">
        <v>37.04</v>
      </c>
      <c r="K63" s="433">
        <v>3.9999999999999147E-2</v>
      </c>
      <c r="L63" s="510">
        <v>1.1124863281927888</v>
      </c>
      <c r="M63" s="510">
        <v>1.1124863281927888</v>
      </c>
      <c r="N63" s="510">
        <v>1.1124863281927888</v>
      </c>
      <c r="O63" s="510">
        <v>1.1174890130053878</v>
      </c>
      <c r="P63" s="433">
        <v>29.91133078478882</v>
      </c>
      <c r="Q63" s="521" t="s">
        <v>1928</v>
      </c>
    </row>
    <row r="64" spans="1:17">
      <c r="A64" s="492">
        <v>46052</v>
      </c>
      <c r="B64" s="504" t="s">
        <v>2325</v>
      </c>
      <c r="C64" s="505" t="s">
        <v>2331</v>
      </c>
      <c r="D64" s="433" t="s">
        <v>2332</v>
      </c>
      <c r="E64" s="434">
        <v>46220</v>
      </c>
      <c r="F64" s="433" t="s">
        <v>1931</v>
      </c>
      <c r="G64" s="433" t="s">
        <v>194</v>
      </c>
      <c r="H64" s="433" t="s">
        <v>2333</v>
      </c>
      <c r="I64" s="433"/>
      <c r="J64" s="515">
        <v>46.47</v>
      </c>
      <c r="K64" s="433">
        <v>0</v>
      </c>
      <c r="L64" s="516">
        <v>5.95</v>
      </c>
      <c r="M64" s="517">
        <v>6.65</v>
      </c>
      <c r="N64" s="433">
        <v>6.3000000000000007</v>
      </c>
      <c r="O64" s="433">
        <v>6.3000000000000007</v>
      </c>
      <c r="P64" s="514"/>
      <c r="Q64" s="521" t="s">
        <v>1935</v>
      </c>
    </row>
    <row r="65" spans="1:17">
      <c r="A65" s="492">
        <v>46052</v>
      </c>
      <c r="B65" s="504" t="s">
        <v>2326</v>
      </c>
      <c r="C65" s="505" t="s">
        <v>2334</v>
      </c>
      <c r="D65" s="433" t="s">
        <v>2332</v>
      </c>
      <c r="E65" s="434">
        <v>46220</v>
      </c>
      <c r="F65" s="433" t="s">
        <v>1931</v>
      </c>
      <c r="G65" s="433" t="s">
        <v>194</v>
      </c>
      <c r="H65" s="433" t="s">
        <v>2335</v>
      </c>
      <c r="I65" s="433"/>
      <c r="J65" s="515">
        <v>46.47</v>
      </c>
      <c r="K65" s="433">
        <v>0</v>
      </c>
      <c r="L65" s="516">
        <v>3.55</v>
      </c>
      <c r="M65" s="517">
        <v>3.85</v>
      </c>
      <c r="N65" s="433">
        <v>3.7</v>
      </c>
      <c r="O65" s="433">
        <v>3.7</v>
      </c>
      <c r="P65" s="514"/>
      <c r="Q65" s="521" t="s">
        <v>1935</v>
      </c>
    </row>
    <row r="66" spans="1:17">
      <c r="A66" s="492">
        <v>46052</v>
      </c>
      <c r="B66" s="504" t="s">
        <v>2324</v>
      </c>
      <c r="C66" s="505" t="s">
        <v>2336</v>
      </c>
      <c r="D66" s="433" t="s">
        <v>2332</v>
      </c>
      <c r="E66" s="434">
        <v>46220</v>
      </c>
      <c r="F66" s="433" t="s">
        <v>1926</v>
      </c>
      <c r="G66" s="433" t="s">
        <v>194</v>
      </c>
      <c r="H66" s="433" t="s">
        <v>2337</v>
      </c>
      <c r="I66" s="433"/>
      <c r="J66" s="515">
        <v>46.47</v>
      </c>
      <c r="K66" s="433">
        <v>0</v>
      </c>
      <c r="L66" s="516">
        <v>3.5</v>
      </c>
      <c r="M66" s="517">
        <v>3.85</v>
      </c>
      <c r="N66" s="433">
        <v>3.6749999999999998</v>
      </c>
      <c r="O66" s="433">
        <v>3.6749999999999998</v>
      </c>
      <c r="P66" s="514"/>
      <c r="Q66" s="521" t="s">
        <v>1935</v>
      </c>
    </row>
    <row r="67" spans="1:17">
      <c r="A67" s="492">
        <v>46052</v>
      </c>
      <c r="B67" s="504" t="s">
        <v>2327</v>
      </c>
      <c r="C67" s="505" t="s">
        <v>2338</v>
      </c>
      <c r="D67" s="433" t="s">
        <v>1937</v>
      </c>
      <c r="E67" s="434">
        <v>46220</v>
      </c>
      <c r="F67" s="433" t="s">
        <v>1931</v>
      </c>
      <c r="G67" s="433" t="s">
        <v>194</v>
      </c>
      <c r="H67" s="433" t="s">
        <v>2339</v>
      </c>
      <c r="I67" s="433"/>
      <c r="J67" s="515">
        <v>430.29</v>
      </c>
      <c r="K67" s="433">
        <v>0</v>
      </c>
      <c r="L67" s="516">
        <v>17.350000000000001</v>
      </c>
      <c r="M67" s="517">
        <v>17.55</v>
      </c>
      <c r="N67" s="433">
        <v>17.450000000000003</v>
      </c>
      <c r="O67" s="433">
        <v>17.450000000000003</v>
      </c>
      <c r="P67" s="514"/>
      <c r="Q67" s="521" t="s">
        <v>1935</v>
      </c>
    </row>
    <row r="68" spans="1:17">
      <c r="A68" s="492">
        <v>46052</v>
      </c>
      <c r="B68" s="518" t="s">
        <v>2355</v>
      </c>
      <c r="C68" s="505" t="s">
        <v>2370</v>
      </c>
      <c r="D68" s="433" t="s">
        <v>1937</v>
      </c>
      <c r="E68" s="434">
        <v>46220</v>
      </c>
      <c r="F68" s="433" t="s">
        <v>1931</v>
      </c>
      <c r="G68" s="433" t="s">
        <v>194</v>
      </c>
      <c r="H68" s="433" t="s">
        <v>2276</v>
      </c>
      <c r="I68" s="433"/>
      <c r="J68" s="515">
        <v>430.29</v>
      </c>
      <c r="K68" s="433">
        <v>0</v>
      </c>
      <c r="L68" s="516">
        <v>11.15</v>
      </c>
      <c r="M68" s="517">
        <v>11.35</v>
      </c>
      <c r="N68" s="433">
        <v>11.25</v>
      </c>
      <c r="O68" s="433">
        <v>11.25</v>
      </c>
      <c r="P68" s="514"/>
      <c r="Q68" s="521" t="s">
        <v>1935</v>
      </c>
    </row>
    <row r="69" spans="1:17">
      <c r="A69" s="492">
        <v>46052</v>
      </c>
      <c r="B69" s="518" t="s">
        <v>2371</v>
      </c>
      <c r="C69" s="505" t="s">
        <v>2372</v>
      </c>
      <c r="D69" s="433" t="s">
        <v>2373</v>
      </c>
      <c r="E69" s="434">
        <v>46129</v>
      </c>
      <c r="F69" s="433" t="s">
        <v>1931</v>
      </c>
      <c r="G69" s="433" t="s">
        <v>194</v>
      </c>
      <c r="H69" s="433" t="s">
        <v>2374</v>
      </c>
      <c r="I69" s="433"/>
      <c r="J69" s="515">
        <v>59.1</v>
      </c>
      <c r="K69" s="433">
        <v>0</v>
      </c>
      <c r="L69" s="516">
        <v>1.37</v>
      </c>
      <c r="M69" s="517">
        <v>1.46</v>
      </c>
      <c r="N69" s="433">
        <v>1.415</v>
      </c>
      <c r="O69" s="433">
        <v>1.415</v>
      </c>
      <c r="P69" s="514"/>
      <c r="Q69" s="521" t="s">
        <v>1935</v>
      </c>
    </row>
    <row r="70" spans="1:17">
      <c r="A70" s="492">
        <v>46052</v>
      </c>
      <c r="B70" s="518" t="s">
        <v>2375</v>
      </c>
      <c r="C70" s="505" t="s">
        <v>2376</v>
      </c>
      <c r="D70" s="433" t="s">
        <v>2373</v>
      </c>
      <c r="E70" s="434">
        <v>46129</v>
      </c>
      <c r="F70" s="433" t="s">
        <v>1931</v>
      </c>
      <c r="G70" s="433" t="s">
        <v>194</v>
      </c>
      <c r="H70" s="433" t="s">
        <v>2377</v>
      </c>
      <c r="I70" s="433"/>
      <c r="J70" s="515">
        <v>59.1</v>
      </c>
      <c r="K70" s="433">
        <v>0</v>
      </c>
      <c r="L70" s="516">
        <v>0.33</v>
      </c>
      <c r="M70" s="517">
        <v>0.41</v>
      </c>
      <c r="N70" s="433">
        <v>0.37</v>
      </c>
      <c r="O70" s="433">
        <v>0.37</v>
      </c>
      <c r="P70" s="514"/>
      <c r="Q70" s="521" t="s">
        <v>1935</v>
      </c>
    </row>
    <row r="71" spans="1:17">
      <c r="A71" s="492">
        <v>46052</v>
      </c>
      <c r="B71" t="s">
        <v>2357</v>
      </c>
      <c r="C71" s="505" t="s">
        <v>2378</v>
      </c>
      <c r="D71" s="433" t="s">
        <v>1951</v>
      </c>
      <c r="E71" s="434">
        <v>46051</v>
      </c>
      <c r="F71" s="433" t="s">
        <v>1926</v>
      </c>
      <c r="G71" s="433" t="s">
        <v>194</v>
      </c>
      <c r="H71" s="433" t="s">
        <v>2379</v>
      </c>
      <c r="I71" s="433"/>
      <c r="J71" s="515">
        <v>621.87</v>
      </c>
      <c r="K71" s="433">
        <v>6.1299999999999955</v>
      </c>
      <c r="L71" s="516">
        <v>0.25</v>
      </c>
      <c r="M71" s="517">
        <v>0.27</v>
      </c>
      <c r="N71" s="433">
        <v>0.26</v>
      </c>
      <c r="O71" s="433">
        <v>6.1299999999999955</v>
      </c>
      <c r="P71" s="514"/>
      <c r="Q71" s="521" t="s">
        <v>1935</v>
      </c>
    </row>
    <row r="72" spans="1:17">
      <c r="A72" s="492">
        <v>46052</v>
      </c>
      <c r="B72" t="s">
        <v>2380</v>
      </c>
      <c r="C72" s="505" t="s">
        <v>2381</v>
      </c>
      <c r="D72" s="433" t="s">
        <v>2373</v>
      </c>
      <c r="E72" s="434">
        <v>46073</v>
      </c>
      <c r="F72" s="433" t="s">
        <v>1931</v>
      </c>
      <c r="G72" s="433" t="s">
        <v>194</v>
      </c>
      <c r="H72" s="433" t="s">
        <v>2374</v>
      </c>
      <c r="I72" s="433"/>
      <c r="J72" s="515">
        <v>59.1</v>
      </c>
      <c r="K72" s="433">
        <v>0</v>
      </c>
      <c r="L72" s="516">
        <v>0.37</v>
      </c>
      <c r="M72" s="517">
        <v>0.42</v>
      </c>
      <c r="N72" s="433">
        <v>0.39500000000000002</v>
      </c>
      <c r="O72" s="433">
        <v>0.39500000000000002</v>
      </c>
      <c r="P72" s="514"/>
      <c r="Q72" s="521" t="s">
        <v>1935</v>
      </c>
    </row>
    <row r="73" spans="1:17">
      <c r="A73" s="492">
        <v>46052</v>
      </c>
      <c r="B73" t="s">
        <v>2390</v>
      </c>
      <c r="C73" s="505" t="s">
        <v>2409</v>
      </c>
      <c r="D73" s="433" t="s">
        <v>2410</v>
      </c>
      <c r="E73" s="434">
        <v>46059</v>
      </c>
      <c r="F73" s="433" t="s">
        <v>1931</v>
      </c>
      <c r="G73" s="433" t="s">
        <v>194</v>
      </c>
      <c r="H73" s="433" t="s">
        <v>2411</v>
      </c>
      <c r="I73" s="433"/>
      <c r="J73" s="515">
        <v>191.13</v>
      </c>
      <c r="K73" s="433">
        <v>0</v>
      </c>
      <c r="L73" s="516">
        <v>1.62</v>
      </c>
      <c r="M73" s="517">
        <v>1.68</v>
      </c>
      <c r="N73" s="433">
        <v>1.65</v>
      </c>
      <c r="O73" s="433">
        <v>1.65</v>
      </c>
      <c r="P73" s="514"/>
      <c r="Q73" s="521" t="s">
        <v>1935</v>
      </c>
    </row>
    <row r="74" spans="1:17">
      <c r="A74" s="492">
        <v>46052</v>
      </c>
      <c r="B74" t="s">
        <v>2391</v>
      </c>
      <c r="C74" s="505" t="s">
        <v>2412</v>
      </c>
      <c r="D74" s="433" t="s">
        <v>2410</v>
      </c>
      <c r="E74" s="434">
        <v>46066</v>
      </c>
      <c r="F74" s="433" t="s">
        <v>1931</v>
      </c>
      <c r="G74" s="433" t="s">
        <v>194</v>
      </c>
      <c r="H74" s="433" t="s">
        <v>2413</v>
      </c>
      <c r="I74" s="433"/>
      <c r="J74" s="515">
        <v>191.13</v>
      </c>
      <c r="K74" s="433">
        <v>0</v>
      </c>
      <c r="L74" s="516">
        <v>1.68</v>
      </c>
      <c r="M74" s="517">
        <v>1.72</v>
      </c>
      <c r="N74" s="433">
        <v>1.7</v>
      </c>
      <c r="O74" s="433">
        <v>1.7</v>
      </c>
      <c r="P74" s="514"/>
      <c r="Q74" s="521" t="s">
        <v>1935</v>
      </c>
    </row>
    <row r="75" spans="1:17">
      <c r="A75" s="492">
        <v>46052</v>
      </c>
      <c r="B75" t="s">
        <v>2388</v>
      </c>
      <c r="C75" s="505" t="s">
        <v>2414</v>
      </c>
      <c r="D75" s="433" t="s">
        <v>2410</v>
      </c>
      <c r="E75" s="434">
        <v>46157</v>
      </c>
      <c r="F75" s="433" t="s">
        <v>1931</v>
      </c>
      <c r="G75" s="433" t="s">
        <v>194</v>
      </c>
      <c r="H75" s="433" t="s">
        <v>2164</v>
      </c>
      <c r="I75" s="433"/>
      <c r="J75" s="515">
        <v>191.13</v>
      </c>
      <c r="K75" s="433">
        <v>0</v>
      </c>
      <c r="L75" s="516">
        <v>14.7</v>
      </c>
      <c r="M75" s="517">
        <v>14.9</v>
      </c>
      <c r="N75" s="433">
        <v>14.8</v>
      </c>
      <c r="O75" s="433">
        <v>14.8</v>
      </c>
      <c r="P75" s="514"/>
      <c r="Q75" s="521" t="s">
        <v>1935</v>
      </c>
    </row>
    <row r="76" spans="1:17">
      <c r="A76" s="492">
        <v>46052</v>
      </c>
      <c r="B76" t="s">
        <v>2402</v>
      </c>
      <c r="C76" s="505" t="s">
        <v>2415</v>
      </c>
      <c r="D76" s="433" t="s">
        <v>2071</v>
      </c>
      <c r="E76" s="434">
        <v>46220</v>
      </c>
      <c r="F76" s="433" t="s">
        <v>1931</v>
      </c>
      <c r="G76" s="433" t="s">
        <v>194</v>
      </c>
      <c r="H76" s="433" t="s">
        <v>2416</v>
      </c>
      <c r="I76" s="433"/>
      <c r="J76" s="515">
        <v>716.5</v>
      </c>
      <c r="K76" s="433">
        <v>16.5</v>
      </c>
      <c r="L76" s="516">
        <v>77.599999999999994</v>
      </c>
      <c r="M76" s="517">
        <v>80</v>
      </c>
      <c r="N76" s="433">
        <v>78.8</v>
      </c>
      <c r="O76" s="433">
        <v>78.8</v>
      </c>
      <c r="P76" s="514"/>
      <c r="Q76" s="521" t="s">
        <v>1935</v>
      </c>
    </row>
    <row r="77" spans="1:17">
      <c r="A77" s="492">
        <v>46052</v>
      </c>
      <c r="B77" t="s">
        <v>2417</v>
      </c>
      <c r="C77" s="505" t="s">
        <v>2418</v>
      </c>
      <c r="D77" s="433" t="s">
        <v>1937</v>
      </c>
      <c r="E77" s="434">
        <v>46052</v>
      </c>
      <c r="F77" s="433" t="s">
        <v>1931</v>
      </c>
      <c r="G77" s="433" t="s">
        <v>194</v>
      </c>
      <c r="H77" s="433" t="s">
        <v>2166</v>
      </c>
      <c r="I77" s="433"/>
      <c r="J77" s="510">
        <v>430.29</v>
      </c>
      <c r="K77" s="433">
        <v>0</v>
      </c>
      <c r="L77" s="510">
        <v>0</v>
      </c>
      <c r="M77" s="510">
        <v>0</v>
      </c>
      <c r="N77" s="510">
        <v>0</v>
      </c>
      <c r="O77" s="510">
        <v>1.7275709000733232E-28</v>
      </c>
      <c r="P77" s="433">
        <v>52.291850921702313</v>
      </c>
      <c r="Q77" s="521" t="s">
        <v>1928</v>
      </c>
    </row>
    <row r="78" spans="1:17">
      <c r="A78" s="492">
        <v>46052</v>
      </c>
      <c r="B78" t="s">
        <v>2419</v>
      </c>
      <c r="C78" s="505" t="s">
        <v>2420</v>
      </c>
      <c r="D78" s="433" t="s">
        <v>2410</v>
      </c>
      <c r="E78" s="434">
        <v>46052</v>
      </c>
      <c r="F78" s="433" t="s">
        <v>1931</v>
      </c>
      <c r="G78" s="433" t="s">
        <v>194</v>
      </c>
      <c r="H78" s="433" t="s">
        <v>2421</v>
      </c>
      <c r="I78" s="433"/>
      <c r="J78" s="515">
        <v>191.13</v>
      </c>
      <c r="K78" s="433">
        <v>0</v>
      </c>
      <c r="L78" s="516">
        <v>0</v>
      </c>
      <c r="M78" s="517">
        <v>0.01</v>
      </c>
      <c r="N78" s="433">
        <v>5.0000000000000001E-3</v>
      </c>
      <c r="O78" s="433">
        <v>0</v>
      </c>
      <c r="P78" s="514"/>
      <c r="Q78" s="521" t="s">
        <v>1935</v>
      </c>
    </row>
    <row r="79" spans="1:17">
      <c r="A79" s="492">
        <v>46052</v>
      </c>
      <c r="B79" t="s">
        <v>2443</v>
      </c>
      <c r="C79" s="505" t="s">
        <v>2454</v>
      </c>
      <c r="D79" s="433" t="s">
        <v>1951</v>
      </c>
      <c r="E79" s="434">
        <v>46052</v>
      </c>
      <c r="F79" s="433" t="s">
        <v>1926</v>
      </c>
      <c r="G79" s="433" t="s">
        <v>194</v>
      </c>
      <c r="H79" s="433" t="s">
        <v>2455</v>
      </c>
      <c r="I79" s="433"/>
      <c r="J79" s="515">
        <v>621.87</v>
      </c>
      <c r="K79" s="433">
        <v>0</v>
      </c>
      <c r="L79" s="516">
        <v>0.01</v>
      </c>
      <c r="M79" s="517">
        <v>0.02</v>
      </c>
      <c r="N79" s="433">
        <v>1.4999999999999999E-2</v>
      </c>
      <c r="O79" s="433">
        <v>0</v>
      </c>
      <c r="P79" s="514"/>
      <c r="Q79" s="521" t="s">
        <v>1935</v>
      </c>
    </row>
    <row r="80" spans="1:17">
      <c r="A80" s="492">
        <v>46052</v>
      </c>
      <c r="B80" t="s">
        <v>2457</v>
      </c>
      <c r="C80" s="505" t="s">
        <v>2468</v>
      </c>
      <c r="D80" s="433" t="s">
        <v>2469</v>
      </c>
      <c r="E80" s="434">
        <v>46129</v>
      </c>
      <c r="F80" s="433" t="s">
        <v>1931</v>
      </c>
      <c r="G80" s="433" t="s">
        <v>194</v>
      </c>
      <c r="H80" s="433" t="s">
        <v>2163</v>
      </c>
      <c r="I80" s="433"/>
      <c r="J80" s="515">
        <v>259.48</v>
      </c>
      <c r="K80" s="433">
        <v>0</v>
      </c>
      <c r="L80" s="516">
        <v>12.05</v>
      </c>
      <c r="M80" s="517">
        <v>12.3</v>
      </c>
      <c r="N80" s="433">
        <v>12.175000000000001</v>
      </c>
      <c r="O80" s="433">
        <v>12.175000000000001</v>
      </c>
      <c r="P80" s="514"/>
      <c r="Q80" s="521" t="s">
        <v>1935</v>
      </c>
    </row>
    <row r="81" spans="1:17">
      <c r="A81" s="492">
        <v>46052</v>
      </c>
      <c r="B81" t="s">
        <v>2458</v>
      </c>
      <c r="C81" s="505" t="s">
        <v>2470</v>
      </c>
      <c r="D81" s="433" t="s">
        <v>2469</v>
      </c>
      <c r="E81" s="434">
        <v>46129</v>
      </c>
      <c r="F81" s="433" t="s">
        <v>1931</v>
      </c>
      <c r="G81" s="433" t="s">
        <v>194</v>
      </c>
      <c r="H81" s="433" t="s">
        <v>2471</v>
      </c>
      <c r="I81" s="433"/>
      <c r="J81" s="515">
        <v>259.48</v>
      </c>
      <c r="K81" s="433">
        <v>0</v>
      </c>
      <c r="L81" s="516">
        <v>4.25</v>
      </c>
      <c r="M81" s="517">
        <v>4.4000000000000004</v>
      </c>
      <c r="N81" s="433">
        <v>4.3250000000000002</v>
      </c>
      <c r="O81" s="433">
        <v>4.3250000000000002</v>
      </c>
      <c r="P81" s="514"/>
      <c r="Q81" s="521" t="s">
        <v>1935</v>
      </c>
    </row>
    <row r="82" spans="1:17">
      <c r="A82" s="492">
        <v>46052</v>
      </c>
      <c r="B82" t="s">
        <v>2467</v>
      </c>
      <c r="C82" s="505" t="s">
        <v>2472</v>
      </c>
      <c r="D82" s="433" t="s">
        <v>1951</v>
      </c>
      <c r="E82" s="434">
        <v>46052</v>
      </c>
      <c r="F82" s="433" t="s">
        <v>1926</v>
      </c>
      <c r="G82" s="433" t="s">
        <v>194</v>
      </c>
      <c r="H82" s="433" t="s">
        <v>2473</v>
      </c>
      <c r="I82" s="433"/>
      <c r="J82" s="515">
        <v>621.87</v>
      </c>
      <c r="K82" s="433">
        <v>0</v>
      </c>
      <c r="L82" s="516">
        <v>0.16</v>
      </c>
      <c r="M82" s="517">
        <v>0.19</v>
      </c>
      <c r="N82" s="433">
        <v>0.17499999999999999</v>
      </c>
      <c r="O82" s="433">
        <v>0</v>
      </c>
      <c r="P82" s="514"/>
      <c r="Q82" s="521" t="s">
        <v>1935</v>
      </c>
    </row>
    <row r="83" spans="1:17">
      <c r="A83" s="492">
        <v>46052</v>
      </c>
      <c r="B83" t="s">
        <v>2456</v>
      </c>
      <c r="C83" s="505" t="s">
        <v>2474</v>
      </c>
      <c r="D83" s="433" t="s">
        <v>2071</v>
      </c>
      <c r="E83" s="434">
        <v>46220</v>
      </c>
      <c r="F83" s="433" t="s">
        <v>1931</v>
      </c>
      <c r="G83" s="433" t="s">
        <v>194</v>
      </c>
      <c r="H83" s="433" t="s">
        <v>2173</v>
      </c>
      <c r="I83" s="433"/>
      <c r="J83" s="515">
        <v>716.5</v>
      </c>
      <c r="K83" s="433">
        <v>0</v>
      </c>
      <c r="L83" s="516">
        <v>54.4</v>
      </c>
      <c r="M83" s="517">
        <v>54.9</v>
      </c>
      <c r="N83" s="433">
        <v>54.65</v>
      </c>
      <c r="O83" s="433">
        <v>54.65</v>
      </c>
      <c r="P83" s="514"/>
      <c r="Q83" s="521" t="s">
        <v>1935</v>
      </c>
    </row>
    <row r="84" spans="1:17">
      <c r="A84" s="492">
        <v>46052</v>
      </c>
      <c r="B84" t="s">
        <v>2459</v>
      </c>
      <c r="C84" s="505" t="s">
        <v>2475</v>
      </c>
      <c r="D84" s="433" t="s">
        <v>1951</v>
      </c>
      <c r="E84" s="434">
        <v>46052</v>
      </c>
      <c r="F84" s="433" t="s">
        <v>1926</v>
      </c>
      <c r="G84" s="433" t="s">
        <v>194</v>
      </c>
      <c r="H84" s="433" t="s">
        <v>2476</v>
      </c>
      <c r="I84" s="433"/>
      <c r="J84" s="515">
        <v>621.87</v>
      </c>
      <c r="K84" s="433">
        <v>0</v>
      </c>
      <c r="L84" s="516">
        <v>0.01</v>
      </c>
      <c r="M84" s="517">
        <v>0.02</v>
      </c>
      <c r="N84" s="433">
        <v>1.4999999999999999E-2</v>
      </c>
      <c r="O84" s="433">
        <v>0</v>
      </c>
      <c r="P84" s="514"/>
      <c r="Q84" s="521" t="s">
        <v>1935</v>
      </c>
    </row>
    <row r="85" spans="1:17">
      <c r="A85" s="492">
        <v>46052</v>
      </c>
      <c r="B85" s="514" t="s">
        <v>2041</v>
      </c>
      <c r="C85" s="505" t="s">
        <v>2041</v>
      </c>
      <c r="D85" s="433" t="s">
        <v>1952</v>
      </c>
      <c r="E85" s="434">
        <v>46073</v>
      </c>
      <c r="F85" s="433" t="s">
        <v>1931</v>
      </c>
      <c r="G85" s="433" t="s">
        <v>194</v>
      </c>
      <c r="H85" s="433" t="s">
        <v>2186</v>
      </c>
      <c r="I85" s="433" t="s">
        <v>1927</v>
      </c>
      <c r="J85" s="515">
        <v>0.05</v>
      </c>
      <c r="K85" s="433">
        <v>0</v>
      </c>
      <c r="L85" s="516">
        <v>0</v>
      </c>
      <c r="M85" s="517">
        <v>0</v>
      </c>
      <c r="N85" s="433">
        <v>0</v>
      </c>
      <c r="O85" s="433">
        <v>1.2029235623823664E-4</v>
      </c>
      <c r="P85" s="514">
        <v>26.8340068386726</v>
      </c>
      <c r="Q85" s="521" t="s">
        <v>1953</v>
      </c>
    </row>
    <row r="86" spans="1:17">
      <c r="A86" s="492">
        <v>46052</v>
      </c>
      <c r="B86" s="514" t="s">
        <v>2042</v>
      </c>
      <c r="C86" s="505" t="s">
        <v>2042</v>
      </c>
      <c r="D86" s="433" t="s">
        <v>1952</v>
      </c>
      <c r="E86" s="434">
        <v>46073</v>
      </c>
      <c r="F86" s="433" t="s">
        <v>1926</v>
      </c>
      <c r="G86" s="433" t="s">
        <v>194</v>
      </c>
      <c r="H86" s="433" t="s">
        <v>2187</v>
      </c>
      <c r="I86" s="433" t="s">
        <v>1927</v>
      </c>
      <c r="J86" s="515">
        <v>0.18</v>
      </c>
      <c r="K86" s="433">
        <v>21.39</v>
      </c>
      <c r="L86" s="516">
        <v>0</v>
      </c>
      <c r="M86" s="517">
        <v>0</v>
      </c>
      <c r="N86" s="433">
        <v>0</v>
      </c>
      <c r="O86" s="433">
        <v>3.4913675616388952E-2</v>
      </c>
      <c r="P86" s="514">
        <v>36.588488056244103</v>
      </c>
      <c r="Q86" s="521" t="s">
        <v>1953</v>
      </c>
    </row>
    <row r="87" spans="1:17">
      <c r="A87" s="492">
        <v>46052</v>
      </c>
      <c r="B87" s="514" t="s">
        <v>2043</v>
      </c>
      <c r="C87" s="505" t="s">
        <v>2043</v>
      </c>
      <c r="D87" s="433" t="s">
        <v>1952</v>
      </c>
      <c r="E87" s="434">
        <v>46073</v>
      </c>
      <c r="F87" s="433" t="s">
        <v>1926</v>
      </c>
      <c r="G87" s="433" t="s">
        <v>194</v>
      </c>
      <c r="H87" s="433" t="s">
        <v>2188</v>
      </c>
      <c r="I87" s="433" t="s">
        <v>1927</v>
      </c>
      <c r="J87" s="515">
        <v>1.36</v>
      </c>
      <c r="K87" s="433">
        <v>22.71</v>
      </c>
      <c r="L87" s="516">
        <v>0</v>
      </c>
      <c r="M87" s="517">
        <v>0</v>
      </c>
      <c r="N87" s="433">
        <v>0</v>
      </c>
      <c r="O87" s="433">
        <v>0.22951964574423148</v>
      </c>
      <c r="P87" s="514">
        <v>31.681878395655399</v>
      </c>
      <c r="Q87" s="521" t="s">
        <v>1953</v>
      </c>
    </row>
    <row r="88" spans="1:17">
      <c r="A88" s="492">
        <v>46052</v>
      </c>
      <c r="B88" s="514" t="s">
        <v>2044</v>
      </c>
      <c r="C88" s="505" t="s">
        <v>2044</v>
      </c>
      <c r="D88" s="433" t="s">
        <v>1952</v>
      </c>
      <c r="E88" s="434">
        <v>46073</v>
      </c>
      <c r="F88" s="433" t="s">
        <v>1931</v>
      </c>
      <c r="G88" s="433" t="s">
        <v>194</v>
      </c>
      <c r="H88" s="433" t="s">
        <v>2189</v>
      </c>
      <c r="I88" s="433" t="s">
        <v>1927</v>
      </c>
      <c r="J88" s="515">
        <v>0.04</v>
      </c>
      <c r="K88" s="433">
        <v>0</v>
      </c>
      <c r="L88" s="516">
        <v>0</v>
      </c>
      <c r="M88" s="517">
        <v>0</v>
      </c>
      <c r="N88" s="433">
        <v>0</v>
      </c>
      <c r="O88" s="433">
        <v>1.4428224075072331E-5</v>
      </c>
      <c r="P88" s="514">
        <v>26.1527339181524</v>
      </c>
      <c r="Q88" s="521" t="s">
        <v>1953</v>
      </c>
    </row>
    <row r="89" spans="1:17">
      <c r="A89" s="492">
        <v>46052</v>
      </c>
      <c r="B89" s="514" t="s">
        <v>2045</v>
      </c>
      <c r="C89" s="505" t="s">
        <v>2045</v>
      </c>
      <c r="D89" s="433" t="s">
        <v>1952</v>
      </c>
      <c r="E89" s="434">
        <v>46073</v>
      </c>
      <c r="F89" s="433" t="s">
        <v>1926</v>
      </c>
      <c r="G89" s="433" t="s">
        <v>194</v>
      </c>
      <c r="H89" s="433" t="s">
        <v>2190</v>
      </c>
      <c r="I89" s="433" t="s">
        <v>1927</v>
      </c>
      <c r="J89" s="515">
        <v>1</v>
      </c>
      <c r="K89" s="433">
        <v>22.82</v>
      </c>
      <c r="L89" s="516">
        <v>0</v>
      </c>
      <c r="M89" s="517">
        <v>0</v>
      </c>
      <c r="N89" s="433">
        <v>0</v>
      </c>
      <c r="O89" s="433">
        <v>0.19811137159468939</v>
      </c>
      <c r="P89" s="514">
        <v>32.142491273380102</v>
      </c>
      <c r="Q89" s="521" t="s">
        <v>1953</v>
      </c>
    </row>
    <row r="90" spans="1:17">
      <c r="A90" s="492">
        <v>46052</v>
      </c>
      <c r="B90" s="514" t="s">
        <v>2046</v>
      </c>
      <c r="C90" s="505" t="s">
        <v>2046</v>
      </c>
      <c r="D90" s="433" t="s">
        <v>1952</v>
      </c>
      <c r="E90" s="434">
        <v>46073</v>
      </c>
      <c r="F90" s="433" t="s">
        <v>1926</v>
      </c>
      <c r="G90" s="433" t="s">
        <v>194</v>
      </c>
      <c r="H90" s="433" t="s">
        <v>2191</v>
      </c>
      <c r="I90" s="433" t="s">
        <v>1927</v>
      </c>
      <c r="J90" s="515">
        <v>2.61</v>
      </c>
      <c r="K90" s="433">
        <v>23.71</v>
      </c>
      <c r="L90" s="516">
        <v>0</v>
      </c>
      <c r="M90" s="517">
        <v>0</v>
      </c>
      <c r="N90" s="433">
        <v>0</v>
      </c>
      <c r="O90" s="433">
        <v>0.60131482965887906</v>
      </c>
      <c r="P90" s="514">
        <v>28.221364846810001</v>
      </c>
      <c r="Q90" s="521" t="s">
        <v>1953</v>
      </c>
    </row>
    <row r="91" spans="1:17">
      <c r="A91" s="492">
        <v>46052</v>
      </c>
      <c r="B91" s="514" t="s">
        <v>2055</v>
      </c>
      <c r="C91" s="505" t="s">
        <v>2055</v>
      </c>
      <c r="D91" s="433" t="s">
        <v>2056</v>
      </c>
      <c r="E91" s="434">
        <v>46073</v>
      </c>
      <c r="F91" s="433" t="s">
        <v>1926</v>
      </c>
      <c r="G91" s="433" t="s">
        <v>194</v>
      </c>
      <c r="H91" s="433" t="s">
        <v>2192</v>
      </c>
      <c r="I91" s="433" t="s">
        <v>1927</v>
      </c>
      <c r="J91" s="515">
        <v>0.12</v>
      </c>
      <c r="K91" s="433">
        <v>18.88</v>
      </c>
      <c r="L91" s="516">
        <v>0</v>
      </c>
      <c r="M91" s="517">
        <v>0</v>
      </c>
      <c r="N91" s="433">
        <v>0</v>
      </c>
      <c r="O91" s="433">
        <v>4.7074435975276441E-2</v>
      </c>
      <c r="P91" s="514">
        <v>54.883616208926199</v>
      </c>
      <c r="Q91" s="521" t="s">
        <v>1953</v>
      </c>
    </row>
    <row r="92" spans="1:17">
      <c r="A92" s="492">
        <v>46052</v>
      </c>
      <c r="B92" s="514" t="s">
        <v>2057</v>
      </c>
      <c r="C92" s="505" t="s">
        <v>2057</v>
      </c>
      <c r="D92" s="433" t="s">
        <v>2056</v>
      </c>
      <c r="E92" s="434">
        <v>46073</v>
      </c>
      <c r="F92" s="433" t="s">
        <v>1926</v>
      </c>
      <c r="G92" s="433" t="s">
        <v>194</v>
      </c>
      <c r="H92" s="433" t="s">
        <v>2193</v>
      </c>
      <c r="I92" s="433" t="s">
        <v>1927</v>
      </c>
      <c r="J92" s="515">
        <v>0.43</v>
      </c>
      <c r="K92" s="433">
        <v>20.07</v>
      </c>
      <c r="L92" s="516">
        <v>0</v>
      </c>
      <c r="M92" s="517">
        <v>0</v>
      </c>
      <c r="N92" s="433">
        <v>0</v>
      </c>
      <c r="O92" s="433">
        <v>0.12156768298598303</v>
      </c>
      <c r="P92" s="514">
        <v>51.829393475424304</v>
      </c>
      <c r="Q92" s="521" t="s">
        <v>1953</v>
      </c>
    </row>
    <row r="93" spans="1:17">
      <c r="A93" s="492">
        <v>46052</v>
      </c>
      <c r="B93" s="514" t="s">
        <v>2076</v>
      </c>
      <c r="C93" s="505" t="s">
        <v>2076</v>
      </c>
      <c r="D93" s="433" t="s">
        <v>1954</v>
      </c>
      <c r="E93" s="434">
        <v>46073</v>
      </c>
      <c r="F93" s="433" t="s">
        <v>1926</v>
      </c>
      <c r="G93" s="433" t="s">
        <v>194</v>
      </c>
      <c r="H93" s="433" t="s">
        <v>2194</v>
      </c>
      <c r="I93" s="433" t="s">
        <v>1927</v>
      </c>
      <c r="J93" s="515">
        <v>0.01</v>
      </c>
      <c r="K93" s="433">
        <v>12.1</v>
      </c>
      <c r="L93" s="516">
        <v>0</v>
      </c>
      <c r="M93" s="517">
        <v>0</v>
      </c>
      <c r="N93" s="433">
        <v>0</v>
      </c>
      <c r="O93" s="433">
        <v>9.4957229265435147E-4</v>
      </c>
      <c r="P93" s="514">
        <v>50.544447955101404</v>
      </c>
      <c r="Q93" s="521" t="s">
        <v>1953</v>
      </c>
    </row>
    <row r="94" spans="1:17">
      <c r="A94" s="492">
        <v>46052</v>
      </c>
      <c r="B94" s="514" t="s">
        <v>2077</v>
      </c>
      <c r="C94" s="505" t="s">
        <v>2077</v>
      </c>
      <c r="D94" s="433" t="s">
        <v>1954</v>
      </c>
      <c r="E94" s="434">
        <v>46073</v>
      </c>
      <c r="F94" s="433" t="s">
        <v>1926</v>
      </c>
      <c r="G94" s="433" t="s">
        <v>194</v>
      </c>
      <c r="H94" s="433" t="s">
        <v>2195</v>
      </c>
      <c r="I94" s="433" t="s">
        <v>1927</v>
      </c>
      <c r="J94" s="515">
        <v>0.03</v>
      </c>
      <c r="K94" s="433">
        <v>13.33</v>
      </c>
      <c r="L94" s="516">
        <v>0</v>
      </c>
      <c r="M94" s="517">
        <v>0</v>
      </c>
      <c r="N94" s="433">
        <v>0</v>
      </c>
      <c r="O94" s="433">
        <v>5.2831516827222284E-3</v>
      </c>
      <c r="P94" s="514">
        <v>43.596905313227595</v>
      </c>
      <c r="Q94" s="521" t="s">
        <v>1953</v>
      </c>
    </row>
    <row r="95" spans="1:17">
      <c r="A95" s="492">
        <v>46052</v>
      </c>
      <c r="B95" s="514" t="s">
        <v>2117</v>
      </c>
      <c r="C95" s="505" t="s">
        <v>2117</v>
      </c>
      <c r="D95" s="433" t="s">
        <v>2118</v>
      </c>
      <c r="E95" s="434">
        <v>46073</v>
      </c>
      <c r="F95" s="433" t="s">
        <v>1931</v>
      </c>
      <c r="G95" s="433" t="s">
        <v>194</v>
      </c>
      <c r="H95" s="433" t="s">
        <v>2196</v>
      </c>
      <c r="I95" s="433" t="s">
        <v>1927</v>
      </c>
      <c r="J95" s="515">
        <v>3.69</v>
      </c>
      <c r="K95" s="433">
        <v>0</v>
      </c>
      <c r="L95" s="516">
        <v>0</v>
      </c>
      <c r="M95" s="517">
        <v>0</v>
      </c>
      <c r="N95" s="433">
        <v>0</v>
      </c>
      <c r="O95" s="433">
        <v>0.75052623031198928</v>
      </c>
      <c r="P95" s="514">
        <v>37.251348347150099</v>
      </c>
      <c r="Q95" s="521" t="s">
        <v>1953</v>
      </c>
    </row>
    <row r="96" spans="1:17">
      <c r="A96" s="492">
        <v>46052</v>
      </c>
      <c r="B96" s="514" t="s">
        <v>2119</v>
      </c>
      <c r="C96" s="505" t="s">
        <v>2119</v>
      </c>
      <c r="D96" s="433" t="s">
        <v>2118</v>
      </c>
      <c r="E96" s="434">
        <v>46073</v>
      </c>
      <c r="F96" s="433" t="s">
        <v>1926</v>
      </c>
      <c r="G96" s="433" t="s">
        <v>194</v>
      </c>
      <c r="H96" s="433" t="s">
        <v>2197</v>
      </c>
      <c r="I96" s="433" t="s">
        <v>1927</v>
      </c>
      <c r="J96" s="515">
        <v>0.1</v>
      </c>
      <c r="K96" s="433">
        <v>47.72</v>
      </c>
      <c r="L96" s="516">
        <v>0</v>
      </c>
      <c r="M96" s="517">
        <v>0</v>
      </c>
      <c r="N96" s="433">
        <v>0</v>
      </c>
      <c r="O96" s="433">
        <v>1.0541766992747774E-2</v>
      </c>
      <c r="P96" s="514">
        <v>52.253717597816902</v>
      </c>
      <c r="Q96" s="521" t="s">
        <v>1953</v>
      </c>
    </row>
    <row r="97" spans="1:17">
      <c r="A97" s="492">
        <v>46052</v>
      </c>
      <c r="B97" s="514" t="s">
        <v>2120</v>
      </c>
      <c r="C97" s="505" t="s">
        <v>2120</v>
      </c>
      <c r="D97" s="433" t="s">
        <v>2118</v>
      </c>
      <c r="E97" s="434">
        <v>46073</v>
      </c>
      <c r="F97" s="433" t="s">
        <v>1926</v>
      </c>
      <c r="G97" s="433" t="s">
        <v>194</v>
      </c>
      <c r="H97" s="433" t="s">
        <v>2198</v>
      </c>
      <c r="I97" s="433" t="s">
        <v>1927</v>
      </c>
      <c r="J97" s="515">
        <v>0.17</v>
      </c>
      <c r="K97" s="433">
        <v>51.65</v>
      </c>
      <c r="L97" s="516">
        <v>0</v>
      </c>
      <c r="M97" s="517">
        <v>0</v>
      </c>
      <c r="N97" s="433">
        <v>0</v>
      </c>
      <c r="O97" s="433">
        <v>2.5475631474656712E-2</v>
      </c>
      <c r="P97" s="514">
        <v>43.373251879380405</v>
      </c>
      <c r="Q97" s="521" t="s">
        <v>1953</v>
      </c>
    </row>
    <row r="98" spans="1:17">
      <c r="A98" s="492">
        <v>46052</v>
      </c>
      <c r="B98" s="514" t="s">
        <v>2126</v>
      </c>
      <c r="C98" s="505" t="s">
        <v>2126</v>
      </c>
      <c r="D98" s="433" t="s">
        <v>2086</v>
      </c>
      <c r="E98" s="434">
        <v>46073</v>
      </c>
      <c r="F98" s="433" t="s">
        <v>1926</v>
      </c>
      <c r="G98" s="433" t="s">
        <v>194</v>
      </c>
      <c r="H98" s="433" t="s">
        <v>2199</v>
      </c>
      <c r="I98" s="433" t="s">
        <v>1927</v>
      </c>
      <c r="J98" s="515">
        <v>0.1</v>
      </c>
      <c r="K98" s="433">
        <v>42.9</v>
      </c>
      <c r="L98" s="516">
        <v>0</v>
      </c>
      <c r="M98" s="517">
        <v>0</v>
      </c>
      <c r="N98" s="433">
        <v>0</v>
      </c>
      <c r="O98" s="433">
        <v>1.7007848990796787E-4</v>
      </c>
      <c r="P98" s="514">
        <v>34.016050460379198</v>
      </c>
      <c r="Q98" s="521" t="s">
        <v>1953</v>
      </c>
    </row>
    <row r="99" spans="1:17">
      <c r="A99" s="492">
        <v>46052</v>
      </c>
      <c r="B99" s="514" t="s">
        <v>2127</v>
      </c>
      <c r="C99" s="505" t="s">
        <v>2127</v>
      </c>
      <c r="D99" s="433" t="s">
        <v>2086</v>
      </c>
      <c r="E99" s="434">
        <v>46073</v>
      </c>
      <c r="F99" s="433" t="s">
        <v>1926</v>
      </c>
      <c r="G99" s="433" t="s">
        <v>194</v>
      </c>
      <c r="H99" s="433" t="s">
        <v>2200</v>
      </c>
      <c r="I99" s="433" t="s">
        <v>1927</v>
      </c>
      <c r="J99" s="515">
        <v>0.13</v>
      </c>
      <c r="K99" s="433">
        <v>47.87</v>
      </c>
      <c r="L99" s="516">
        <v>0</v>
      </c>
      <c r="M99" s="517">
        <v>0</v>
      </c>
      <c r="N99" s="433">
        <v>0</v>
      </c>
      <c r="O99" s="433">
        <v>8.1411196276504685E-3</v>
      </c>
      <c r="P99" s="514">
        <v>31.017978060195098</v>
      </c>
      <c r="Q99" s="521" t="s">
        <v>1953</v>
      </c>
    </row>
    <row r="100" spans="1:17">
      <c r="A100" s="492">
        <v>46052</v>
      </c>
      <c r="B100" s="504" t="s">
        <v>2132</v>
      </c>
      <c r="C100" s="504" t="s">
        <v>2132</v>
      </c>
      <c r="D100" s="433" t="s">
        <v>2133</v>
      </c>
      <c r="E100" s="434">
        <v>46073</v>
      </c>
      <c r="F100" s="433" t="s">
        <v>1926</v>
      </c>
      <c r="G100" s="433" t="s">
        <v>194</v>
      </c>
      <c r="H100" s="433" t="s">
        <v>2201</v>
      </c>
      <c r="I100" s="433" t="s">
        <v>1927</v>
      </c>
      <c r="J100" s="515">
        <v>1.95</v>
      </c>
      <c r="K100" s="433">
        <v>48.43</v>
      </c>
      <c r="L100" s="516">
        <v>0</v>
      </c>
      <c r="M100" s="517">
        <v>0</v>
      </c>
      <c r="N100" s="433">
        <v>0</v>
      </c>
      <c r="O100" s="433">
        <v>0.33376469541132309</v>
      </c>
      <c r="P100" s="514">
        <v>30.672100797890401</v>
      </c>
      <c r="Q100" s="521" t="s">
        <v>1953</v>
      </c>
    </row>
    <row r="101" spans="1:17">
      <c r="A101" s="492">
        <v>46052</v>
      </c>
      <c r="B101" s="504" t="s">
        <v>2139</v>
      </c>
      <c r="C101" s="504" t="s">
        <v>2139</v>
      </c>
      <c r="D101" s="433" t="s">
        <v>1954</v>
      </c>
      <c r="E101" s="434">
        <v>46073</v>
      </c>
      <c r="F101" s="433" t="s">
        <v>1926</v>
      </c>
      <c r="G101" s="433" t="s">
        <v>194</v>
      </c>
      <c r="H101" s="433" t="s">
        <v>2202</v>
      </c>
      <c r="I101" s="433" t="s">
        <v>1927</v>
      </c>
      <c r="J101" s="515">
        <v>0.01</v>
      </c>
      <c r="K101" s="433">
        <v>11.41</v>
      </c>
      <c r="L101" s="516">
        <v>0</v>
      </c>
      <c r="M101" s="517">
        <v>0</v>
      </c>
      <c r="N101" s="433">
        <v>0</v>
      </c>
      <c r="O101" s="433">
        <v>9.4957229265435147E-4</v>
      </c>
      <c r="P101" s="514">
        <v>50.544447955101404</v>
      </c>
      <c r="Q101" s="521" t="s">
        <v>1953</v>
      </c>
    </row>
    <row r="102" spans="1:17">
      <c r="A102" s="492">
        <v>46052</v>
      </c>
      <c r="B102" s="504" t="s">
        <v>2140</v>
      </c>
      <c r="C102" s="504" t="s">
        <v>2140</v>
      </c>
      <c r="D102" s="433" t="s">
        <v>1954</v>
      </c>
      <c r="E102" s="434">
        <v>46073</v>
      </c>
      <c r="F102" s="433" t="s">
        <v>1926</v>
      </c>
      <c r="G102" s="433" t="s">
        <v>194</v>
      </c>
      <c r="H102" s="433" t="s">
        <v>2203</v>
      </c>
      <c r="I102" s="433" t="s">
        <v>1927</v>
      </c>
      <c r="J102" s="515">
        <v>0.03</v>
      </c>
      <c r="K102" s="433">
        <v>12.64</v>
      </c>
      <c r="L102" s="516">
        <v>0</v>
      </c>
      <c r="M102" s="517">
        <v>0</v>
      </c>
      <c r="N102" s="433">
        <v>0</v>
      </c>
      <c r="O102" s="433">
        <v>5.2831516827222284E-3</v>
      </c>
      <c r="P102" s="514">
        <v>43.596905313227595</v>
      </c>
      <c r="Q102" s="521" t="s">
        <v>1953</v>
      </c>
    </row>
    <row r="103" spans="1:17">
      <c r="A103" s="492">
        <v>46052</v>
      </c>
      <c r="B103" s="504" t="s">
        <v>2141</v>
      </c>
      <c r="C103" s="504" t="s">
        <v>2141</v>
      </c>
      <c r="D103" s="433" t="s">
        <v>1954</v>
      </c>
      <c r="E103" s="434">
        <v>46073</v>
      </c>
      <c r="F103" s="433" t="s">
        <v>1926</v>
      </c>
      <c r="G103" s="433" t="s">
        <v>194</v>
      </c>
      <c r="H103" s="433" t="s">
        <v>2204</v>
      </c>
      <c r="I103" s="433" t="s">
        <v>1927</v>
      </c>
      <c r="J103" s="515">
        <v>0.1</v>
      </c>
      <c r="K103" s="433">
        <v>13.57</v>
      </c>
      <c r="L103" s="516">
        <v>0</v>
      </c>
      <c r="M103" s="517">
        <v>0</v>
      </c>
      <c r="N103" s="433">
        <v>0</v>
      </c>
      <c r="O103" s="433">
        <v>1.8090121151803144E-2</v>
      </c>
      <c r="P103" s="514">
        <v>37.472122424022096</v>
      </c>
      <c r="Q103" s="521" t="s">
        <v>1953</v>
      </c>
    </row>
    <row r="104" spans="1:17">
      <c r="A104" s="492">
        <v>46052</v>
      </c>
      <c r="B104" s="504" t="s">
        <v>2142</v>
      </c>
      <c r="C104" s="504" t="s">
        <v>2142</v>
      </c>
      <c r="D104" s="433" t="s">
        <v>2143</v>
      </c>
      <c r="E104" s="434">
        <v>46073</v>
      </c>
      <c r="F104" s="433" t="s">
        <v>1926</v>
      </c>
      <c r="G104" s="433" t="s">
        <v>194</v>
      </c>
      <c r="H104" s="433" t="s">
        <v>2205</v>
      </c>
      <c r="I104" s="433" t="s">
        <v>1927</v>
      </c>
      <c r="J104" s="515">
        <v>0.01</v>
      </c>
      <c r="K104" s="433">
        <v>12.03</v>
      </c>
      <c r="L104" s="516">
        <v>0</v>
      </c>
      <c r="M104" s="517">
        <v>0</v>
      </c>
      <c r="N104" s="433">
        <v>0</v>
      </c>
      <c r="O104" s="433">
        <v>3.5731821878911031E-3</v>
      </c>
      <c r="P104" s="514">
        <v>52.255483188631096</v>
      </c>
      <c r="Q104" s="521" t="s">
        <v>1953</v>
      </c>
    </row>
    <row r="105" spans="1:17">
      <c r="A105" s="492">
        <v>46052</v>
      </c>
      <c r="B105" s="504" t="s">
        <v>2144</v>
      </c>
      <c r="C105" s="504" t="s">
        <v>2144</v>
      </c>
      <c r="D105" s="433" t="s">
        <v>2143</v>
      </c>
      <c r="E105" s="434">
        <v>46073</v>
      </c>
      <c r="F105" s="433" t="s">
        <v>1926</v>
      </c>
      <c r="G105" s="433" t="s">
        <v>194</v>
      </c>
      <c r="H105" s="433" t="s">
        <v>2206</v>
      </c>
      <c r="I105" s="433" t="s">
        <v>1927</v>
      </c>
      <c r="J105" s="515">
        <v>0.06</v>
      </c>
      <c r="K105" s="433">
        <v>12.979999999999999</v>
      </c>
      <c r="L105" s="516">
        <v>0</v>
      </c>
      <c r="M105" s="517">
        <v>0</v>
      </c>
      <c r="N105" s="433">
        <v>0</v>
      </c>
      <c r="O105" s="433">
        <v>1.1423154590502381E-2</v>
      </c>
      <c r="P105" s="514">
        <v>46.486349668528099</v>
      </c>
      <c r="Q105" s="521" t="s">
        <v>1953</v>
      </c>
    </row>
    <row r="106" spans="1:17">
      <c r="A106" s="492">
        <v>46052</v>
      </c>
      <c r="B106" s="505" t="s">
        <v>2207</v>
      </c>
      <c r="C106" s="505" t="s">
        <v>2207</v>
      </c>
      <c r="D106" s="433" t="s">
        <v>2086</v>
      </c>
      <c r="E106" s="434">
        <v>46073</v>
      </c>
      <c r="F106" s="433" t="s">
        <v>1931</v>
      </c>
      <c r="G106" s="433" t="s">
        <v>194</v>
      </c>
      <c r="H106" s="433" t="s">
        <v>2208</v>
      </c>
      <c r="I106" s="433" t="s">
        <v>1927</v>
      </c>
      <c r="J106" s="515">
        <v>1.62</v>
      </c>
      <c r="K106" s="433">
        <v>0</v>
      </c>
      <c r="L106" s="516">
        <v>0</v>
      </c>
      <c r="M106" s="517">
        <v>0</v>
      </c>
      <c r="N106" s="433">
        <v>0</v>
      </c>
      <c r="O106" s="433">
        <v>0.26765666931388721</v>
      </c>
      <c r="P106" s="514">
        <v>25.894857591391101</v>
      </c>
      <c r="Q106" s="521" t="s">
        <v>1953</v>
      </c>
    </row>
    <row r="107" spans="1:17">
      <c r="A107" s="492">
        <v>46052</v>
      </c>
      <c r="B107" s="505" t="s">
        <v>2209</v>
      </c>
      <c r="C107" s="505" t="s">
        <v>2209</v>
      </c>
      <c r="D107" s="433" t="s">
        <v>2086</v>
      </c>
      <c r="E107" s="434">
        <v>46073</v>
      </c>
      <c r="F107" s="433" t="s">
        <v>1926</v>
      </c>
      <c r="G107" s="433" t="s">
        <v>194</v>
      </c>
      <c r="H107" s="433" t="s">
        <v>2210</v>
      </c>
      <c r="I107" s="433" t="s">
        <v>1927</v>
      </c>
      <c r="J107" s="515">
        <v>0.08</v>
      </c>
      <c r="K107" s="433">
        <v>46.92</v>
      </c>
      <c r="L107" s="516">
        <v>0</v>
      </c>
      <c r="M107" s="517">
        <v>0</v>
      </c>
      <c r="N107" s="433">
        <v>0</v>
      </c>
      <c r="O107" s="433">
        <v>4.1941038449578574E-3</v>
      </c>
      <c r="P107" s="514">
        <v>31.7025828743954</v>
      </c>
      <c r="Q107" s="521" t="s">
        <v>1953</v>
      </c>
    </row>
    <row r="108" spans="1:17">
      <c r="A108" s="492">
        <v>46052</v>
      </c>
      <c r="B108" s="505" t="s">
        <v>2211</v>
      </c>
      <c r="C108" s="505" t="s">
        <v>2211</v>
      </c>
      <c r="D108" s="433" t="s">
        <v>2086</v>
      </c>
      <c r="E108" s="434">
        <v>46073</v>
      </c>
      <c r="F108" s="433" t="s">
        <v>1926</v>
      </c>
      <c r="G108" s="433" t="s">
        <v>194</v>
      </c>
      <c r="H108" s="433" t="s">
        <v>2212</v>
      </c>
      <c r="I108" s="433" t="s">
        <v>1927</v>
      </c>
      <c r="J108" s="515">
        <v>0.42</v>
      </c>
      <c r="K108" s="433">
        <v>50.08</v>
      </c>
      <c r="L108" s="516">
        <v>0</v>
      </c>
      <c r="M108" s="517">
        <v>0</v>
      </c>
      <c r="N108" s="433">
        <v>0</v>
      </c>
      <c r="O108" s="433">
        <v>3.5132615326418648E-2</v>
      </c>
      <c r="P108" s="514">
        <v>29.143213798492997</v>
      </c>
      <c r="Q108" s="521" t="s">
        <v>1953</v>
      </c>
    </row>
    <row r="109" spans="1:17">
      <c r="A109" s="492">
        <v>46052</v>
      </c>
      <c r="B109" s="504" t="s">
        <v>2213</v>
      </c>
      <c r="C109" s="504" t="s">
        <v>2213</v>
      </c>
      <c r="D109" s="433" t="s">
        <v>1952</v>
      </c>
      <c r="E109" s="434">
        <v>46101</v>
      </c>
      <c r="F109" s="433" t="s">
        <v>1931</v>
      </c>
      <c r="G109" s="433" t="s">
        <v>194</v>
      </c>
      <c r="H109" s="433" t="s">
        <v>2214</v>
      </c>
      <c r="I109" s="433" t="s">
        <v>1927</v>
      </c>
      <c r="J109" s="515">
        <v>0.82</v>
      </c>
      <c r="K109" s="433">
        <v>0</v>
      </c>
      <c r="L109" s="516">
        <v>0</v>
      </c>
      <c r="M109" s="517">
        <v>0</v>
      </c>
      <c r="N109" s="433">
        <v>0</v>
      </c>
      <c r="O109" s="433">
        <v>3.6311115183219146E-2</v>
      </c>
      <c r="P109" s="514">
        <v>30.207028152749196</v>
      </c>
      <c r="Q109" s="521" t="s">
        <v>1953</v>
      </c>
    </row>
    <row r="110" spans="1:17">
      <c r="A110" s="492">
        <v>46052</v>
      </c>
      <c r="B110" s="504" t="s">
        <v>2215</v>
      </c>
      <c r="C110" s="504" t="s">
        <v>2215</v>
      </c>
      <c r="D110" s="433" t="s">
        <v>1952</v>
      </c>
      <c r="E110" s="434">
        <v>46101</v>
      </c>
      <c r="F110" s="433" t="s">
        <v>1926</v>
      </c>
      <c r="G110" s="433" t="s">
        <v>194</v>
      </c>
      <c r="H110" s="433" t="s">
        <v>2216</v>
      </c>
      <c r="I110" s="433" t="s">
        <v>1927</v>
      </c>
      <c r="J110" s="515">
        <v>0.64</v>
      </c>
      <c r="K110" s="433">
        <v>20.669999999999998</v>
      </c>
      <c r="L110" s="516">
        <v>0</v>
      </c>
      <c r="M110" s="517">
        <v>0</v>
      </c>
      <c r="N110" s="433">
        <v>0</v>
      </c>
      <c r="O110" s="433">
        <v>0.1106308109763194</v>
      </c>
      <c r="P110" s="514">
        <v>34.800876100241602</v>
      </c>
      <c r="Q110" s="521" t="s">
        <v>1953</v>
      </c>
    </row>
    <row r="111" spans="1:17">
      <c r="A111" s="492">
        <v>46052</v>
      </c>
      <c r="B111" s="504" t="s">
        <v>2217</v>
      </c>
      <c r="C111" s="504" t="s">
        <v>2217</v>
      </c>
      <c r="D111" s="433" t="s">
        <v>1952</v>
      </c>
      <c r="E111" s="434">
        <v>46101</v>
      </c>
      <c r="F111" s="433" t="s">
        <v>1926</v>
      </c>
      <c r="G111" s="433" t="s">
        <v>194</v>
      </c>
      <c r="H111" s="433" t="s">
        <v>2218</v>
      </c>
      <c r="I111" s="433" t="s">
        <v>1927</v>
      </c>
      <c r="J111" s="515">
        <v>1.5</v>
      </c>
      <c r="K111" s="433">
        <v>21.81</v>
      </c>
      <c r="L111" s="516">
        <v>0</v>
      </c>
      <c r="M111" s="517">
        <v>0</v>
      </c>
      <c r="N111" s="433">
        <v>0</v>
      </c>
      <c r="O111" s="433">
        <v>0.27959936328491225</v>
      </c>
      <c r="P111" s="514">
        <v>32.335331726764998</v>
      </c>
      <c r="Q111" s="521" t="s">
        <v>1953</v>
      </c>
    </row>
    <row r="112" spans="1:17">
      <c r="A112" s="492">
        <v>46052</v>
      </c>
      <c r="B112" s="504" t="s">
        <v>2219</v>
      </c>
      <c r="C112" s="504" t="s">
        <v>2219</v>
      </c>
      <c r="D112" s="433" t="s">
        <v>2220</v>
      </c>
      <c r="E112" s="434">
        <v>46073</v>
      </c>
      <c r="F112" s="433" t="s">
        <v>1931</v>
      </c>
      <c r="G112" s="433" t="s">
        <v>194</v>
      </c>
      <c r="H112" s="433" t="s">
        <v>2221</v>
      </c>
      <c r="I112" s="433" t="s">
        <v>1927</v>
      </c>
      <c r="J112" s="515">
        <v>9.5</v>
      </c>
      <c r="K112" s="433">
        <v>0</v>
      </c>
      <c r="L112" s="516">
        <v>0</v>
      </c>
      <c r="M112" s="517">
        <v>0</v>
      </c>
      <c r="N112" s="433">
        <v>0</v>
      </c>
      <c r="O112" s="433">
        <v>1.8066340124567903</v>
      </c>
      <c r="P112" s="514">
        <v>44.258890877428904</v>
      </c>
      <c r="Q112" s="521" t="s">
        <v>1953</v>
      </c>
    </row>
    <row r="113" spans="1:17">
      <c r="A113" s="492">
        <v>46052</v>
      </c>
      <c r="B113" s="504" t="s">
        <v>2222</v>
      </c>
      <c r="C113" s="504" t="s">
        <v>2222</v>
      </c>
      <c r="D113" s="433" t="s">
        <v>2220</v>
      </c>
      <c r="E113" s="434">
        <v>46073</v>
      </c>
      <c r="F113" s="433" t="s">
        <v>1931</v>
      </c>
      <c r="G113" s="433" t="s">
        <v>194</v>
      </c>
      <c r="H113" s="433" t="s">
        <v>2223</v>
      </c>
      <c r="I113" s="433" t="s">
        <v>1927</v>
      </c>
      <c r="J113" s="515">
        <v>5.24</v>
      </c>
      <c r="K113" s="433">
        <v>0</v>
      </c>
      <c r="L113" s="516">
        <v>0</v>
      </c>
      <c r="M113" s="517">
        <v>0</v>
      </c>
      <c r="N113" s="433">
        <v>0</v>
      </c>
      <c r="O113" s="433">
        <v>1.0110532336581697</v>
      </c>
      <c r="P113" s="514">
        <v>38.658217090133704</v>
      </c>
      <c r="Q113" s="521" t="s">
        <v>1953</v>
      </c>
    </row>
    <row r="114" spans="1:17">
      <c r="A114" s="492">
        <v>46052</v>
      </c>
      <c r="B114" s="519" t="s">
        <v>2236</v>
      </c>
      <c r="C114" s="519" t="s">
        <v>2236</v>
      </c>
      <c r="D114" s="433" t="s">
        <v>1954</v>
      </c>
      <c r="E114" s="434">
        <v>46073</v>
      </c>
      <c r="F114" s="433" t="s">
        <v>1931</v>
      </c>
      <c r="G114" s="433" t="s">
        <v>194</v>
      </c>
      <c r="H114" s="433" t="s">
        <v>2237</v>
      </c>
      <c r="I114" s="433" t="s">
        <v>1927</v>
      </c>
      <c r="J114" s="515">
        <v>0.42</v>
      </c>
      <c r="K114" s="433">
        <v>0</v>
      </c>
      <c r="L114" s="516">
        <v>0</v>
      </c>
      <c r="M114" s="517">
        <v>0</v>
      </c>
      <c r="N114" s="433">
        <v>0</v>
      </c>
      <c r="O114" s="433">
        <v>8.7901615408353811E-2</v>
      </c>
      <c r="P114" s="514">
        <v>34.320916165754099</v>
      </c>
      <c r="Q114" s="521" t="s">
        <v>1953</v>
      </c>
    </row>
    <row r="115" spans="1:17">
      <c r="A115" s="492">
        <v>46052</v>
      </c>
      <c r="B115" s="519" t="s">
        <v>2238</v>
      </c>
      <c r="C115" s="519" t="s">
        <v>2238</v>
      </c>
      <c r="D115" s="433" t="s">
        <v>2015</v>
      </c>
      <c r="E115" s="434">
        <v>46071</v>
      </c>
      <c r="F115" s="433" t="s">
        <v>1926</v>
      </c>
      <c r="G115" s="433" t="s">
        <v>194</v>
      </c>
      <c r="H115" s="433" t="s">
        <v>2239</v>
      </c>
      <c r="I115" s="433" t="s">
        <v>1927</v>
      </c>
      <c r="J115" s="515">
        <v>240</v>
      </c>
      <c r="K115" s="433">
        <v>160760</v>
      </c>
      <c r="L115" s="516">
        <v>0</v>
      </c>
      <c r="M115" s="517">
        <v>0</v>
      </c>
      <c r="N115" s="433">
        <v>0</v>
      </c>
      <c r="O115" s="433">
        <v>9.415210683799323</v>
      </c>
      <c r="P115" s="514">
        <v>27.2506526322944</v>
      </c>
      <c r="Q115" s="521" t="s">
        <v>1953</v>
      </c>
    </row>
    <row r="116" spans="1:17">
      <c r="A116" s="492">
        <v>46052</v>
      </c>
      <c r="B116" s="519" t="s">
        <v>2240</v>
      </c>
      <c r="C116" s="519" t="s">
        <v>2240</v>
      </c>
      <c r="D116" s="433" t="s">
        <v>2100</v>
      </c>
      <c r="E116" s="434">
        <v>46073</v>
      </c>
      <c r="F116" s="433" t="s">
        <v>1926</v>
      </c>
      <c r="G116" s="433" t="s">
        <v>194</v>
      </c>
      <c r="H116" s="433" t="s">
        <v>2241</v>
      </c>
      <c r="I116" s="433" t="s">
        <v>1927</v>
      </c>
      <c r="J116" s="515">
        <v>0.26</v>
      </c>
      <c r="K116" s="433">
        <v>107.74</v>
      </c>
      <c r="L116" s="516">
        <v>0</v>
      </c>
      <c r="M116" s="517">
        <v>0</v>
      </c>
      <c r="N116" s="433">
        <v>0</v>
      </c>
      <c r="O116" s="433">
        <v>3.9236641251809978E-2</v>
      </c>
      <c r="P116" s="514">
        <v>37.869967555398006</v>
      </c>
      <c r="Q116" s="521" t="s">
        <v>1953</v>
      </c>
    </row>
    <row r="117" spans="1:17">
      <c r="A117" s="492">
        <v>46052</v>
      </c>
      <c r="B117" s="519" t="s">
        <v>2242</v>
      </c>
      <c r="C117" s="519" t="s">
        <v>2242</v>
      </c>
      <c r="D117" s="433" t="s">
        <v>2100</v>
      </c>
      <c r="E117" s="434">
        <v>46073</v>
      </c>
      <c r="F117" s="433" t="s">
        <v>1926</v>
      </c>
      <c r="G117" s="433" t="s">
        <v>194</v>
      </c>
      <c r="H117" s="433" t="s">
        <v>2243</v>
      </c>
      <c r="I117" s="433" t="s">
        <v>1927</v>
      </c>
      <c r="J117" s="515">
        <v>0.49</v>
      </c>
      <c r="K117" s="433">
        <v>112.51</v>
      </c>
      <c r="L117" s="516">
        <v>0</v>
      </c>
      <c r="M117" s="517">
        <v>0</v>
      </c>
      <c r="N117" s="433">
        <v>0</v>
      </c>
      <c r="O117" s="433">
        <v>9.446051591012003E-2</v>
      </c>
      <c r="P117" s="514">
        <v>34.683215060733197</v>
      </c>
      <c r="Q117" s="521" t="s">
        <v>1953</v>
      </c>
    </row>
    <row r="118" spans="1:17">
      <c r="A118" s="492">
        <v>46052</v>
      </c>
      <c r="B118" s="504" t="s">
        <v>2250</v>
      </c>
      <c r="C118" s="504" t="s">
        <v>2250</v>
      </c>
      <c r="D118" s="433" t="s">
        <v>2100</v>
      </c>
      <c r="E118" s="434">
        <v>46073</v>
      </c>
      <c r="F118" s="433" t="s">
        <v>1926</v>
      </c>
      <c r="G118" s="433" t="s">
        <v>194</v>
      </c>
      <c r="H118" s="433" t="s">
        <v>2251</v>
      </c>
      <c r="I118" s="433" t="s">
        <v>1927</v>
      </c>
      <c r="J118" s="515">
        <v>0.56000000000000005</v>
      </c>
      <c r="K118" s="433">
        <v>113.44</v>
      </c>
      <c r="L118" s="516">
        <v>0</v>
      </c>
      <c r="M118" s="517">
        <v>0</v>
      </c>
      <c r="N118" s="433">
        <v>0</v>
      </c>
      <c r="O118" s="433">
        <v>0.11214178031415166</v>
      </c>
      <c r="P118" s="514">
        <v>34.050947900628003</v>
      </c>
      <c r="Q118" s="521" t="s">
        <v>1953</v>
      </c>
    </row>
    <row r="119" spans="1:17">
      <c r="A119" s="492">
        <v>46052</v>
      </c>
      <c r="B119" s="504" t="s">
        <v>2252</v>
      </c>
      <c r="C119" s="504" t="s">
        <v>2252</v>
      </c>
      <c r="D119" s="433" t="s">
        <v>2253</v>
      </c>
      <c r="E119" s="434">
        <v>46073</v>
      </c>
      <c r="F119" s="433" t="s">
        <v>1931</v>
      </c>
      <c r="G119" s="433" t="s">
        <v>194</v>
      </c>
      <c r="H119" s="433" t="s">
        <v>2254</v>
      </c>
      <c r="I119" s="433" t="s">
        <v>1927</v>
      </c>
      <c r="J119" s="515">
        <v>0.57999999999999996</v>
      </c>
      <c r="K119" s="433">
        <v>0</v>
      </c>
      <c r="L119" s="516">
        <v>0</v>
      </c>
      <c r="M119" s="517">
        <v>0</v>
      </c>
      <c r="N119" s="433">
        <v>0</v>
      </c>
      <c r="O119" s="433">
        <v>3.3739545641402448E-2</v>
      </c>
      <c r="P119" s="514">
        <v>28.382782515064498</v>
      </c>
      <c r="Q119" s="521" t="s">
        <v>1953</v>
      </c>
    </row>
    <row r="120" spans="1:17">
      <c r="A120" s="492">
        <v>46052</v>
      </c>
      <c r="B120" s="504" t="s">
        <v>2255</v>
      </c>
      <c r="C120" s="504" t="s">
        <v>2255</v>
      </c>
      <c r="D120" s="433" t="s">
        <v>2253</v>
      </c>
      <c r="E120" s="434">
        <v>46073</v>
      </c>
      <c r="F120" s="433" t="s">
        <v>1926</v>
      </c>
      <c r="G120" s="433" t="s">
        <v>194</v>
      </c>
      <c r="H120" s="433" t="s">
        <v>2256</v>
      </c>
      <c r="I120" s="433" t="s">
        <v>1927</v>
      </c>
      <c r="J120" s="515">
        <v>0.44</v>
      </c>
      <c r="K120" s="433">
        <v>25.45</v>
      </c>
      <c r="L120" s="516">
        <v>0</v>
      </c>
      <c r="M120" s="517">
        <v>0</v>
      </c>
      <c r="N120" s="433">
        <v>0</v>
      </c>
      <c r="O120" s="433">
        <v>2.4586043674282743E-2</v>
      </c>
      <c r="P120" s="514">
        <v>34.83262972859</v>
      </c>
      <c r="Q120" s="521" t="s">
        <v>1953</v>
      </c>
    </row>
    <row r="121" spans="1:17">
      <c r="A121" s="492">
        <v>46052</v>
      </c>
      <c r="B121" s="504" t="s">
        <v>2257</v>
      </c>
      <c r="C121" s="504" t="s">
        <v>2257</v>
      </c>
      <c r="D121" s="433" t="s">
        <v>2253</v>
      </c>
      <c r="E121" s="434">
        <v>46073</v>
      </c>
      <c r="F121" s="433" t="s">
        <v>1926</v>
      </c>
      <c r="G121" s="433" t="s">
        <v>194</v>
      </c>
      <c r="H121" s="433" t="s">
        <v>2258</v>
      </c>
      <c r="I121" s="433" t="s">
        <v>1927</v>
      </c>
      <c r="J121" s="515">
        <v>1.3</v>
      </c>
      <c r="K121" s="433">
        <v>26.84</v>
      </c>
      <c r="L121" s="516">
        <v>0</v>
      </c>
      <c r="M121" s="517">
        <v>0</v>
      </c>
      <c r="N121" s="433">
        <v>0</v>
      </c>
      <c r="O121" s="433">
        <v>0.12982459255638693</v>
      </c>
      <c r="P121" s="514">
        <v>31.323584418570402</v>
      </c>
      <c r="Q121" s="521" t="s">
        <v>1953</v>
      </c>
    </row>
    <row r="122" spans="1:17">
      <c r="A122" s="492">
        <v>46052</v>
      </c>
      <c r="B122" s="519" t="s">
        <v>2267</v>
      </c>
      <c r="C122" s="519" t="s">
        <v>2267</v>
      </c>
      <c r="D122" s="433" t="s">
        <v>2015</v>
      </c>
      <c r="E122" s="434">
        <v>46071</v>
      </c>
      <c r="F122" s="433" t="s">
        <v>1926</v>
      </c>
      <c r="G122" s="433" t="s">
        <v>194</v>
      </c>
      <c r="H122" s="433" t="s">
        <v>2281</v>
      </c>
      <c r="I122" s="433" t="s">
        <v>1927</v>
      </c>
      <c r="J122" s="515">
        <v>200</v>
      </c>
      <c r="K122" s="433">
        <v>162800</v>
      </c>
      <c r="L122" s="516">
        <v>0</v>
      </c>
      <c r="M122" s="517">
        <v>0</v>
      </c>
      <c r="N122" s="433">
        <v>0</v>
      </c>
      <c r="O122" s="433">
        <v>16.10744625482673</v>
      </c>
      <c r="P122" s="514">
        <v>26.974063647881199</v>
      </c>
      <c r="Q122" s="521" t="s">
        <v>1953</v>
      </c>
    </row>
    <row r="123" spans="1:17">
      <c r="A123" s="492">
        <v>46052</v>
      </c>
      <c r="B123" s="504" t="s">
        <v>2308</v>
      </c>
      <c r="C123" s="504" t="s">
        <v>2308</v>
      </c>
      <c r="D123" s="433" t="s">
        <v>2137</v>
      </c>
      <c r="E123" s="434">
        <v>46073</v>
      </c>
      <c r="F123" s="433" t="s">
        <v>1926</v>
      </c>
      <c r="G123" s="433" t="s">
        <v>194</v>
      </c>
      <c r="H123" s="433" t="s">
        <v>2309</v>
      </c>
      <c r="I123" s="433" t="s">
        <v>1927</v>
      </c>
      <c r="J123" s="515">
        <v>0.21</v>
      </c>
      <c r="K123" s="433">
        <v>33.94</v>
      </c>
      <c r="L123" s="516">
        <v>0</v>
      </c>
      <c r="M123" s="517">
        <v>0</v>
      </c>
      <c r="N123" s="433">
        <v>0</v>
      </c>
      <c r="O123" s="433">
        <v>2.7739914063405459E-2</v>
      </c>
      <c r="P123" s="514">
        <v>37.227013607262599</v>
      </c>
      <c r="Q123" s="521" t="s">
        <v>1953</v>
      </c>
    </row>
    <row r="124" spans="1:17">
      <c r="A124" s="492">
        <v>46052</v>
      </c>
      <c r="B124" s="504" t="s">
        <v>2310</v>
      </c>
      <c r="C124" s="504" t="s">
        <v>2310</v>
      </c>
      <c r="D124" s="433" t="s">
        <v>2311</v>
      </c>
      <c r="E124" s="434">
        <v>46073</v>
      </c>
      <c r="F124" s="433" t="s">
        <v>1926</v>
      </c>
      <c r="G124" s="433" t="s">
        <v>194</v>
      </c>
      <c r="H124" s="433" t="s">
        <v>2312</v>
      </c>
      <c r="I124" s="433" t="s">
        <v>1927</v>
      </c>
      <c r="J124" s="515">
        <v>0.08</v>
      </c>
      <c r="K124" s="433">
        <v>43.17</v>
      </c>
      <c r="L124" s="516">
        <v>0</v>
      </c>
      <c r="M124" s="517">
        <v>0</v>
      </c>
      <c r="N124" s="433">
        <v>0</v>
      </c>
      <c r="O124" s="433">
        <v>9.6460506080690775E-3</v>
      </c>
      <c r="P124" s="514">
        <v>40.359602603818296</v>
      </c>
      <c r="Q124" s="521" t="s">
        <v>1953</v>
      </c>
    </row>
    <row r="125" spans="1:17">
      <c r="A125" s="492">
        <v>46052</v>
      </c>
      <c r="B125" s="504" t="s">
        <v>2313</v>
      </c>
      <c r="C125" s="504" t="s">
        <v>2313</v>
      </c>
      <c r="D125" s="433" t="s">
        <v>2311</v>
      </c>
      <c r="E125" s="434">
        <v>46073</v>
      </c>
      <c r="F125" s="433" t="s">
        <v>1926</v>
      </c>
      <c r="G125" s="433" t="s">
        <v>194</v>
      </c>
      <c r="H125" s="433" t="s">
        <v>2314</v>
      </c>
      <c r="I125" s="433" t="s">
        <v>1927</v>
      </c>
      <c r="J125" s="515">
        <v>0.25</v>
      </c>
      <c r="K125" s="433">
        <v>46</v>
      </c>
      <c r="L125" s="516">
        <v>0</v>
      </c>
      <c r="M125" s="517">
        <v>0</v>
      </c>
      <c r="N125" s="433">
        <v>0</v>
      </c>
      <c r="O125" s="433">
        <v>4.381197028678617E-2</v>
      </c>
      <c r="P125" s="514">
        <v>38.111428360899197</v>
      </c>
      <c r="Q125" s="521" t="s">
        <v>1953</v>
      </c>
    </row>
    <row r="126" spans="1:17">
      <c r="A126" s="492">
        <v>46052</v>
      </c>
      <c r="B126" s="504" t="s">
        <v>2315</v>
      </c>
      <c r="C126" s="504" t="s">
        <v>2315</v>
      </c>
      <c r="D126" s="433" t="s">
        <v>2311</v>
      </c>
      <c r="E126" s="434">
        <v>46101</v>
      </c>
      <c r="F126" s="433" t="s">
        <v>1931</v>
      </c>
      <c r="G126" s="433" t="s">
        <v>194</v>
      </c>
      <c r="H126" s="433" t="s">
        <v>2212</v>
      </c>
      <c r="I126" s="433" t="s">
        <v>1927</v>
      </c>
      <c r="J126" s="515">
        <v>3.23</v>
      </c>
      <c r="K126" s="433">
        <v>0</v>
      </c>
      <c r="L126" s="516">
        <v>0</v>
      </c>
      <c r="M126" s="517">
        <v>0</v>
      </c>
      <c r="N126" s="433">
        <v>0</v>
      </c>
      <c r="O126" s="433">
        <v>0.63191942984773075</v>
      </c>
      <c r="P126" s="514">
        <v>35.308168734348499</v>
      </c>
      <c r="Q126" s="521" t="s">
        <v>1953</v>
      </c>
    </row>
    <row r="127" spans="1:17">
      <c r="A127" s="492">
        <v>46052</v>
      </c>
      <c r="B127" s="504" t="s">
        <v>2316</v>
      </c>
      <c r="C127" s="504" t="s">
        <v>2316</v>
      </c>
      <c r="D127" s="433" t="s">
        <v>2311</v>
      </c>
      <c r="E127" s="434">
        <v>46101</v>
      </c>
      <c r="F127" s="433" t="s">
        <v>1926</v>
      </c>
      <c r="G127" s="433" t="s">
        <v>194</v>
      </c>
      <c r="H127" s="433" t="s">
        <v>2317</v>
      </c>
      <c r="I127" s="433" t="s">
        <v>1927</v>
      </c>
      <c r="J127" s="515">
        <v>0.28000000000000003</v>
      </c>
      <c r="K127" s="433">
        <v>42.22</v>
      </c>
      <c r="L127" s="516">
        <v>0</v>
      </c>
      <c r="M127" s="517">
        <v>0</v>
      </c>
      <c r="N127" s="433">
        <v>0</v>
      </c>
      <c r="O127" s="433">
        <v>4.3145686719289311E-2</v>
      </c>
      <c r="P127" s="514">
        <v>38.919224486349599</v>
      </c>
      <c r="Q127" s="521" t="s">
        <v>1953</v>
      </c>
    </row>
    <row r="128" spans="1:17">
      <c r="A128" s="492">
        <v>46052</v>
      </c>
      <c r="B128" s="504" t="s">
        <v>2318</v>
      </c>
      <c r="C128" s="504" t="s">
        <v>2318</v>
      </c>
      <c r="D128" s="433" t="s">
        <v>2311</v>
      </c>
      <c r="E128" s="434">
        <v>46101</v>
      </c>
      <c r="F128" s="433" t="s">
        <v>1926</v>
      </c>
      <c r="G128" s="433" t="s">
        <v>194</v>
      </c>
      <c r="H128" s="433" t="s">
        <v>2319</v>
      </c>
      <c r="I128" s="433" t="s">
        <v>1927</v>
      </c>
      <c r="J128" s="515">
        <v>0.81</v>
      </c>
      <c r="K128" s="433">
        <v>45.69</v>
      </c>
      <c r="L128" s="516">
        <v>0</v>
      </c>
      <c r="M128" s="517">
        <v>0</v>
      </c>
      <c r="N128" s="433">
        <v>0</v>
      </c>
      <c r="O128" s="433">
        <v>0.13502027226647126</v>
      </c>
      <c r="P128" s="514">
        <v>36.300177137059002</v>
      </c>
      <c r="Q128" s="521" t="s">
        <v>1953</v>
      </c>
    </row>
    <row r="129" spans="1:17">
      <c r="A129" s="492">
        <v>46052</v>
      </c>
      <c r="B129" s="504" t="s">
        <v>2340</v>
      </c>
      <c r="C129" s="504" t="s">
        <v>2340</v>
      </c>
      <c r="D129" s="433" t="s">
        <v>2341</v>
      </c>
      <c r="E129" s="434">
        <v>46073</v>
      </c>
      <c r="F129" s="433" t="s">
        <v>1926</v>
      </c>
      <c r="G129" s="433" t="s">
        <v>194</v>
      </c>
      <c r="H129" s="433" t="s">
        <v>2342</v>
      </c>
      <c r="I129" s="433" t="s">
        <v>1927</v>
      </c>
      <c r="J129" s="515">
        <v>0.15</v>
      </c>
      <c r="K129" s="433">
        <v>40.79</v>
      </c>
      <c r="L129" s="516">
        <v>0</v>
      </c>
      <c r="M129" s="517">
        <v>0</v>
      </c>
      <c r="N129" s="433">
        <v>0</v>
      </c>
      <c r="O129" s="433">
        <v>1.6888905371510204E-2</v>
      </c>
      <c r="P129" s="514">
        <v>32.617821156595397</v>
      </c>
      <c r="Q129" s="521" t="s">
        <v>1953</v>
      </c>
    </row>
    <row r="130" spans="1:17">
      <c r="A130" s="492">
        <v>46052</v>
      </c>
      <c r="B130" s="504" t="s">
        <v>2343</v>
      </c>
      <c r="C130" s="504" t="s">
        <v>2343</v>
      </c>
      <c r="D130" s="433" t="s">
        <v>2341</v>
      </c>
      <c r="E130" s="434">
        <v>46073</v>
      </c>
      <c r="F130" s="433" t="s">
        <v>1926</v>
      </c>
      <c r="G130" s="433" t="s">
        <v>194</v>
      </c>
      <c r="H130" s="433" t="s">
        <v>2344</v>
      </c>
      <c r="I130" s="433" t="s">
        <v>1927</v>
      </c>
      <c r="J130" s="515">
        <v>0.37</v>
      </c>
      <c r="K130" s="433">
        <v>42.510000000000005</v>
      </c>
      <c r="L130" s="516">
        <v>0</v>
      </c>
      <c r="M130" s="517">
        <v>0</v>
      </c>
      <c r="N130" s="433">
        <v>0</v>
      </c>
      <c r="O130" s="433">
        <v>5.5507229043513781E-2</v>
      </c>
      <c r="P130" s="514">
        <v>31.1870324911213</v>
      </c>
      <c r="Q130" s="521" t="s">
        <v>1953</v>
      </c>
    </row>
    <row r="131" spans="1:17">
      <c r="A131" s="492">
        <v>46052</v>
      </c>
      <c r="B131" s="519" t="s">
        <v>2348</v>
      </c>
      <c r="C131" s="519" t="s">
        <v>2348</v>
      </c>
      <c r="D131" s="433" t="s">
        <v>2100</v>
      </c>
      <c r="E131" s="434">
        <v>46073</v>
      </c>
      <c r="F131" s="433" t="s">
        <v>1926</v>
      </c>
      <c r="G131" s="433" t="s">
        <v>194</v>
      </c>
      <c r="H131" s="433" t="s">
        <v>2349</v>
      </c>
      <c r="I131" s="433" t="s">
        <v>1927</v>
      </c>
      <c r="J131" s="515">
        <v>1.51</v>
      </c>
      <c r="K131" s="433">
        <v>118.49</v>
      </c>
      <c r="L131" s="516">
        <v>0</v>
      </c>
      <c r="M131" s="517">
        <v>0</v>
      </c>
      <c r="N131" s="433">
        <v>0</v>
      </c>
      <c r="O131" s="433">
        <v>0.31101966774773782</v>
      </c>
      <c r="P131" s="514">
        <v>30.817377328059301</v>
      </c>
      <c r="Q131" s="521" t="s">
        <v>1953</v>
      </c>
    </row>
    <row r="132" spans="1:17">
      <c r="A132" s="492">
        <v>46052</v>
      </c>
      <c r="B132" s="519" t="s">
        <v>2350</v>
      </c>
      <c r="C132" s="519" t="s">
        <v>2350</v>
      </c>
      <c r="D132" s="433" t="s">
        <v>2220</v>
      </c>
      <c r="E132" s="434">
        <v>46073</v>
      </c>
      <c r="F132" s="433" t="s">
        <v>1926</v>
      </c>
      <c r="G132" s="433" t="s">
        <v>194</v>
      </c>
      <c r="H132" s="433" t="s">
        <v>2351</v>
      </c>
      <c r="I132" s="433" t="s">
        <v>1927</v>
      </c>
      <c r="J132" s="515">
        <v>0.82</v>
      </c>
      <c r="K132" s="433">
        <v>77.080000000000013</v>
      </c>
      <c r="L132" s="516">
        <v>0</v>
      </c>
      <c r="M132" s="517">
        <v>0</v>
      </c>
      <c r="N132" s="433">
        <v>0</v>
      </c>
      <c r="O132" s="433">
        <v>0.14163556784049716</v>
      </c>
      <c r="P132" s="514">
        <v>41.544559651656101</v>
      </c>
      <c r="Q132" s="521" t="s">
        <v>1953</v>
      </c>
    </row>
    <row r="133" spans="1:17">
      <c r="A133" s="492">
        <v>46052</v>
      </c>
      <c r="B133" s="519" t="s">
        <v>2352</v>
      </c>
      <c r="C133" s="519" t="s">
        <v>2352</v>
      </c>
      <c r="D133" s="433" t="s">
        <v>2220</v>
      </c>
      <c r="E133" s="434">
        <v>46073</v>
      </c>
      <c r="F133" s="433" t="s">
        <v>1926</v>
      </c>
      <c r="G133" s="433" t="s">
        <v>194</v>
      </c>
      <c r="H133" s="433" t="s">
        <v>2353</v>
      </c>
      <c r="I133" s="433" t="s">
        <v>1927</v>
      </c>
      <c r="J133" s="515">
        <v>2</v>
      </c>
      <c r="K133" s="433">
        <v>80.900000000000006</v>
      </c>
      <c r="L133" s="516">
        <v>0</v>
      </c>
      <c r="M133" s="517">
        <v>0</v>
      </c>
      <c r="N133" s="433">
        <v>0</v>
      </c>
      <c r="O133" s="433">
        <v>0.37024120319363957</v>
      </c>
      <c r="P133" s="514">
        <v>37.598516768452605</v>
      </c>
      <c r="Q133" s="521" t="s">
        <v>1953</v>
      </c>
    </row>
    <row r="134" spans="1:17">
      <c r="A134" s="492">
        <v>46052</v>
      </c>
      <c r="B134" s="504" t="s">
        <v>2382</v>
      </c>
      <c r="C134" s="504" t="s">
        <v>2382</v>
      </c>
      <c r="D134" s="433" t="s">
        <v>1954</v>
      </c>
      <c r="E134" s="434">
        <v>46073</v>
      </c>
      <c r="F134" s="433" t="s">
        <v>1926</v>
      </c>
      <c r="G134" s="433" t="s">
        <v>194</v>
      </c>
      <c r="H134" s="433" t="s">
        <v>2383</v>
      </c>
      <c r="I134" s="433" t="s">
        <v>1927</v>
      </c>
      <c r="J134" s="515">
        <v>0.39</v>
      </c>
      <c r="K134" s="433">
        <v>14.28</v>
      </c>
      <c r="L134" s="516">
        <v>0</v>
      </c>
      <c r="M134" s="517">
        <v>0</v>
      </c>
      <c r="N134" s="433">
        <v>0</v>
      </c>
      <c r="O134" s="433">
        <v>6.4991479188062876E-2</v>
      </c>
      <c r="P134" s="514">
        <v>34.220697866648997</v>
      </c>
      <c r="Q134" s="521" t="s">
        <v>1953</v>
      </c>
    </row>
    <row r="135" spans="1:17">
      <c r="A135" s="492">
        <v>46052</v>
      </c>
      <c r="B135" s="504" t="s">
        <v>2384</v>
      </c>
      <c r="C135" s="504" t="s">
        <v>2384</v>
      </c>
      <c r="D135" s="433" t="s">
        <v>2385</v>
      </c>
      <c r="E135" s="434">
        <v>46101</v>
      </c>
      <c r="F135" s="433" t="s">
        <v>1926</v>
      </c>
      <c r="G135" s="433" t="s">
        <v>194</v>
      </c>
      <c r="H135" s="433" t="s">
        <v>2216</v>
      </c>
      <c r="I135" s="433" t="s">
        <v>1927</v>
      </c>
      <c r="J135" s="515">
        <v>0.53</v>
      </c>
      <c r="K135" s="433">
        <v>20.779999999999998</v>
      </c>
      <c r="L135" s="516">
        <v>0</v>
      </c>
      <c r="M135" s="517">
        <v>0</v>
      </c>
      <c r="N135" s="433">
        <v>0</v>
      </c>
      <c r="O135" s="433">
        <v>9.9600139671454188E-2</v>
      </c>
      <c r="P135" s="514">
        <v>35.619228613598096</v>
      </c>
      <c r="Q135" s="521" t="s">
        <v>1953</v>
      </c>
    </row>
    <row r="136" spans="1:17">
      <c r="A136" s="492">
        <v>46052</v>
      </c>
      <c r="B136" s="504" t="s">
        <v>2386</v>
      </c>
      <c r="C136" s="504" t="s">
        <v>2386</v>
      </c>
      <c r="D136" s="433" t="s">
        <v>2385</v>
      </c>
      <c r="E136" s="434">
        <v>46101</v>
      </c>
      <c r="F136" s="433" t="s">
        <v>1926</v>
      </c>
      <c r="G136" s="433" t="s">
        <v>194</v>
      </c>
      <c r="H136" s="433" t="s">
        <v>2387</v>
      </c>
      <c r="I136" s="433" t="s">
        <v>1927</v>
      </c>
      <c r="J136" s="515">
        <v>1.0900000000000001</v>
      </c>
      <c r="K136" s="433">
        <v>21.72</v>
      </c>
      <c r="L136" s="516">
        <v>0</v>
      </c>
      <c r="M136" s="517">
        <v>0</v>
      </c>
      <c r="N136" s="433">
        <v>0</v>
      </c>
      <c r="O136" s="433">
        <v>0.2146833699024219</v>
      </c>
      <c r="P136" s="514">
        <v>35.148616428691803</v>
      </c>
      <c r="Q136" s="521" t="s">
        <v>1953</v>
      </c>
    </row>
    <row r="137" spans="1:17">
      <c r="A137" s="492">
        <v>46052</v>
      </c>
      <c r="B137" s="504" t="s">
        <v>2422</v>
      </c>
      <c r="C137" s="504" t="s">
        <v>2422</v>
      </c>
      <c r="D137" s="433" t="s">
        <v>2423</v>
      </c>
      <c r="E137" s="434">
        <v>46073</v>
      </c>
      <c r="F137" s="433" t="s">
        <v>1926</v>
      </c>
      <c r="G137" s="433" t="s">
        <v>194</v>
      </c>
      <c r="H137" s="433" t="s">
        <v>2424</v>
      </c>
      <c r="I137" s="433" t="s">
        <v>1927</v>
      </c>
      <c r="J137" s="515">
        <v>0.12</v>
      </c>
      <c r="K137" s="433">
        <v>12.360000000000001</v>
      </c>
      <c r="L137" s="516">
        <v>0</v>
      </c>
      <c r="M137" s="517">
        <v>0</v>
      </c>
      <c r="N137" s="433">
        <v>0</v>
      </c>
      <c r="O137" s="433">
        <v>8.2870812691566553E-3</v>
      </c>
      <c r="P137" s="514">
        <v>23.7912506364124</v>
      </c>
      <c r="Q137" s="521" t="s">
        <v>1953</v>
      </c>
    </row>
    <row r="138" spans="1:17">
      <c r="A138" s="492">
        <v>46052</v>
      </c>
      <c r="B138" s="504" t="s">
        <v>2425</v>
      </c>
      <c r="C138" s="504" t="s">
        <v>2425</v>
      </c>
      <c r="D138" s="433" t="s">
        <v>2423</v>
      </c>
      <c r="E138" s="434">
        <v>46073</v>
      </c>
      <c r="F138" s="433" t="s">
        <v>1926</v>
      </c>
      <c r="G138" s="433" t="s">
        <v>194</v>
      </c>
      <c r="H138" s="433" t="s">
        <v>2426</v>
      </c>
      <c r="I138" s="433" t="s">
        <v>1927</v>
      </c>
      <c r="J138" s="515">
        <v>0.38</v>
      </c>
      <c r="K138" s="433">
        <v>12.85</v>
      </c>
      <c r="L138" s="516">
        <v>0</v>
      </c>
      <c r="M138" s="517">
        <v>0</v>
      </c>
      <c r="N138" s="433">
        <v>0</v>
      </c>
      <c r="O138" s="433">
        <v>4.4152851017868706E-2</v>
      </c>
      <c r="P138" s="514">
        <v>21.2665109657034</v>
      </c>
      <c r="Q138" s="521" t="s">
        <v>1953</v>
      </c>
    </row>
    <row r="139" spans="1:17">
      <c r="A139" s="492">
        <v>46052</v>
      </c>
      <c r="B139" s="504" t="s">
        <v>2427</v>
      </c>
      <c r="C139" s="504" t="s">
        <v>2427</v>
      </c>
      <c r="D139" s="433" t="s">
        <v>2428</v>
      </c>
      <c r="E139" s="434">
        <v>46101</v>
      </c>
      <c r="F139" s="433" t="s">
        <v>1931</v>
      </c>
      <c r="G139" s="433" t="s">
        <v>194</v>
      </c>
      <c r="H139" s="433" t="s">
        <v>2429</v>
      </c>
      <c r="I139" s="433" t="s">
        <v>1927</v>
      </c>
      <c r="J139" s="515">
        <v>0.98</v>
      </c>
      <c r="K139" s="433">
        <v>0</v>
      </c>
      <c r="L139" s="516">
        <v>0</v>
      </c>
      <c r="M139" s="517">
        <v>0</v>
      </c>
      <c r="N139" s="433">
        <v>0</v>
      </c>
      <c r="O139" s="433">
        <v>0.10176523892841943</v>
      </c>
      <c r="P139" s="514">
        <v>20.556968817417797</v>
      </c>
      <c r="Q139" s="521" t="s">
        <v>1953</v>
      </c>
    </row>
    <row r="140" spans="1:17">
      <c r="A140" s="492">
        <v>46052</v>
      </c>
      <c r="B140" s="504" t="s">
        <v>2430</v>
      </c>
      <c r="C140" s="504" t="s">
        <v>2430</v>
      </c>
      <c r="D140" s="433" t="s">
        <v>2431</v>
      </c>
      <c r="E140" s="434">
        <v>46101</v>
      </c>
      <c r="F140" s="433" t="s">
        <v>1931</v>
      </c>
      <c r="G140" s="433" t="s">
        <v>194</v>
      </c>
      <c r="H140" s="433" t="s">
        <v>2432</v>
      </c>
      <c r="I140" s="433" t="s">
        <v>1927</v>
      </c>
      <c r="J140" s="515">
        <v>0.57999999999999996</v>
      </c>
      <c r="K140" s="433">
        <v>0</v>
      </c>
      <c r="L140" s="516">
        <v>0</v>
      </c>
      <c r="M140" s="517">
        <v>0</v>
      </c>
      <c r="N140" s="433">
        <v>0</v>
      </c>
      <c r="O140" s="433">
        <v>0.11608057011988235</v>
      </c>
      <c r="P140" s="514">
        <v>38.4682098786487</v>
      </c>
      <c r="Q140" s="521" t="s">
        <v>1953</v>
      </c>
    </row>
    <row r="141" spans="1:17">
      <c r="A141" s="492">
        <v>46052</v>
      </c>
      <c r="B141" s="504" t="s">
        <v>2433</v>
      </c>
      <c r="C141" s="504" t="s">
        <v>2433</v>
      </c>
      <c r="D141" s="433" t="s">
        <v>2431</v>
      </c>
      <c r="E141" s="434">
        <v>46101</v>
      </c>
      <c r="F141" s="433" t="s">
        <v>1926</v>
      </c>
      <c r="G141" s="433" t="s">
        <v>194</v>
      </c>
      <c r="H141" s="433" t="s">
        <v>2434</v>
      </c>
      <c r="I141" s="433" t="s">
        <v>1927</v>
      </c>
      <c r="J141" s="515">
        <v>0.52</v>
      </c>
      <c r="K141" s="433">
        <v>21.87</v>
      </c>
      <c r="L141" s="516">
        <v>0</v>
      </c>
      <c r="M141" s="517">
        <v>0</v>
      </c>
      <c r="N141" s="433">
        <v>0</v>
      </c>
      <c r="O141" s="433">
        <v>0.10250845984263608</v>
      </c>
      <c r="P141" s="514">
        <v>43.578117222871398</v>
      </c>
      <c r="Q141" s="521" t="s">
        <v>1953</v>
      </c>
    </row>
    <row r="142" spans="1:17">
      <c r="A142" s="492">
        <v>46052</v>
      </c>
      <c r="B142" s="504" t="s">
        <v>2435</v>
      </c>
      <c r="C142" s="504" t="s">
        <v>2435</v>
      </c>
      <c r="D142" s="433" t="s">
        <v>2431</v>
      </c>
      <c r="E142" s="434">
        <v>46101</v>
      </c>
      <c r="F142" s="433" t="s">
        <v>1926</v>
      </c>
      <c r="G142" s="433" t="s">
        <v>194</v>
      </c>
      <c r="H142" s="433" t="s">
        <v>2436</v>
      </c>
      <c r="I142" s="433" t="s">
        <v>1927</v>
      </c>
      <c r="J142" s="515">
        <v>1.41</v>
      </c>
      <c r="K142" s="433">
        <v>23.43</v>
      </c>
      <c r="L142" s="516">
        <v>0</v>
      </c>
      <c r="M142" s="517">
        <v>0</v>
      </c>
      <c r="N142" s="433">
        <v>0</v>
      </c>
      <c r="O142" s="433">
        <v>0.2651536464917858</v>
      </c>
      <c r="P142" s="514">
        <v>40.7583170726558</v>
      </c>
      <c r="Q142" s="521" t="s">
        <v>1953</v>
      </c>
    </row>
    <row r="143" spans="1:17">
      <c r="A143" s="492">
        <v>46052</v>
      </c>
      <c r="B143" s="504" t="s">
        <v>2437</v>
      </c>
      <c r="C143" s="504" t="s">
        <v>2437</v>
      </c>
      <c r="D143" s="433" t="s">
        <v>2438</v>
      </c>
      <c r="E143" s="434">
        <v>46073</v>
      </c>
      <c r="F143" s="433" t="s">
        <v>1931</v>
      </c>
      <c r="G143" s="433" t="s">
        <v>194</v>
      </c>
      <c r="H143" s="433" t="s">
        <v>2439</v>
      </c>
      <c r="I143" s="433" t="s">
        <v>1927</v>
      </c>
      <c r="J143" s="515">
        <v>0.1</v>
      </c>
      <c r="K143" s="433">
        <v>0</v>
      </c>
      <c r="L143" s="516">
        <v>0</v>
      </c>
      <c r="M143" s="517">
        <v>0</v>
      </c>
      <c r="N143" s="433">
        <v>0</v>
      </c>
      <c r="O143" s="433">
        <v>2.0527338442573151E-2</v>
      </c>
      <c r="P143" s="514">
        <v>57.781398636462697</v>
      </c>
      <c r="Q143" s="521" t="s">
        <v>1953</v>
      </c>
    </row>
    <row r="144" spans="1:17">
      <c r="A144" s="492">
        <v>46052</v>
      </c>
      <c r="B144" s="504" t="s">
        <v>2440</v>
      </c>
      <c r="C144" s="504" t="s">
        <v>2440</v>
      </c>
      <c r="D144" s="433" t="s">
        <v>2438</v>
      </c>
      <c r="E144" s="434">
        <v>46073</v>
      </c>
      <c r="F144" s="433" t="s">
        <v>1931</v>
      </c>
      <c r="G144" s="433" t="s">
        <v>194</v>
      </c>
      <c r="H144" s="433" t="s">
        <v>2441</v>
      </c>
      <c r="I144" s="433" t="s">
        <v>1927</v>
      </c>
      <c r="J144" s="515">
        <v>0.02</v>
      </c>
      <c r="K144" s="433">
        <v>0</v>
      </c>
      <c r="L144" s="516">
        <v>0</v>
      </c>
      <c r="M144" s="517">
        <v>0</v>
      </c>
      <c r="N144" s="433">
        <v>0</v>
      </c>
      <c r="O144" s="433">
        <v>5.9797275473699946E-3</v>
      </c>
      <c r="P144" s="514">
        <v>63.028908512515599</v>
      </c>
      <c r="Q144" s="521" t="s">
        <v>1953</v>
      </c>
    </row>
    <row r="145" spans="1:17">
      <c r="A145" s="492">
        <v>46052</v>
      </c>
      <c r="B145" s="519" t="s">
        <v>2477</v>
      </c>
      <c r="C145" s="519" t="s">
        <v>2477</v>
      </c>
      <c r="D145" s="433" t="s">
        <v>2478</v>
      </c>
      <c r="E145" s="434">
        <v>46073</v>
      </c>
      <c r="F145" s="433" t="s">
        <v>1931</v>
      </c>
      <c r="G145" s="433" t="s">
        <v>194</v>
      </c>
      <c r="H145" s="433" t="s">
        <v>2479</v>
      </c>
      <c r="I145" s="433" t="s">
        <v>1927</v>
      </c>
      <c r="J145" s="515">
        <v>0.15</v>
      </c>
      <c r="K145" s="433">
        <v>0</v>
      </c>
      <c r="L145" s="516">
        <v>0</v>
      </c>
      <c r="M145" s="517">
        <v>0</v>
      </c>
      <c r="N145" s="433">
        <v>0</v>
      </c>
      <c r="O145" s="433">
        <v>3.07537304274507E-2</v>
      </c>
      <c r="P145" s="514">
        <v>41.115771540878001</v>
      </c>
      <c r="Q145" s="521" t="s">
        <v>1953</v>
      </c>
    </row>
    <row r="146" spans="1:17">
      <c r="A146" s="492">
        <v>46052</v>
      </c>
      <c r="B146" s="519" t="s">
        <v>2480</v>
      </c>
      <c r="C146" s="519" t="s">
        <v>2480</v>
      </c>
      <c r="D146" s="433" t="s">
        <v>2481</v>
      </c>
      <c r="E146" s="434">
        <v>46073</v>
      </c>
      <c r="F146" s="433" t="s">
        <v>1931</v>
      </c>
      <c r="G146" s="433" t="s">
        <v>194</v>
      </c>
      <c r="H146" s="433" t="s">
        <v>2482</v>
      </c>
      <c r="I146" s="433" t="s">
        <v>1927</v>
      </c>
      <c r="J146" s="515">
        <v>0.14000000000000001</v>
      </c>
      <c r="K146" s="433">
        <v>0</v>
      </c>
      <c r="L146" s="516">
        <v>0</v>
      </c>
      <c r="M146" s="517">
        <v>0</v>
      </c>
      <c r="N146" s="433">
        <v>0</v>
      </c>
      <c r="O146" s="433">
        <v>1.6495456500516599E-3</v>
      </c>
      <c r="P146" s="514">
        <v>15.806131086012899</v>
      </c>
      <c r="Q146" s="521" t="s">
        <v>1953</v>
      </c>
    </row>
  </sheetData>
  <conditionalFormatting sqref="T2:T3">
    <cfRule type="cellIs" dxfId="41" priority="41" operator="equal">
      <formula>0</formula>
    </cfRule>
  </conditionalFormatting>
  <conditionalFormatting sqref="W2:W3">
    <cfRule type="cellIs" dxfId="40" priority="40" operator="equal">
      <formula>0</formula>
    </cfRule>
  </conditionalFormatting>
  <conditionalFormatting sqref="B71:B85">
    <cfRule type="duplicateValues" dxfId="39" priority="38" stopIfTrue="1"/>
    <cfRule type="duplicateValues" dxfId="38" priority="38"/>
  </conditionalFormatting>
  <conditionalFormatting sqref="B92:B94">
    <cfRule type="duplicateValues" dxfId="37" priority="37"/>
  </conditionalFormatting>
  <conditionalFormatting sqref="B95:B99 B1 B104:B107 B109:B116 B48:B65 B71:B91">
    <cfRule type="duplicateValues" dxfId="36" priority="35" stopIfTrue="1"/>
    <cfRule type="duplicateValues" dxfId="35" priority="35"/>
  </conditionalFormatting>
  <conditionalFormatting sqref="B95:B99 B1:B17 B104:B107 B109:B116 B48:B65 B71:B91">
    <cfRule type="duplicateValues" dxfId="34" priority="34"/>
  </conditionalFormatting>
  <conditionalFormatting sqref="B95:B99 B104:B107 B109:B116 B1:B65 B71:B91">
    <cfRule type="duplicateValues" dxfId="33" priority="33"/>
  </conditionalFormatting>
  <conditionalFormatting sqref="C2:C85">
    <cfRule type="duplicateValues" dxfId="32" priority="39"/>
  </conditionalFormatting>
  <conditionalFormatting sqref="C6:C70">
    <cfRule type="duplicateValues" dxfId="31" priority="42"/>
  </conditionalFormatting>
  <conditionalFormatting sqref="C71:C85">
    <cfRule type="duplicateValues" dxfId="30" priority="36" stopIfTrue="1"/>
    <cfRule type="duplicateValues" dxfId="29" priority="43"/>
  </conditionalFormatting>
  <conditionalFormatting sqref="C74:C76">
    <cfRule type="duplicateValues" dxfId="28" priority="32" stopIfTrue="1"/>
    <cfRule type="duplicateValues" dxfId="27" priority="44"/>
  </conditionalFormatting>
  <conditionalFormatting sqref="C77:C80">
    <cfRule type="duplicateValues" dxfId="26" priority="30"/>
    <cfRule type="duplicateValues" dxfId="25" priority="31" stopIfTrue="1"/>
  </conditionalFormatting>
  <conditionalFormatting sqref="C86">
    <cfRule type="duplicateValues" dxfId="24" priority="28"/>
    <cfRule type="duplicateValues" dxfId="23" priority="29" stopIfTrue="1"/>
  </conditionalFormatting>
  <conditionalFormatting sqref="C87:C91">
    <cfRule type="duplicateValues" dxfId="22" priority="19"/>
    <cfRule type="duplicateValues" dxfId="21" priority="20" stopIfTrue="1"/>
    <cfRule type="duplicateValues" dxfId="20" priority="21"/>
    <cfRule type="duplicateValues" dxfId="19" priority="22"/>
  </conditionalFormatting>
  <conditionalFormatting sqref="C92:C94 C1:C85">
    <cfRule type="duplicateValues" dxfId="18" priority="24"/>
  </conditionalFormatting>
  <conditionalFormatting sqref="C95:C99">
    <cfRule type="duplicateValues" dxfId="17" priority="14"/>
    <cfRule type="duplicateValues" dxfId="16" priority="15" stopIfTrue="1"/>
    <cfRule type="duplicateValues" dxfId="15" priority="16"/>
    <cfRule type="duplicateValues" dxfId="14" priority="17"/>
  </conditionalFormatting>
  <conditionalFormatting sqref="C104:C107">
    <cfRule type="duplicateValues" dxfId="13" priority="10"/>
    <cfRule type="duplicateValues" dxfId="12" priority="11" stopIfTrue="1"/>
    <cfRule type="duplicateValues" dxfId="11" priority="12"/>
    <cfRule type="duplicateValues" dxfId="10" priority="13"/>
  </conditionalFormatting>
  <conditionalFormatting sqref="C109:C114">
    <cfRule type="duplicateValues" dxfId="9" priority="6"/>
    <cfRule type="duplicateValues" dxfId="8" priority="7" stopIfTrue="1"/>
    <cfRule type="duplicateValues" dxfId="7" priority="8"/>
    <cfRule type="duplicateValues" dxfId="6" priority="9"/>
  </conditionalFormatting>
  <conditionalFormatting sqref="C115:C116">
    <cfRule type="duplicateValues" dxfId="5" priority="2"/>
    <cfRule type="duplicateValues" dxfId="4" priority="2" stopIfTrue="1"/>
    <cfRule type="duplicateValues" dxfId="3" priority="3"/>
    <cfRule type="duplicateValues" dxfId="2" priority="4"/>
  </conditionalFormatting>
  <conditionalFormatting sqref="L1:M116">
    <cfRule type="cellIs" dxfId="1" priority="5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</vt:i4>
      </vt:variant>
    </vt:vector>
  </HeadingPairs>
  <TitlesOfParts>
    <vt:vector size="26" baseType="lpstr">
      <vt:lpstr>correls (2)</vt:lpstr>
      <vt:lpstr>China</vt:lpstr>
      <vt:lpstr>PAIR_Monitor</vt:lpstr>
      <vt:lpstr>BETAS</vt:lpstr>
      <vt:lpstr>Sheet3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2026-02-02T21:42:03Z</dcterms:modified>
  <cp:category/>
  <cp:contentStatus/>
</cp:coreProperties>
</file>